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2.xml" ContentType="application/vnd.openxmlformats-officedocument.spreadsheetml.table+xml"/>
  <Override PartName="/xl/tables/table35.xml" ContentType="application/vnd.openxmlformats-officedocument.spreadsheetml.table+xml"/>
  <Override PartName="/xl/tables/table1.xml" ContentType="application/vnd.openxmlformats-officedocument.spreadsheetml.table+xml"/>
  <Override PartName="/xl/tables/table37.xml" ContentType="application/vnd.openxmlformats-officedocument.spreadsheetml.table+xml"/>
  <Override PartName="/xl/tables/table3.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31.xml" ContentType="application/vnd.openxmlformats-officedocument.spreadsheetml.table+xml"/>
  <Override PartName="/xl/tables/table29.xml" ContentType="application/vnd.openxmlformats-officedocument.spreadsheetml.table+xml"/>
  <Override PartName="/xl/tables/table26.xml" ContentType="application/vnd.openxmlformats-officedocument.spreadsheetml.table+xml"/>
  <Override PartName="/xl/tables/table12.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27.xml" ContentType="application/vnd.openxmlformats-officedocument.spreadsheetml.table+xml"/>
  <Override PartName="/xl/tables/table6.xml" ContentType="application/vnd.openxmlformats-officedocument.spreadsheetml.table+xml"/>
  <Override PartName="/xl/tables/table4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13.xml" ContentType="application/vnd.openxmlformats-officedocument.spreadsheetml.table+xml"/>
  <Override PartName="/xl/tables/table25.xml" ContentType="application/vnd.openxmlformats-officedocument.spreadsheetml.table+xml"/>
  <Override PartName="/xl/tables/table10.xml" ContentType="application/vnd.openxmlformats-officedocument.spreadsheetml.table+xml"/>
  <Override PartName="/xl/tables/table45.xml" ContentType="application/vnd.openxmlformats-officedocument.spreadsheetml.table+xml"/>
  <Override PartName="/xl/tables/table8.xml" ContentType="application/vnd.openxmlformats-officedocument.spreadsheetml.table+xml"/>
  <Override PartName="/xl/tables/table7.xml" ContentType="application/vnd.openxmlformats-officedocument.spreadsheetml.table+xml"/>
  <Override PartName="/xl/tables/table44.xml" ContentType="application/vnd.openxmlformats-officedocument.spreadsheetml.table+xml"/>
  <Override PartName="/xl/tables/table42.xml" ContentType="application/vnd.openxmlformats-officedocument.spreadsheetml.table+xml"/>
  <Override PartName="/xl/tables/table41.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40.xml" ContentType="application/vnd.openxmlformats-officedocument.spreadsheetml.table+xml"/>
  <Override PartName="/xl/tables/table28.xml" ContentType="application/vnd.openxmlformats-officedocument.spreadsheetml.table+xml"/>
  <Override PartName="/xl/tables/table30.xml" ContentType="application/vnd.openxmlformats-officedocument.spreadsheetml.table+xml"/>
  <Override PartName="/xl/tables/table34.xml" ContentType="application/vnd.openxmlformats-officedocument.spreadsheetml.table+xml"/>
  <Override PartName="/xl/tables/table33.xml" ContentType="application/vnd.openxmlformats-officedocument.spreadsheetml.table+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comments13.xml" ContentType="application/vnd.openxmlformats-officedocument.spreadsheetml.comment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14.vml" ContentType="application/vnd.openxmlformats-officedocument.vmlDrawing"/>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4.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2"/>
  </bookViews>
  <sheets>
    <sheet name="Start" sheetId="1" state="visible" r:id="rId3"/>
    <sheet name="Dashboard" sheetId="2" state="visible" r:id="rId4"/>
    <sheet name="Roadmap" sheetId="3" state="visible" r:id="rId5"/>
    <sheet name="Status Report" sheetId="4" state="visible" r:id="rId6"/>
    <sheet name="Schedule Report" sheetId="5" state="visible" r:id="rId7"/>
    <sheet name="Resource Report" sheetId="6" state="visible" r:id="rId8"/>
    <sheet name="Agile Report" sheetId="7" state="visible" r:id="rId9"/>
    <sheet name="RAID" sheetId="8" state="visible" r:id="rId10"/>
    <sheet name="Decisions" sheetId="9" state="visible" r:id="rId11"/>
    <sheet name="Changes" sheetId="10" state="visible" r:id="rId12"/>
    <sheet name="History" sheetId="11" state="visible" r:id="rId13"/>
    <sheet name="Settings" sheetId="12" state="visible" r:id="rId14"/>
    <sheet name="Tasks" sheetId="13" state="visible" r:id="rId15"/>
    <sheet name="Gantt" sheetId="14" state="visible" r:id="rId16"/>
    <sheet name="Resources" sheetId="15" state="visible" r:id="rId17"/>
    <sheet name="Assignments" sheetId="16" state="visible" r:id="rId18"/>
    <sheet name="Sprints" sheetId="17" state="visible" r:id="rId19"/>
    <sheet name="Holidays" sheetId="18" state="visible" r:id="rId20"/>
    <sheet name="Leave" sheetId="19" state="visible" r:id="rId21"/>
    <sheet name="Lists" sheetId="20" state="visible" r:id="rId22"/>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asg_ActualCost" vbProcedure="false">AssignmentTable[_ActualCost]</definedName>
    <definedName function="false" hidden="false" name="asg_Cost" vbProcedure="false">AssignmentTable[Cost]</definedName>
    <definedName function="false" hidden="false" name="asg_Critical" vbProcedure="false">AssignmentTable[_Critical]</definedName>
    <definedName function="false" hidden="false" name="asg_FinishWD" vbProcedure="false">AssignmentTable[_FinishWD]</definedName>
    <definedName function="false" hidden="false" name="asg_Key" vbProcedure="false">AssignmentTable[_Key]</definedName>
    <definedName function="false" hidden="false" name="asg_Late" vbProcedure="false">AssignmentTable[_Late]</definedName>
    <definedName function="false" hidden="false" name="asg_OverAllocated" vbProcedure="false">AssignmentTable[_OverAllocated]</definedName>
    <definedName function="false" hidden="false" name="asg_Resource" vbProcedure="false">AssignmentTable[Resource]</definedName>
    <definedName function="false" hidden="false" name="asg_StartWD" vbProcedure="false">AssignmentTable[_StartWD]</definedName>
    <definedName function="false" hidden="false" name="asg_TaskUID" vbProcedure="false">AssignmentTable[Task UID]</definedName>
    <definedName function="false" hidden="false" name="asg_Text" vbProcedure="false">AssignmentTable[_Text]</definedName>
    <definedName function="false" hidden="false" name="asg_Valid" vbProcedure="false">AssignmentTable[_Valid]</definedName>
    <definedName function="false" hidden="false" name="asg_Work" vbProcedure="false">AssignmentTable[Work]</definedName>
    <definedName function="false" hidden="false" name="asg_WorkBeforeStart" vbProcedure="false">AssignmentTable[_WorkBeforeStart]</definedName>
    <definedName function="false" hidden="false" name="asg_WorkDone" vbProcedure="false">AssignmentTable[_WorkDone]</definedName>
    <definedName function="false" hidden="false" name="asg_WorkPerWD" vbProcedure="false">AssignmentTable[_WorkPerWD]</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Settings!$C$31</definedName>
    <definedName function="false" hidden="false" name="CurrentSprint" vbProcedure="false">Settings!$C$27</definedName>
    <definedName function="false" hidden="false" name="CurrentSprintEnd" vbProcedure="false">Settings!$C$29</definedName>
    <definedName function="false" hidden="false" name="CurrentSprintStart" vbProcedure="false">Settings!$C$28</definedName>
    <definedName function="false" hidden="false" name="dec_Status" vbProcedure="false">DecisionLog[Status]</definedName>
    <definedName function="false" hidden="false" name="DefaultUnits" vbProcedure="false">Settings!$C$9</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Settings!$C$34</definedName>
    <definedName function="false" hidden="false" name="GanttPeriod" vbProcedure="false">Settings!$C$19</definedName>
    <definedName function="false" hidden="false" name="GanttStart" vbProcedure="false">Settings!$C$18</definedName>
    <definedName function="false" hidden="false" name="gantt_Origin" vbProcedure="false">Gantt!$W$5</definedName>
    <definedName function="false" hidden="false" name="Holidays" vbProcedure="false">HolidayTable[Date]</definedName>
    <definedName function="false" hidden="false" name="HoursPerDay" vbProcedure="false">Start!$C$9</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Settings!$C$35</definedName>
    <definedName function="false" hidden="false" name="LookaheadEnd" vbProcedure="false">Settings!$C$36</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WorkingWeek" vbProcedure="false">ListWorkingWeek[Working Week]</definedName>
    <definedName function="false" hidden="false" name="L_YesNo" vbProcedure="false">ListYesNo[Yes / No]</definedName>
    <definedName function="false" hidden="false" name="NextFreeUID" vbProcedure="false">Settings!$C$44</definedName>
    <definedName function="false" hidden="false" name="OutlineShowLevel" vbProcedure="false">Settings!$C$20</definedName>
    <definedName function="false" hidden="false" name="PlannedFinish" vbProcedure="false">Settings!$C$33</definedName>
    <definedName function="false" hidden="false" name="PlannerVersion" vbProcedure="false">"1.7"</definedName>
    <definedName function="false" hidden="false" name="ProjectFinish" vbProcedure="false">Settings!$C$32</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RAGAmberIndex" vbProcedure="false">Settings!$C$39</definedName>
    <definedName function="false" hidden="false" name="RAGAmberSlipDays" vbProcedure="false">Settings!$C$37</definedName>
    <definedName function="false" hidden="false" name="RAGRedIndex" vbProcedure="false">Settings!$C$40</definedName>
    <definedName function="false" hidden="false" name="RAGRedSlipDays" vbProcedure="false">Settings!$C$38</definedName>
    <definedName function="false" hidden="false" name="RAIDHighScore" vbProcedure="false">Settings!$C$41</definedName>
    <definedName function="false" hidden="false" name="RAIDMediumScore" vbProcedure="false">Settings!$C$42</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Settings!$C$8</definedName>
    <definedName function="false" hidden="false" name="ResourceWeekStart" vbProcedure="false">Settings!$C$43</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m_Origin" vbProcedure="false">Roadmap!$K$5</definedName>
    <definedName function="false" hidden="false" name="RoadmapStart" vbProcedure="false">Settings!$C$21</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Settings!$C$22</definedName>
    <definedName function="false" hidden="false" name="SprintCount" vbProcedure="false">Settings!$C$24</definedName>
    <definedName function="false" hidden="false" name="SprintLastEnd" vbProcedure="false">Settings!$C$26</definedName>
    <definedName function="false" hidden="false" name="SprintLength" vbProcedure="false">Settings!$C$23</definedName>
    <definedName function="false" hidden="false" name="SprintPrefix" vbProcedure="false">Settings!$C$25</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Settings!$C$6</definedName>
    <definedName function="false" hidden="false" name="StatusDateInput" vbProcedure="false">Start!$C$7</definedName>
    <definedName function="false" hidden="false" name="StatusWorkday" vbProcedure="false">Settings!$C$7</definedName>
    <definedName function="false" hidden="false" name="TotalPoints" vbProcedure="false">Settings!$C$30</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Cost" vbProcedure="false">Tasks[_LeafCost]</definedName>
    <definedName function="false" hidden="false" name="tsk_LeafEV" vbProcedure="false">Tasks[_LeafEV]</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PV" vbProcedure="false">Tasks[_LeafPV]</definedName>
    <definedName function="false" hidden="false" name="tsk_LeafTotalCost" vbProcedure="false">Tasks[_LeafTotalCost]</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ResourceAC" vbProcedure="false">Tasks[_ResourceAC]</definedName>
    <definedName function="false" hidden="false" name="tsk_ResourceNames" vbProcedure="false">Tasks[Resource Names]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Settings!$C$14</definedName>
    <definedName function="false" hidden="false" name="WorkingWeek" vbProcedure="false">Start!$C$8</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20</xdr:rowOff>
              </xdr:from>
              <xdr:to>
                <xdr:col>4</xdr:col>
                <xdr:colOff>-73</xdr:colOff>
                <xdr:row>4</xdr:row>
                <xdr:rowOff>13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G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Q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R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S5" authorId="0">
      <text>
        <r>
          <rPr>
            <sz val="10"/>
            <rFont val="Arial"/>
            <family val="2"/>
          </rPr>
          <t xml:space="preserve">The task's person (dropdown). More people on the task: Assignments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Y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Z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C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E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34</xdr:rowOff>
              </xdr:to>
            </anchor>
          </commentPr>
        </mc:Choice>
        <mc:Fallback/>
      </mc:AlternateContent>
    </comment>
    <comment ref="AG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H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K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Forecast 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N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O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R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S5" authorId="0">
      <text>
        <r>
          <rPr>
            <sz val="10"/>
            <rFont val="Arial"/>
            <family val="2"/>
          </rPr>
          <t xml:space="preserve">% Complete,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T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U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V5" authorId="0">
      <text>
        <r>
          <rPr>
            <sz val="10"/>
            <rFont val="Arial"/>
            <family val="2"/>
          </rPr>
          <t xml:space="preserve">Everyone on the task: Resource plus the Assignments sheet's rows for its UID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W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Y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Z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A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BB5" authorId="0">
      <text>
        <r>
          <rPr>
            <sz val="10"/>
            <rFont val="Arial"/>
            <family val="2"/>
          </rPr>
          <t xml:space="preserve">Story points (optional estimate for agile reporting). Detail tasks only.</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C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D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E5" authorId="0">
      <text>
        <r>
          <rPr>
            <sz val="10"/>
            <rFont val="Arial"/>
            <family val="2"/>
          </rPr>
          <t xml:space="preserve">Cost minus Baseline Cost.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F5" authorId="0">
      <text>
        <r>
          <rPr>
            <sz val="10"/>
            <rFont val="Arial"/>
            <family val="2"/>
          </rPr>
          <t xml:space="preserve">Copy the 5 BL Source columns, then Paste Special &gt; Values onto the 5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BK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P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Q5" authorId="0">
      <text>
        <r>
          <rPr>
            <sz val="10"/>
            <rFont val="Arial"/>
            <family val="2"/>
          </rPr>
          <t xml:space="preserve">Budget at completion: Baseline Cost once a baseline is set, otherwise Cost.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R5" authorId="0">
      <text>
        <r>
          <rPr>
            <sz val="10"/>
            <rFont val="Arial"/>
            <family val="2"/>
          </rPr>
          <t xml:space="preserve">Planned value: the budget of the work planned before the status date.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S5" authorId="0">
      <text>
        <r>
          <rPr>
            <sz val="10"/>
            <rFont val="Arial"/>
            <family val="2"/>
          </rPr>
          <t xml:space="preserve">Actual cost to date: Actual Cost, or Cost x Progress when it is blank.</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L5" authorId="0">
      <text>
        <r>
          <rPr>
            <sz val="10"/>
            <rFont val="Arial"/>
            <family val="2"/>
          </rPr>
          <t xml:space="preserve">Yes down to Settings &gt; OutlineShowLevel: filter on Yes to collapse the outline.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134</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 (Tasks &gt; Resource, and the Assignments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(shared by cost between the task's people),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19</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UID of a detail task on Tasks.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C5" authorId="0">
      <text>
        <r>
          <rPr>
            <sz val="10"/>
            <rFont val="Arial"/>
            <family val="2"/>
          </rPr>
          <t xml:space="preserve">The task's name (looked up).</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D5" authorId="0">
      <text>
        <r>
          <rPr>
            <sz val="10"/>
            <rFont val="Arial"/>
            <family val="2"/>
          </rPr>
          <t xml:space="preserve">Another person on the task (dropdown). The first person goes on Tasks &gt;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E5" authorId="0">
      <text>
        <r>
          <rPr>
            <sz val="10"/>
            <rFont val="Arial"/>
            <family val="2"/>
          </rPr>
          <t xml:space="preserve">Share of the person's time on this task (blank = DefaultUnits).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F5" authorId="0">
      <text>
        <r>
          <rPr>
            <sz val="10"/>
            <rFont val="Arial"/>
            <family val="2"/>
          </rPr>
          <t xml:space="preserve">Hours = the task's Duration x HoursPerDay x 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G5" authorId="0">
      <text>
        <r>
          <rPr>
            <sz val="10"/>
            <rFont val="Arial"/>
            <family val="2"/>
          </rPr>
          <t xml:space="preserve">Work x the resource's Std Rate.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H5" authorId="0">
      <text>
        <r>
          <rPr>
            <sz val="10"/>
            <rFont val="Arial"/>
            <family val="2"/>
          </rPr>
          <t xml:space="preserve">Explains a row that is ignored.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sharedStrings.xml><?xml version="1.0" encoding="utf-8"?>
<sst xmlns="http://schemas.openxmlformats.org/spreadsheetml/2006/main" count="969" uniqueCount="737">
  <si>
    <t xml:space="preserve">Project Planner - start here</t>
  </si>
  <si>
    <t xml:space="preserve">Blue = type here. Grey = calculated. Every sheet works in Excel alone: desktop, web and iPhone.</t>
  </si>
  <si>
    <t xml:space="preserve">YOUR PROJECT</t>
  </si>
  <si>
    <t xml:space="preserve">Project name</t>
  </si>
  <si>
    <t xml:space="preserve">New Project</t>
  </si>
  <si>
    <t xml:space="preserve">Project manager</t>
  </si>
  <si>
    <t xml:space="preserve">Project start date</t>
  </si>
  <si>
    <t xml:space="preserve">Status date</t>
  </si>
  <si>
    <t xml:space="preserve">Working week</t>
  </si>
  <si>
    <t xml:space="preserve">Mon-Fri</t>
  </si>
  <si>
    <t xml:space="preserve">Working hours per day</t>
  </si>
  <si>
    <t xml:space="preserve">QUICK START</t>
  </si>
  <si>
    <t xml:space="preserve">1. Your project</t>
  </si>
  <si>
    <t xml:space="preserve">Fill in the blue cells above: name, manager, start date, status date, working week and hours per day. Everything else has a sensible default on Settings.</t>
  </si>
  <si>
    <t xml:space="preserve">2. People</t>
  </si>
  <si>
    <t xml:space="preserve">List the people (or roles) with their availability and hourly rate.  Go to Resources.</t>
  </si>
  <si>
    <t xml:space="preserve">3. Tasks</t>
  </si>
  <si>
    <t xml:space="preserve">One row per task: Level (1 = phase, 2 = task ...), Task Name, Duration in working days, the UID of the task that must come first (Pred1 UID), the person (Resource). That's a plan: dates, the critical path, the Gantt and the reports follow. Optional columns are grouped: click + above a section to show them.  Go to Tasks.</t>
  </si>
  <si>
    <t xml:space="preserve">4. Check</t>
  </si>
  <si>
    <t xml:space="preserve">Fix anything in the Issues column (red), then look at the Gantt and the Roadmap.  Go to Gantt.</t>
  </si>
  <si>
    <t xml:space="preserve">5. Baseline</t>
  </si>
  <si>
    <t xml:space="preserve">When the plan is agreed, freeze it: on Tasks open the BASELINE section (+), copy the 5 'BL Source' columns and Paste Special &gt; Values onto the 5 Baseline columns.  Go to Tasks.</t>
  </si>
  <si>
    <t xml:space="preserve">EVERY WEEK</t>
  </si>
  <si>
    <t xml:space="preserve">Move the status date (above) to the reporting date.</t>
  </si>
  <si>
    <t xml:space="preserve">Progress</t>
  </si>
  <si>
    <t xml:space="preserve">On Tasks: % Complete, Actual Start and Actual Finish for the tasks that moved.  Go to Tasks.</t>
  </si>
  <si>
    <t xml:space="preserve">RAID and changes</t>
  </si>
  <si>
    <t xml:space="preserve">Update risks, issues, decisions and change requests.  Go to RAID.</t>
  </si>
  <si>
    <t xml:space="preserve">Status</t>
  </si>
  <si>
    <t xml:space="preserve">Review the RAG and add your comment (PM RAG overrides a calculated one).  Go to Status Report.</t>
  </si>
  <si>
    <t xml:space="preserve">Snapshot</t>
  </si>
  <si>
    <t xml:space="preserve">On History, copy the SnapshotNow row and Paste Special &gt; Values under the last row.  Go to History.</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</si>
  <si>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</si>
  <si>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</si>
  <si>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</si>
  <si>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</si>
  <si>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</si>
  <si>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</si>
  <si>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and status date (both typed dates; Ctrl+; enters today), working week and hours/day are at the top of this sheet. Settings holds the rest (Gantt scale, sprint calendar, RAG thresholds ...). Add holidays on 'Holidays'. Update the status date whenever you report progress.</t>
  </si>
  <si>
    <t xml:space="preserve">2. Resources</t>
  </si>
  <si>
    <t xml:space="preserve">List people/roles with Max Units and hourly rate. They appear in the Resource dropdown on Tasks and in sprint capacity. More than one person on a task: put the first on Tasks (Resource, Units) and add a row on the Assignments sheet (Task UID, Resource, Units) for each of the others.</t>
  </si>
  <si>
    <t xml:space="preserve">One row per task. Enter Level (1 = phase/summary, 2 = task, 3 = sub-task...), Task Name, Duration in working days (0 = milestone), and up to four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</si>
  <si>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</si>
  <si>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</si>
  <si>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</si>
  <si>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</si>
  <si>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</si>
  <si>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</si>
  <si>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</si>
  <si>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30 = months, 91 = quarters) on Settings to scroll or zoom. Collapse the outline with the 1 2 3 buttons at the top left (rows are grouped by Level), or set Settings &gt; OutlineShowLevel and filter Show = Yes (also on Tasks).</t>
  </si>
  <si>
    <t xml:space="preserve">6b. Roadmap</t>
  </si>
  <si>
    <t xml:space="preserve">One landscape page for sponsors: phases and milestones with their dates, drawn by month (blue = forecast, green = done, amber = late vs plan, outline = planned, purple = milestone, red = deadline missed). Settings &gt; RoadmapStart scrolls the 18 months shown.</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</si>
  <si>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</si>
  <si>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</si>
  <si>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</si>
  <si>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</si>
  <si>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</si>
  <si>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</si>
  <si>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</si>
  <si>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</si>
  <si>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</si>
  <si>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</si>
  <si>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</si>
  <si>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</si>
  <si>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</si>
  <si>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</si>
  <si>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</si>
  <si>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</si>
  <si>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</si>
  <si>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</si>
  <si>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</si>
  <si>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</si>
  <si>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</si>
  <si>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</si>
  <si>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</si>
  <si>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</si>
  <si>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</si>
  <si>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</si>
  <si>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</si>
  <si>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</si>
  <si>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</si>
  <si>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</si>
  <si>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</si>
  <si>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</si>
  <si>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</si>
  <si>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</si>
  <si>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</si>
  <si>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</si>
  <si>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</si>
  <si>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</si>
  <si>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</si>
  <si>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</si>
  <si>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</si>
  <si>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</si>
  <si>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</si>
  <si>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</si>
  <si>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</si>
  <si>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Assignments 100, Sprints 26, Holidays 100. The Gantt shows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--assignments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</si>
  <si>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</si>
  <si>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</si>
  <si>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</si>
  <si>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</si>
  <si>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</si>
  <si>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</si>
  <si>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</si>
  <si>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</si>
  <si>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</si>
  <si>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</si>
  <si>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</si>
  <si>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AssignmentTable, SprintTable, HolidayTable, GanttView,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</si>
  <si>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</si>
  <si>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</si>
  <si>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</si>
  <si>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</si>
  <si>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</si>
  <si>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</si>
  <si>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</si>
  <si>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</si>
  <si>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</si>
  <si>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</si>
  <si>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</si>
  <si>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</si>
  <si>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</si>
  <si>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</si>
  <si>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</si>
  <si>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</si>
  <si>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</si>
  <si>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</si>
  <si>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</si>
  <si>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</si>
  <si>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</si>
  <si>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</si>
  <si>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</si>
  <si>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</si>
  <si>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</si>
  <si>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</si>
  <si>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</si>
  <si>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</si>
  <si>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</si>
  <si>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</si>
  <si>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Tasks with issues (see Tasks &gt; Issues)</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</si>
  <si>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</si>
  <si>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</si>
  <si>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</si>
  <si>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</si>
  <si>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</si>
  <si>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</si>
  <si>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</si>
  <si>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</si>
  <si>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</si>
  <si>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</si>
  <si>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_Task</t>
  </si>
  <si>
    <t xml:space="preserve">WBS</t>
  </si>
  <si>
    <t xml:space="preserve">Phase</t>
  </si>
  <si>
    <t xml:space="preserve">Planned Start</t>
  </si>
  <si>
    <t xml:space="preserve">Planned Finish</t>
  </si>
  <si>
    <t xml:space="preserve">Start</t>
  </si>
  <si>
    <t xml:space="preserve">Finish</t>
  </si>
  <si>
    <t xml:space="preserve">Finish Var</t>
  </si>
  <si>
    <t xml:space="preserve">Milestone</t>
  </si>
  <si>
    <t xml:space="preserve">Planned</t>
  </si>
  <si>
    <t xml:space="preserve">Deadline</t>
  </si>
  <si>
    <t xml:space="preserve">Forecast</t>
  </si>
  <si>
    <t xml:space="preserve">Deadline Check</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</si>
  <si>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</si>
  <si>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</si>
  <si>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</si>
  <si>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</si>
  <si>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</si>
  <si>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</si>
  <si>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</si>
  <si>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</si>
  <si>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</si>
  <si>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</si>
  <si>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</si>
  <si>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</si>
  <si>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</si>
  <si>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</si>
  <si>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</si>
  <si>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</si>
  <si>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</si>
  <si>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</si>
  <si>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</si>
  <si>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</si>
  <si>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</si>
  <si>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</si>
  <si>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</si>
  <si>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</si>
  <si>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</si>
  <si>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</si>
  <si>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</si>
  <si>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</si>
  <si>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</si>
  <si>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</si>
  <si>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</si>
  <si>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</si>
  <si>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</si>
  <si>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</si>
  <si>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</si>
  <si>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</si>
  <si>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</si>
  <si>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</si>
  <si>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</si>
  <si>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</si>
  <si>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</si>
  <si>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</si>
  <si>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</si>
  <si>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</si>
  <si>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</si>
  <si>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</si>
  <si>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</si>
  <si>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</si>
  <si>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</si>
  <si>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</si>
  <si>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</si>
  <si>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</si>
  <si>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</si>
  <si>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</si>
  <si>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</si>
  <si>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</si>
  <si>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</si>
  <si>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</si>
  <si>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</si>
  <si>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</si>
  <si>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</si>
  <si>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</si>
  <si>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</si>
  <si>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</si>
  <si>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</si>
  <si>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</si>
  <si>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</si>
  <si>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</si>
  <si>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</si>
  <si>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</si>
  <si>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</si>
  <si>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</si>
  <si>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</si>
  <si>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</si>
  <si>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</si>
  <si>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</si>
  <si>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</si>
  <si>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</si>
  <si>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</si>
  <si>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</si>
  <si>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</si>
  <si>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</si>
  <si>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</si>
  <si>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Forecast Finish</t>
  </si>
  <si>
    <t xml:space="preserve">Budget</t>
  </si>
  <si>
    <t xml:space="preserve">PV</t>
  </si>
  <si>
    <t xml:space="preserve">EV</t>
  </si>
  <si>
    <t xml:space="preserve">AC</t>
  </si>
  <si>
    <t xml:space="preserve">SPI</t>
  </si>
  <si>
    <t xml:space="preserve">CPI</t>
  </si>
  <si>
    <t xml:space="preserve">Open Critical</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</si>
  <si>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</si>
  <si>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</si>
  <si>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</si>
  <si>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</si>
  <si>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</si>
  <si>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</si>
  <si>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</si>
  <si>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</si>
  <si>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</si>
  <si>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</si>
  <si>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</si>
  <si>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</si>
  <si>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</si>
  <si>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</si>
  <si>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</si>
  <si>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</si>
  <si>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</si>
  <si>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</si>
  <si>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</si>
  <si>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</si>
  <si>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</si>
  <si>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</si>
  <si>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</si>
  <si>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</si>
  <si>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</si>
  <si>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</si>
  <si>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</si>
  <si>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</si>
  <si>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</si>
  <si>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</si>
  <si>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</si>
  <si>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</si>
  <si>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</si>
  <si>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</si>
  <si>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</si>
  <si>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</si>
  <si>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</si>
  <si>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</si>
  <si>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</si>
  <si>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</si>
  <si>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</si>
  <si>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</si>
  <si>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</si>
  <si>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</si>
  <si>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</si>
  <si>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</si>
  <si>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</si>
  <si>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</si>
  <si>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</si>
  <si>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</si>
  <si>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</si>
  <si>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</si>
  <si>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</si>
  <si>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</si>
  <si>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</si>
  <si>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</si>
  <si>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</si>
  <si>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</si>
  <si>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</si>
  <si>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</si>
  <si>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</si>
  <si>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</si>
  <si>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</si>
  <si>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</si>
  <si>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</si>
  <si>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</si>
  <si>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</si>
  <si>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</si>
  <si>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</si>
  <si>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</si>
  <si>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</si>
  <si>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</si>
  <si>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</si>
  <si>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</si>
  <si>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</si>
  <si>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</si>
  <si>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</si>
  <si>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</si>
  <si>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</si>
  <si>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</si>
  <si>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</si>
  <si>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</si>
  <si>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</si>
  <si>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</si>
  <si>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</si>
  <si>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</si>
  <si>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</si>
  <si>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</si>
  <si>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</si>
  <si>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</si>
  <si>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</si>
  <si>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</si>
  <si>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</si>
  <si>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Project start (in use)</t>
  </si>
  <si>
    <t xml:space="preserve">ProjectStart</t>
  </si>
  <si>
    <t xml:space="preserve">Copy of the date above (dates show as 1900 until it is entered).</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</si>
  <si>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</si>
  <si>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</si>
  <si>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</si>
  <si>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</si>
  <si>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</si>
  <si>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</si>
  <si>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</si>
  <si>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</si>
  <si>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</si>
  <si>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</si>
  <si>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</si>
  <si>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</si>
  <si>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</si>
  <si>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</si>
  <si>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Used when Working week (Start sheet) is Custom: Yes / No for each day.</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</si>
  <si>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</si>
  <si>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</si>
  <si>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</si>
  <si>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</si>
  <si>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</si>
  <si>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</si>
  <si>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</si>
  <si>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</si>
  <si>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</si>
  <si>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</si>
  <si>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</si>
  <si>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</si>
  <si>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</si>
  <si>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</si>
  <si>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</si>
  <si>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</si>
  <si>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</si>
  <si>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</si>
  <si>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</si>
  <si>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</si>
  <si>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</si>
  <si>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</si>
  <si>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</si>
  <si>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</si>
  <si>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and Gantt &gt; Show is Yes for rows at this level or above: filter Show = Yes to see only phases (1), phases and tasks (2) ... Reapply the filter (Data &gt; Reapply) after changing it.</t>
  </si>
  <si>
    <t xml:space="preserve">Roadmap first month</t>
  </si>
  <si>
    <t xml:space="preserve">RoadmapStart</t>
  </si>
  <si>
    <t xml:space="preserve">The Roadmap sheet's first month. Overwrite with the first of any month to scroll it.</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</si>
  <si>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</si>
  <si>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</si>
  <si>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</si>
  <si>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</si>
  <si>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</si>
  <si>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</si>
  <si>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</si>
  <si>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</si>
  <si>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</si>
  <si>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</si>
  <si>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</si>
  <si>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</si>
  <si>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</si>
  <si>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</si>
  <si>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</si>
  <si>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</si>
  <si>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</si>
  <si>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</si>
  <si>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</si>
  <si>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</si>
  <si>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</si>
  <si>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</si>
  <si>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</si>
  <si>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</si>
  <si>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</si>
  <si>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</si>
  <si>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</si>
  <si>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</si>
  <si>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</si>
  <si>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</si>
  <si>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</si>
  <si>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</si>
  <si>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</si>
  <si>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</si>
  <si>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</si>
  <si>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</si>
  <si>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</si>
  <si>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</si>
  <si>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</si>
  <si>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</si>
  <si>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</si>
  <si>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</si>
  <si>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</si>
  <si>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</si>
  <si>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</si>
  <si>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</si>
  <si>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</si>
  <si>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</si>
  <si>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</si>
  <si>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</si>
  <si>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</si>
  <si>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</si>
  <si>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</si>
  <si>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</si>
  <si>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</si>
  <si>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</si>
  <si>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</si>
  <si>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</si>
  <si>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</si>
  <si>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</si>
  <si>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</si>
  <si>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</si>
  <si>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Start &gt; Inserting tasks).</t>
  </si>
  <si>
    <t xml:space="preserve">Type in BLUE columns only. Level = outline level (1 = phase, 2 = task, 3 = sub-task). Predecessors refer to the UID column. Fix anything in Issues (red). More columns (scheduling, schedule detail, cost, agile, baseline, earned value): click + above a section. Insert rows inside the table: formulas fill in automatically.</t>
  </si>
  <si>
    <t xml:space="preserve">PLAN: type in the blue columns</t>
  </si>
  <si>
    <t xml:space="preserve">SCHEDULING</t>
  </si>
  <si>
    <t xml:space="preserve">DETAIL</t>
  </si>
  <si>
    <t xml:space="preserve">COST</t>
  </si>
  <si>
    <t xml:space="preserve">AGILE</t>
  </si>
  <si>
    <t xml:space="preserve">BASELINE</t>
  </si>
  <si>
    <t xml:space="preserve">EARNED VALUE</t>
  </si>
  <si>
    <t xml:space="preserve">HELPER COLUMNS (hidden)</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</si>
  <si>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</si>
  <si>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</si>
  <si>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</si>
  <si>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</si>
  <si>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</si>
  <si>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</si>
  <si>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</si>
  <si>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</si>
  <si>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</si>
  <si>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</si>
  <si>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Pred3 UID</t>
  </si>
  <si>
    <t xml:space="preserve">Pred3 Type</t>
  </si>
  <si>
    <t xml:space="preserve">Pred3 Lag</t>
  </si>
  <si>
    <t xml:space="preserve">Pred4 UID</t>
  </si>
  <si>
    <t xml:space="preserve">Pred4 Type</t>
  </si>
  <si>
    <t xml:space="preserve">Pred4 Lag</t>
  </si>
  <si>
    <t xml:space="preserve">Units</t>
  </si>
  <si>
    <t xml:space="preserve">% Complete</t>
  </si>
  <si>
    <t xml:space="preserve">Actual Start</t>
  </si>
  <si>
    <t xml:space="preserve">Actual Finish</t>
  </si>
  <si>
    <t xml:space="preserve">Issues</t>
  </si>
  <si>
    <t xml:space="preserve">Show</t>
  </si>
  <si>
    <t xml:space="preserve">Constraint</t>
  </si>
  <si>
    <t xml:space="preserve">Constraint Date</t>
  </si>
  <si>
    <t xml:space="preserve">Start Var</t>
  </si>
  <si>
    <t xml:space="preserve">Late Finish</t>
  </si>
  <si>
    <t xml:space="preserve">Free Slack</t>
  </si>
  <si>
    <t xml:space="preserve">Link Check</t>
  </si>
  <si>
    <t xml:space="preserve">Resource Names</t>
  </si>
  <si>
    <t xml:space="preserve">Over-allocated</t>
  </si>
  <si>
    <t xml:space="preserve">Sprint</t>
  </si>
  <si>
    <t xml:space="preserve">Planned Sprint</t>
  </si>
  <si>
    <t xml:space="preserve">Duration Var</t>
  </si>
  <si>
    <t xml:space="preserve">Work Var</t>
  </si>
  <si>
    <t xml:space="preserve">Cost Var</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</si>
  <si>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</si>
  <si>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</si>
  <si>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</si>
  <si>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</si>
  <si>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</si>
  <si>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</si>
  <si>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</si>
  <si>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</si>
  <si>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</si>
  <si>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</si>
  <si>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</si>
  <si>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</si>
  <si>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</si>
  <si>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</si>
  <si>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</si>
  <si>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</si>
  <si>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</si>
  <si>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</si>
  <si>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</si>
  <si>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</si>
  <si>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</si>
  <si>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</si>
  <si>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</si>
  <si>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</si>
  <si>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</si>
  <si>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</si>
  <si>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</si>
  <si>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</si>
  <si>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</si>
  <si>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</si>
  <si>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</si>
  <si>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</si>
  <si>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_LeafTotalWork</t>
  </si>
  <si>
    <t xml:space="preserve">_LeafTotalCost</t>
  </si>
  <si>
    <t xml:space="preserve">_ResourceAC</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</si>
  <si>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</si>
  <si>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</si>
  <si>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</si>
  <si>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</si>
  <si>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</si>
  <si>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</si>
  <si>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</si>
  <si>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</si>
  <si>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</si>
  <si>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</si>
  <si>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</si>
  <si>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</si>
  <si>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</si>
  <si>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</si>
  <si>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</si>
  <si>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</si>
  <si>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</si>
  <si>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</si>
  <si>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</si>
  <si>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</si>
  <si>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</si>
  <si>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</si>
  <si>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</si>
  <si>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</si>
  <si>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</si>
  <si>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</si>
  <si>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</si>
  <si>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</si>
  <si>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</si>
  <si>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</si>
  <si>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</si>
  <si>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</si>
  <si>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</si>
  <si>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</si>
  <si>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</si>
  <si>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</si>
  <si>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</si>
  <si>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</si>
  <si>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</si>
  <si>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</si>
  <si>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</si>
  <si>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</si>
  <si>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</si>
  <si>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</si>
  <si>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</si>
  <si>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</si>
  <si>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</si>
  <si>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</si>
  <si>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</si>
  <si>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</si>
  <si>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</si>
  <si>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</si>
  <si>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</si>
  <si>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</si>
  <si>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</si>
  <si>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</si>
  <si>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</si>
  <si>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</si>
  <si>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</si>
  <si>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</si>
  <si>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</si>
  <si>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</si>
  <si>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</si>
  <si>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</si>
  <si>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</si>
  <si>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</si>
  <si>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</si>
  <si>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</si>
  <si>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</si>
  <si>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</si>
  <si>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</si>
  <si>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</si>
  <si>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</si>
  <si>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</si>
  <si>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</si>
  <si>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</si>
  <si>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</si>
  <si>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</si>
  <si>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</si>
  <si>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</si>
  <si>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</si>
  <si>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</si>
  <si>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Assignments</t>
  </si>
  <si>
    <t xml:space="preserve">More than one person on a task: the first goes on Tasks (Resource, Units); add a row here for each other person. Work, cost, the Resource Report and Sprints include them. Add rows to the table for more.</t>
  </si>
  <si>
    <t xml:space="preserve">Check</t>
  </si>
  <si>
    <t xml:space="preserve">_TaskPos</t>
  </si>
  <si>
    <t xml:space="preserve">_Valid</t>
  </si>
  <si>
    <t xml:space="preserve">_Key</t>
  </si>
  <si>
    <t xml:space="preserve">_Text</t>
  </si>
  <si>
    <t xml:space="preserve">_StartWD</t>
  </si>
  <si>
    <t xml:space="preserve">_FinishWD</t>
  </si>
  <si>
    <t xml:space="preserve">_WorkPerWD</t>
  </si>
  <si>
    <t xml:space="preserve">_WorkDone</t>
  </si>
  <si>
    <t xml:space="preserve">_ActualCost</t>
  </si>
  <si>
    <t xml:space="preserve">_OverAllocated</t>
  </si>
  <si>
    <t xml:space="preserve">Sprint calendar from Settings (Sprint1Start, SprintLength, SprintCount); add rows to the table for more sprints. Each task's work is spread evenly over its forecast working days, then summed per sprint.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</si>
  <si>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</si>
  <si>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</si>
  <si>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</si>
  <si>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</si>
  <si>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</si>
  <si>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</si>
  <si>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</si>
  <si>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</si>
  <si>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</si>
  <si>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</si>
  <si>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</si>
  <si>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</si>
  <si>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</si>
  <si>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</si>
  <si>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</si>
  <si>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</si>
  <si>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</si>
  <si>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</si>
  <si>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</si>
  <si>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</si>
  <si>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</si>
  <si>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</si>
  <si>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</si>
  <si>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</si>
  <si>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</si>
  <si>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</si>
  <si>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</si>
  <si>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</si>
  <si>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</si>
  <si>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</si>
  <si>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</si>
  <si>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</si>
  <si>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</si>
  <si>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</si>
  <si>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</si>
  <si>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</si>
  <si>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</si>
  <si>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</si>
  <si>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</si>
  <si>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</si>
  <si>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</si>
  <si>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</si>
  <si>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</si>
  <si>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</si>
  <si>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</si>
  <si>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</si>
  <si>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</si>
  <si>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</si>
  <si>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</si>
  <si>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</si>
  <si>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</si>
  <si>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</si>
  <si>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</si>
  <si>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</si>
  <si>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</si>
  <si>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</si>
  <si>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</si>
  <si>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</si>
  <si>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</si>
  <si>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</si>
  <si>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Link Type</t>
  </si>
  <si>
    <t xml:space="preserve">Task Mode</t>
  </si>
  <si>
    <t xml:space="preserve">Working Week</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</si>
  <si>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</si>
  <si>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</si>
  <si>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</si>
  <si>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</si>
  <si>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</si>
  <si>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</si>
  <si>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</si>
  <si>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FS</t>
  </si>
  <si>
    <t xml:space="preserve">Auto</t>
  </si>
  <si>
    <t xml:space="preserve">As Soon As Possible</t>
  </si>
  <si>
    <t xml:space="preserve">Green</t>
  </si>
  <si>
    <t xml:space="preserve">Risk</t>
  </si>
  <si>
    <t xml:space="preserve">Open</t>
  </si>
  <si>
    <t xml:space="preserve">Proposed</t>
  </si>
  <si>
    <t xml:space="preserve">Submitted</t>
  </si>
  <si>
    <t xml:space="preserve">SS</t>
  </si>
  <si>
    <t xml:space="preserve">Manual</t>
  </si>
  <si>
    <t xml:space="preserve">Sun-Thu</t>
  </si>
  <si>
    <t xml:space="preserve">As Late As Possible</t>
  </si>
  <si>
    <t xml:space="preserve">Material</t>
  </si>
  <si>
    <t xml:space="preserve">Amber</t>
  </si>
  <si>
    <t xml:space="preserve">Assumption</t>
  </si>
  <si>
    <t xml:space="preserve">Approved</t>
  </si>
  <si>
    <t xml:space="preserve">Under Review</t>
  </si>
  <si>
    <t xml:space="preserve">FF</t>
  </si>
  <si>
    <t xml:space="preserve">Mon-Sat</t>
  </si>
  <si>
    <t xml:space="preserve">Must Start On</t>
  </si>
  <si>
    <t xml:space="preserve">Red</t>
  </si>
  <si>
    <t xml:space="preserve">Issue</t>
  </si>
  <si>
    <t xml:space="preserve">Closed</t>
  </si>
  <si>
    <t xml:space="preserve">Rejected</t>
  </si>
  <si>
    <t xml:space="preserve">SF</t>
  </si>
  <si>
    <t xml:space="preserve">Custom</t>
  </si>
  <si>
    <t xml:space="preserve">Must Finish On</t>
  </si>
  <si>
    <t xml:space="preserve">Dependency</t>
  </si>
  <si>
    <t xml:space="preserve">Superseded</t>
  </si>
  <si>
    <t xml:space="preserve">Start No Earlier Than</t>
  </si>
  <si>
    <t xml:space="preserve">Implemented</t>
  </si>
  <si>
    <t xml:space="preserve">Start No Later Than</t>
  </si>
  <si>
    <t xml:space="preserve">Finish No Earlier Than</t>
  </si>
  <si>
    <t xml:space="preserve">Finish No Later Than</t>
  </si>
  <si>
    <t xml:space="preserve">Dropdown sources. Add a value by typing it in the row under a list: the table and its named range grow.</t>
  </si>
</sst>
</file>

<file path=xl/styles.xml><?xml version="1.0" encoding="utf-8"?>
<styleSheet xmlns="http://schemas.openxmlformats.org/spreadsheetml/2006/main">
  <numFmts count="23">
    <numFmt numFmtId="164" formatCode=";;;"/>
    <numFmt numFmtId="165" formatCode="General"/>
    <numFmt numFmtId="166" formatCode="@"/>
    <numFmt numFmtId="167" formatCode="ddd\ dd\-mmm\-yy"/>
    <numFmt numFmtId="168" formatCode="0.0"/>
    <numFmt numFmtId="169" formatCode="\+0;\-0;0"/>
    <numFmt numFmtId="170" formatCode="0%"/>
    <numFmt numFmtId="171" formatCode="0"/>
    <numFmt numFmtId="172" formatCode="#,##0"/>
    <numFmt numFmtId="173" formatCode="#,##0.00"/>
    <numFmt numFmtId="174" formatCode="0.00"/>
    <numFmt numFmtId="175" formatCode="mmm"/>
    <numFmt numFmtId="176" formatCode="dd\-mmm\-yy"/>
    <numFmt numFmtId="177" formatCode="0.#"/>
    <numFmt numFmtId="178" formatCode="dd\-mmm"/>
    <numFmt numFmtId="179" formatCode="General"/>
    <numFmt numFmtId="180" formatCode="#,##0;;\-"/>
    <numFmt numFmtId="181" formatCode="0%;;\-"/>
    <numFmt numFmtId="182" formatCode="0.#;;\-"/>
    <numFmt numFmtId="183" formatCode="mmm\-yy"/>
    <numFmt numFmtId="184" formatCode="#,##0.0"/>
    <numFmt numFmtId="185" formatCode="d"/>
    <numFmt numFmtId="186" formatCode="dd\-mmm;;\-"/>
  </numFmts>
  <fonts count="37">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404040"/>
      <name val="Arial"/>
      <family val="0"/>
      <charset val="1"/>
    </font>
    <font>
      <b val="true"/>
      <sz val="8"/>
      <color rgb="FF404040"/>
      <name val="Arial"/>
      <family val="0"/>
      <charset val="1"/>
    </font>
    <font>
      <b val="true"/>
      <sz val="8"/>
      <color rgb="FFFFFFFF"/>
      <name val="Arial"/>
      <family val="0"/>
      <charset val="1"/>
    </font>
    <font>
      <b val="true"/>
      <sz val="10"/>
      <color rgb="FF1F4E78"/>
      <name val="Arial"/>
      <family val="0"/>
      <charset val="1"/>
    </font>
    <font>
      <sz val="10"/>
      <color rgb="FF404040"/>
      <name val="Arial"/>
      <family val="0"/>
      <charset val="1"/>
    </font>
    <font>
      <sz val="8"/>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sz val="8"/>
      <color rgb="FF404040"/>
      <name val="Arial"/>
      <family val="0"/>
      <charset val="1"/>
    </font>
    <font>
      <sz val="8"/>
      <color rgb="FFFFFFFF"/>
      <name val="Arial"/>
      <family val="0"/>
      <charset val="1"/>
    </font>
  </fonts>
  <fills count="15">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98B855"/>
      </patternFill>
    </fill>
    <fill>
      <patternFill patternType="solid">
        <fgColor rgb="FFF4B183"/>
        <bgColor rgb="FFFFC7CE"/>
      </patternFill>
    </fill>
    <fill>
      <patternFill patternType="solid">
        <fgColor rgb="FF7030A0"/>
        <bgColor rgb="FF800080"/>
      </patternFill>
    </fill>
    <fill>
      <patternFill patternType="solid">
        <fgColor rgb="FFC00000"/>
        <bgColor rgb="FF9C0006"/>
      </patternFill>
    </fill>
    <fill>
      <patternFill patternType="solid">
        <fgColor rgb="FF9DC3E6"/>
        <bgColor rgb="FFA6A6A6"/>
      </patternFill>
    </fill>
    <fill>
      <patternFill patternType="solid">
        <fgColor rgb="FFE06666"/>
        <bgColor rgb="FFC0504D"/>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5">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7" fontId="11" fillId="3" borderId="1" xfId="0" applyFont="true" applyBorder="true" applyAlignment="true" applyProtection="false">
      <alignment horizontal="right"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false" applyProtection="false">
      <alignment horizontal="general"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9" fontId="11" fillId="3" borderId="1" xfId="0" applyFont="true" applyBorder="true" applyAlignment="true" applyProtection="false">
      <alignment horizontal="right"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70" fontId="11"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71" fontId="11" fillId="3" borderId="1" xfId="0" applyFont="true" applyBorder="true" applyAlignment="true" applyProtection="false">
      <alignment horizontal="right" vertical="bottom" textRotation="0" wrapText="false" indent="0" shrinkToFit="false"/>
      <protection locked="true" hidden="false"/>
    </xf>
    <xf numFmtId="172" fontId="11" fillId="3" borderId="1" xfId="0" applyFont="true" applyBorder="true" applyAlignment="true" applyProtection="false">
      <alignment horizontal="right" vertical="bottom" textRotation="0" wrapText="false" indent="0" shrinkToFit="false"/>
      <protection locked="true" hidden="false"/>
    </xf>
    <xf numFmtId="173" fontId="11" fillId="3" borderId="1" xfId="0" applyFont="true" applyBorder="true" applyAlignment="true" applyProtection="false">
      <alignment horizontal="right" vertical="bottom" textRotation="0" wrapText="false" indent="0" shrinkToFit="false"/>
      <protection locked="true" hidden="false"/>
    </xf>
    <xf numFmtId="166" fontId="11" fillId="3" borderId="1" xfId="0" applyFont="true" applyBorder="true" applyAlignment="true" applyProtection="false">
      <alignment horizontal="right" vertical="bottom" textRotation="0" wrapText="false" indent="0" shrinkToFit="false"/>
      <protection locked="true" hidden="false"/>
    </xf>
    <xf numFmtId="174" fontId="11" fillId="3" borderId="1" xfId="0" applyFont="true" applyBorder="tru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5" fontId="21" fillId="0" borderId="0" xfId="0" applyFont="true" applyBorder="false" applyAlignment="false" applyProtection="false">
      <alignment horizontal="general" vertical="bottom" textRotation="0" wrapText="false" indent="0" shrinkToFit="false"/>
      <protection locked="true" hidden="false"/>
    </xf>
    <xf numFmtId="175" fontId="22" fillId="4" borderId="0" xfId="0" applyFont="true" applyBorder="false" applyAlignment="true" applyProtection="false">
      <alignment horizontal="center"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76" fontId="10" fillId="3" borderId="1" xfId="0" applyFont="true" applyBorder="true" applyAlignment="true" applyProtection="false">
      <alignment horizontal="center" vertical="bottom" textRotation="0" wrapText="false" indent="0" shrinkToFit="false"/>
      <protection locked="true" hidden="false"/>
    </xf>
    <xf numFmtId="170"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4"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7"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74" fontId="10" fillId="3" borderId="1" xfId="0" applyFont="true" applyBorder="true" applyAlignment="true" applyProtection="false">
      <alignment horizontal="center" vertical="bottom" textRotation="0" wrapText="false" indent="0" shrinkToFit="false"/>
      <protection locked="true" hidden="false"/>
    </xf>
    <xf numFmtId="171"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78" fontId="6" fillId="4" borderId="1" xfId="0" applyFont="true" applyBorder="true" applyAlignment="true" applyProtection="false">
      <alignment horizontal="center" vertical="center" textRotation="0" wrapText="tru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79" fontId="28"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80" fontId="10" fillId="0" borderId="1" xfId="0" applyFont="true" applyBorder="true" applyAlignment="false" applyProtection="false">
      <alignment horizontal="general" vertical="bottom" textRotation="0" wrapText="false" indent="0" shrinkToFit="false"/>
      <protection locked="true" hidden="false"/>
    </xf>
    <xf numFmtId="180" fontId="7" fillId="3" borderId="1" xfId="0" applyFont="true" applyBorder="true" applyAlignment="false" applyProtection="false">
      <alignment horizontal="general" vertical="bottom" textRotation="0" wrapText="false" indent="0" shrinkToFit="false"/>
      <protection locked="true" hidden="false"/>
    </xf>
    <xf numFmtId="181" fontId="10" fillId="0" borderId="1"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false" applyProtection="false">
      <alignment horizontal="general" vertical="bottom" textRotation="0" wrapText="false" indent="0" shrinkToFit="false"/>
      <protection locked="true" hidden="false"/>
    </xf>
    <xf numFmtId="182" fontId="10" fillId="0" borderId="1" xfId="0" applyFont="true" applyBorder="true" applyAlignment="false" applyProtection="false">
      <alignment horizontal="general" vertical="bottom" textRotation="0" wrapText="false" indent="0" shrinkToFit="false"/>
      <protection locked="true" hidden="false"/>
    </xf>
    <xf numFmtId="165" fontId="31"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77" fontId="10" fillId="3" borderId="1" xfId="0" applyFont="true" applyBorder="true" applyAlignment="true" applyProtection="false">
      <alignment horizontal="right"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82" fontId="10" fillId="3" borderId="1" xfId="0" applyFont="true" applyBorder="true" applyAlignment="true" applyProtection="false">
      <alignment horizontal="center" vertical="bottom" textRotation="0" wrapText="false" indent="0" shrinkToFit="false"/>
      <protection locked="true" hidden="false"/>
    </xf>
    <xf numFmtId="177" fontId="10" fillId="3" borderId="1" xfId="0" applyFont="true" applyBorder="true" applyAlignment="false" applyProtection="false">
      <alignment horizontal="general" vertical="bottom" textRotation="0" wrapText="false" indent="0" shrinkToFit="false"/>
      <protection locked="true" hidden="false"/>
    </xf>
    <xf numFmtId="177" fontId="24"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70"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4" fontId="8" fillId="0" borderId="1" xfId="0" applyFont="true" applyBorder="true" applyAlignment="true" applyProtection="false">
      <alignment horizontal="center" vertical="bottom" textRotation="0" wrapText="false" indent="0" shrinkToFit="false"/>
      <protection locked="true" hidden="false"/>
    </xf>
    <xf numFmtId="177"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5" fontId="33" fillId="0" borderId="0" xfId="0" applyFont="true" applyBorder="fals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83" fontId="8" fillId="0"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4" fontId="8" fillId="0" borderId="1" xfId="0" applyFont="true" applyBorder="true" applyAlignment="false" applyProtection="false">
      <alignment horizontal="general" vertical="bottom" textRotation="0" wrapText="false" indent="0" shrinkToFit="false"/>
      <protection locked="tru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xf numFmtId="184" fontId="10" fillId="3" borderId="1" xfId="0" applyFont="true" applyBorder="true" applyAlignment="false" applyProtection="false">
      <alignment horizontal="general" vertical="bottom" textRotation="0" wrapText="false" indent="0" shrinkToFit="false"/>
      <protection locked="true" hidden="false"/>
    </xf>
    <xf numFmtId="173" fontId="10" fillId="3"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84" fontId="8" fillId="0" borderId="1" xfId="0" applyFont="true" applyBorder="true" applyAlignment="false" applyProtection="false">
      <alignment horizontal="general" vertical="bottom" textRotation="0" wrapText="false" indent="0" shrinkToFit="false"/>
      <protection locked="true" hidden="false"/>
    </xf>
    <xf numFmtId="179" fontId="24" fillId="3" borderId="1" xfId="0" applyFont="true" applyBorder="true" applyAlignment="false" applyProtection="false">
      <alignment horizontal="general" vertical="bottom" textRotation="0" wrapText="false" indent="0" shrinkToFit="false"/>
      <protection locked="true" hidden="false"/>
    </xf>
    <xf numFmtId="167" fontId="24" fillId="3" borderId="1" xfId="0" applyFont="true" applyBorder="true" applyAlignment="false" applyProtection="false">
      <alignment horizontal="general" vertical="bottom" textRotation="0" wrapText="false" indent="0"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34"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35" fillId="0" borderId="0" xfId="0" applyFont="true" applyBorder="false" applyAlignment="true" applyProtection="false">
      <alignment horizontal="center" vertical="center" textRotation="0" wrapText="false" indent="0" shrinkToFit="false"/>
      <protection locked="true" hidden="false"/>
    </xf>
    <xf numFmtId="165" fontId="21" fillId="0" borderId="0" xfId="0" applyFont="true" applyBorder="false" applyAlignment="true" applyProtection="false">
      <alignment horizontal="left" vertical="center" textRotation="0" wrapText="false" indent="0" shrinkToFit="false"/>
      <protection locked="true" hidden="false"/>
    </xf>
    <xf numFmtId="185" fontId="36" fillId="4" borderId="0" xfId="0" applyFont="true" applyBorder="false" applyAlignment="true" applyProtection="false">
      <alignment horizontal="center" vertical="center" textRotation="0" wrapText="false" indent="0" shrinkToFit="false"/>
      <protection locked="true" hidden="false"/>
    </xf>
    <xf numFmtId="165" fontId="34" fillId="3" borderId="1" xfId="0" applyFont="true" applyBorder="true" applyAlignment="true" applyProtection="false">
      <alignment horizontal="center" vertical="bottom" textRotation="0" wrapText="false" indent="0" shrinkToFit="false"/>
      <protection locked="true" hidden="false"/>
    </xf>
    <xf numFmtId="165" fontId="34" fillId="3" borderId="1" xfId="0" applyFont="true" applyBorder="true" applyAlignment="false" applyProtection="false">
      <alignment horizontal="general" vertical="bottom" textRotation="0" wrapText="false" indent="0" shrinkToFit="false"/>
      <protection locked="true" hidden="false"/>
    </xf>
    <xf numFmtId="176" fontId="34" fillId="3" borderId="1" xfId="0" applyFont="true" applyBorder="true" applyAlignment="false" applyProtection="false">
      <alignment horizontal="general" vertical="bottom" textRotation="0" wrapText="false" indent="0" shrinkToFit="false"/>
      <protection locked="true" hidden="false"/>
    </xf>
    <xf numFmtId="170" fontId="34" fillId="3" borderId="1" xfId="0" applyFont="true" applyBorder="true" applyAlignment="true" applyProtection="false">
      <alignment horizontal="center" vertical="bottom" textRotation="0" wrapText="false" indent="0" shrinkToFit="false"/>
      <protection locked="true" hidden="false"/>
    </xf>
    <xf numFmtId="179" fontId="34" fillId="3" borderId="1" xfId="0" applyFont="true" applyBorder="true" applyAlignment="false" applyProtection="false">
      <alignment horizontal="general" vertical="bottom" textRotation="0" wrapText="false" indent="0" shrinkToFit="false"/>
      <protection locked="true" hidden="false"/>
    </xf>
    <xf numFmtId="179" fontId="34" fillId="3" borderId="1" xfId="0" applyFont="true" applyBorder="true" applyAlignment="false" applyProtection="false">
      <alignment horizontal="general" vertical="bottom" textRotation="0" wrapText="false" indent="0" shrinkToFit="false"/>
      <protection locked="true" hidden="false"/>
    </xf>
    <xf numFmtId="186" fontId="34"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center" vertical="bottom" textRotation="0" wrapText="false" indent="0" shrinkToFit="false"/>
      <protection locked="true" hidden="false"/>
    </xf>
    <xf numFmtId="178" fontId="2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4">
    <dxf>
      <fill>
        <patternFill>
          <bgColor rgb="FFFFFF00"/>
        </patternFill>
      </fill>
    </dxf>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548235"/>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A6A6A6"/>
          <bgColor rgb="FF000000"/>
        </patternFill>
      </fill>
    </dxf>
    <dxf>
      <fill>
        <patternFill patternType="solid">
          <fgColor rgb="FF404040"/>
          <bgColor rgb="FF0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ont>
        <b val="1"/>
        <color rgb="FFC00000"/>
      </font>
    </dxf>
    <dxf>
      <fill>
        <patternFill patternType="solid">
          <fgColor rgb="FF1F4E78"/>
          <bgColor rgb="FF000000"/>
        </patternFill>
      </fill>
    </dxf>
    <dxf>
      <fill>
        <patternFill patternType="solid">
          <fgColor rgb="FF0000FF"/>
          <bgColor rgb="FF000000"/>
        </patternFill>
      </fill>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border diagonalUp="false" diagonalDown="false">
        <left/>
        <right/>
        <top style="thin">
          <color rgb="FF1F3864"/>
        </top>
        <bottom style="thin">
          <color rgb="FF1F3864"/>
        </bottom>
        <diagonal/>
      </border>
    </dxf>
    <dxf>
      <fill>
        <patternFill>
          <bgColor rgb="FFEDEDED"/>
        </patternFill>
      </fill>
    </dxf>
    <dxf>
      <numFmt numFmtId="164" formatCode=";;;"/>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5B9BD5"/>
      <rgbColor rgb="FFBE4B48"/>
      <rgbColor rgb="FFFFF2CC"/>
      <rgbColor rgb="FFDDEBF7"/>
      <rgbColor rgb="FF660066"/>
      <rgbColor rgb="FFE06666"/>
      <rgbColor rgb="FF0066CC"/>
      <rgbColor rgb="FFD9D9D9"/>
      <rgbColor rgb="FF000080"/>
      <rgbColor rgb="FFFF00FF"/>
      <rgbColor rgb="FFEDEDED"/>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9F9F9"/>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0</c:v>
                </c:pt>
                <c:pt idx="1">
                  <c:v>0</c:v>
                </c:pt>
                <c:pt idx="2">
                  <c:v>0</c:v>
                </c:pt>
                <c:pt idx="3">
                  <c:v>0</c:v>
                </c:pt>
                <c:pt idx="4">
                  <c:v>0</c:v>
                </c:pt>
              </c:numCache>
            </c:numRef>
          </c:val>
        </c:ser>
        <c:gapWidth val="150"/>
        <c:overlap val="0"/>
        <c:axId val="49160945"/>
        <c:axId val="57847230"/>
      </c:barChart>
      <c:catAx>
        <c:axId val="491609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847230"/>
        <c:crosses val="autoZero"/>
        <c:auto val="1"/>
        <c:lblAlgn val="ctr"/>
        <c:lblOffset val="100"/>
        <c:noMultiLvlLbl val="0"/>
      </c:catAx>
      <c:valAx>
        <c:axId val="5784723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16094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68097825"/>
        <c:axId val="83532204"/>
      </c:barChart>
      <c:catAx>
        <c:axId val="680978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532204"/>
        <c:crosses val="autoZero"/>
        <c:auto val="1"/>
        <c:lblAlgn val="ctr"/>
        <c:lblOffset val="100"/>
        <c:noMultiLvlLbl val="0"/>
      </c:catAx>
      <c:valAx>
        <c:axId val="8353220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09782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0</c:v>
                </c:pt>
                <c:pt idx="1">
                  <c:v>0</c:v>
                </c:pt>
                <c:pt idx="2">
                  <c:v>0</c:v>
                </c:pt>
                <c:pt idx="3">
                  <c:v>0</c:v>
                </c:pt>
              </c:numCache>
            </c:numRef>
          </c:val>
        </c:ser>
        <c:gapWidth val="150"/>
        <c:overlap val="0"/>
        <c:axId val="46538382"/>
        <c:axId val="24880798"/>
      </c:barChart>
      <c:catAx>
        <c:axId val="4653838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880798"/>
        <c:crosses val="autoZero"/>
        <c:auto val="1"/>
        <c:lblAlgn val="ctr"/>
        <c:lblOffset val="100"/>
        <c:noMultiLvlLbl val="0"/>
      </c:catAx>
      <c:valAx>
        <c:axId val="24880798"/>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53838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Report'!$D$61:$AC$61</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10746605"/>
        <c:axId val="46162336"/>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Report'!$D$62:$AC$62</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mooth val="0"/>
        </c:ser>
        <c:hiLowLines>
          <c:spPr>
            <a:ln w="0">
              <a:noFill/>
            </a:ln>
          </c:spPr>
        </c:hiLowLines>
        <c:marker val="0"/>
        <c:axId val="10746605"/>
        <c:axId val="46162336"/>
      </c:lineChart>
      <c:catAx>
        <c:axId val="10746605"/>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162336"/>
        <c:crosses val="autoZero"/>
        <c:auto val="1"/>
        <c:lblAlgn val="ctr"/>
        <c:lblOffset val="100"/>
        <c:noMultiLvlLbl val="0"/>
      </c:catAx>
      <c:valAx>
        <c:axId val="4616233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74660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0</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93232674"/>
        <c:axId val="26394194"/>
      </c:lineChart>
      <c:catAx>
        <c:axId val="9323267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394194"/>
        <c:crosses val="autoZero"/>
        <c:auto val="1"/>
        <c:lblAlgn val="ctr"/>
        <c:lblOffset val="100"/>
        <c:noMultiLvlLbl val="0"/>
      </c:catAx>
      <c:valAx>
        <c:axId val="2639419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23267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0</c:v>
                </c:pt>
              </c:numCache>
            </c:numRef>
          </c:val>
        </c:ser>
        <c:gapWidth val="150"/>
        <c:overlap val="0"/>
        <c:axId val="5645749"/>
        <c:axId val="71231801"/>
      </c:barChart>
      <c:catAx>
        <c:axId val="564574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231801"/>
        <c:crosses val="autoZero"/>
        <c:auto val="1"/>
        <c:lblAlgn val="ctr"/>
        <c:lblOffset val="100"/>
        <c:noMultiLvlLbl val="0"/>
      </c:catAx>
      <c:valAx>
        <c:axId val="7123180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4574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0</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mooth val="0"/>
        </c:ser>
        <c:hiLowLines>
          <c:spPr>
            <a:ln w="0">
              <a:noFill/>
            </a:ln>
          </c:spPr>
        </c:hiLowLines>
        <c:marker val="0"/>
        <c:axId val="99699295"/>
        <c:axId val="26574851"/>
      </c:lineChart>
      <c:catAx>
        <c:axId val="9969929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574851"/>
        <c:crosses val="autoZero"/>
        <c:auto val="1"/>
        <c:lblAlgn val="ctr"/>
        <c:lblOffset val="100"/>
        <c:noMultiLvlLbl val="0"/>
      </c:catAx>
      <c:valAx>
        <c:axId val="2657485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69929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General</c:formatCode>
                <c:ptCount val="60"/>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General</c:formatCode>
                <c:ptCount val="60"/>
              </c:numCache>
            </c:numRef>
          </c:val>
          <c:smooth val="0"/>
        </c:ser>
        <c:hiLowLines>
          <c:spPr>
            <a:ln w="0">
              <a:noFill/>
            </a:ln>
          </c:spPr>
        </c:hiLowLines>
        <c:marker val="0"/>
        <c:axId val="91684878"/>
        <c:axId val="99592166"/>
      </c:lineChart>
      <c:catAx>
        <c:axId val="9168487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592166"/>
        <c:crosses val="autoZero"/>
        <c:auto val="1"/>
        <c:lblAlgn val="ctr"/>
        <c:lblOffset val="100"/>
        <c:noMultiLvlLbl val="0"/>
      </c:catAx>
      <c:valAx>
        <c:axId val="99592166"/>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68487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General</c:formatCode>
                <c:ptCount val="60"/>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General</c:formatCode>
                <c:ptCount val="60"/>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General</c:formatCode>
                <c:ptCount val="60"/>
              </c:numCache>
            </c:numRef>
          </c:val>
          <c:smooth val="0"/>
        </c:ser>
        <c:hiLowLines>
          <c:spPr>
            <a:ln w="0">
              <a:noFill/>
            </a:ln>
          </c:spPr>
        </c:hiLowLines>
        <c:marker val="0"/>
        <c:axId val="85324066"/>
        <c:axId val="82698120"/>
      </c:lineChart>
      <c:catAx>
        <c:axId val="8532406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698120"/>
        <c:crosses val="autoZero"/>
        <c:auto val="1"/>
        <c:lblAlgn val="ctr"/>
        <c:lblOffset val="100"/>
        <c:noMultiLvlLbl val="0"/>
      </c:catAx>
      <c:valAx>
        <c:axId val="8269812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32406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General</c:formatCode>
                <c:ptCount val="60"/>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General</c:formatCode>
                <c:ptCount val="60"/>
              </c:numCache>
            </c:numRef>
          </c:val>
          <c:smooth val="0"/>
        </c:ser>
        <c:hiLowLines>
          <c:spPr>
            <a:ln w="0">
              <a:noFill/>
            </a:ln>
          </c:spPr>
        </c:hiLowLines>
        <c:marker val="0"/>
        <c:axId val="29551041"/>
        <c:axId val="85666446"/>
      </c:lineChart>
      <c:catAx>
        <c:axId val="29551041"/>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666446"/>
        <c:crosses val="autoZero"/>
        <c:auto val="1"/>
        <c:lblAlgn val="ctr"/>
        <c:lblOffset val="100"/>
        <c:noMultiLvlLbl val="0"/>
      </c:catAx>
      <c:valAx>
        <c:axId val="85666446"/>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55104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General</c:formatCode>
                <c:ptCount val="60"/>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General</c:formatCode>
                <c:ptCount val="60"/>
              </c:numCache>
            </c:numRef>
          </c:val>
          <c:smooth val="0"/>
        </c:ser>
        <c:hiLowLines>
          <c:spPr>
            <a:ln w="0">
              <a:noFill/>
            </a:ln>
          </c:spPr>
        </c:hiLowLines>
        <c:marker val="0"/>
        <c:axId val="94585735"/>
        <c:axId val="824820"/>
      </c:lineChart>
      <c:catAx>
        <c:axId val="94585735"/>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4820"/>
        <c:crosses val="autoZero"/>
        <c:auto val="1"/>
        <c:lblAlgn val="ctr"/>
        <c:lblOffset val="100"/>
        <c:noMultiLvlLbl val="0"/>
      </c:catAx>
      <c:valAx>
        <c:axId val="82482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5857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AssignmentTable" displayName="AssignmentTable" ref="B5:U105" headerRowCount="1">
  <autoFilter ref="B5:U105"/>
  <tableColumns count="20">
    <tableColumn id="1" name="Task UID"/>
    <tableColumn id="2" name="Task">
      <calculatedColumnFormula>IF(AssignmentTable[[#This Row],[_TaskPos]]&lt;=0,"",INDEX(tsk_Name,AssignmentTable[[#This Row],[_TaskPos]])&amp;"")</calculatedColumnFormula>
    </tableColumn>
    <tableColumn id="3" name="Resource"/>
    <tableColumn id="4" name="Units"/>
    <tableColumn id="5" name="Work">
      <calculatedColumnFormula>IF(AssignmentTable[[#This Row],[_Valid]]=1,N(INDEX(tsk_Duration,AssignmentTable[[#This Row],[_TaskPos]]))*HoursPerDay*IF(AssignmentTable[[#This Row],[Units]]="",DefaultUnits,AssignmentTable[[#This Row],[Units]]),0)</calculatedColumnFormula>
    </tableColumn>
    <tableColumn id="6" name="Cost">
      <calculatedColumnFormula>IF(AssignmentTable[[#This Row],[Work]]=0,0,AssignmentTable[[#This Row],[Work]]*IFERROR(INDEX(res_Rate,MATCH(AssignmentTable[[#This Row],[Resource]],res_Name,0)),0))</calculatedColumnFormula>
    </tableColumn>
    <tableColumn id="7" name="Check">
      <calculatedColumnFormula>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calculatedColumnFormula>
    </tableColumn>
    <tableColumn id="8" name="_TaskPos">
      <calculatedColumnFormula>IF(N(AssignmentTable[[#This Row],[Task UID]])=0,0,IFERROR(MATCH(AssignmentTable[[#This Row],[Task UID]],tsk_UID,0),-1))</calculatedColumnFormula>
    </tableColumn>
    <tableColumn id="9" name="_Valid">
      <calculatedColumnFormula>IF(AND(AssignmentTable[[#This Row],[_TaskPos]]&gt;0,AssignmentTable[[#This Row],[Resource]]&lt;&gt;"",AssignmentTable[[#This Row],[Check]]=""),1,0)</calculatedColumnFormula>
    </tableColumn>
    <tableColumn id="10" name="_Key">
      <calculatedColumnFormula>IF(AssignmentTable[[#This Row],[_Valid]]=1,AssignmentTable[[#This Row],[Task UID]]*1000+COUNTIFS(AssignmentTable[[#Headers],[Task UID]]:AssignmentTable[[#This Row],[Task UID]],AssignmentTable[[#This Row],[Task UID]],AssignmentTable[[#Headers],[_Valid]]:AssignmentTable[[#This Row],[_Valid]],1),"")</calculatedColumnFormula>
    </tableColumn>
    <tableColumn id="11" name="_Text">
      <calculatedColumnFormula>IF(AssignmentTable[[#This Row],[_Valid]]=1,AssignmentTable[[#This Row],[Resource]]&amp;IF(OR(AssignmentTable[[#This Row],[Units]]="",AssignmentTable[[#This Row],[Units]]=1),"","["&amp;ROUND(AssignmentTable[[#This Row],[Units]]*100,0)&amp;"%]"),"")</calculatedColumnFormula>
    </tableColumn>
    <tableColumn id="12" name="_StartWD">
      <calculatedColumnFormula>IF(AssignmentTable[[#This Row],[_Valid]]=1,N(INDEX(tsk_StartWD,AssignmentTable[[#This Row],[_TaskPos]])),0)</calculatedColumnFormula>
    </tableColumn>
    <tableColumn id="13" name="_FinishWD">
      <calculatedColumnFormula>IF(AssignmentTable[[#This Row],[_Valid]]=1,N(INDEX(tsk_FinishWD,AssignmentTable[[#This Row],[_TaskPos]])),0)</calculatedColumnFormula>
    </tableColumn>
    <tableColumn id="14" name="_WorkPerWD">
      <calculatedColumnFormula>IF(OR(AssignmentTable[[#This Row],[Work]]=0,AssignmentTable[[#This Row],[_FinishWD]]=0),0,AssignmentTable[[#This Row],[Work]]/(AssignmentTable[[#This Row],[_FinishWD]]-AssignmentTable[[#This Row],[_StartWD]]+1))</calculatedColumnFormula>
    </tableColumn>
    <tableColumn id="15" name="_WorkBeforeStart">
      <calculatedColumnFormula>AssignmentTable[[#This Row],[_WorkPerWD]]*MAX(0,AssignmentTable[[#This Row],[_StartWD]]-1)</calculatedColumnFormula>
    </tableColumn>
    <tableColumn id="16" name="_WorkDone">
      <calculatedColumnFormula>IF(AssignmentTable[[#This Row],[_Valid]]=1,AssignmentTable[[#This Row],[Work]]*N(INDEX(tsk_LeafProgress,AssignmentTable[[#This Row],[_TaskPos]])),0)</calculatedColumnFormula>
    </tableColumn>
    <tableColumn id="17" name="_ActualCost">
      <calculatedColumnFormula>IF(NOT(AssignmentTable[[#This Row],[_Valid]]=1),0,IF(N(INDEX(tsk_LeafTotalCost,AssignmentTable[[#This Row],[_TaskPos]]))=0,0,N(INDEX(tsk_LeafAC,AssignmentTable[[#This Row],[_TaskPos]]))*AssignmentTable[[#This Row],[Cost]]/INDEX(tsk_LeafTotalCost,AssignmentTable[[#This Row],[_TaskPos]])))</calculatedColumnFormula>
    </tableColumn>
    <tableColumn id="18" name="_Late">
      <calculatedColumnFormula>IF(NOT(AssignmentTable[[#This Row],[_Valid]]=1),0,IF(N(INDEX(tsk_LateKey,AssignmentTable[[#This Row],[_TaskPos]]))&gt;0,1,0))</calculatedColumnFormula>
    </tableColumn>
    <tableColumn id="19" name="_Critical">
      <calculatedColumnFormula>IF(NOT(AssignmentTable[[#This Row],[_Valid]]=1),0,IF(INDEX(tsk_Critical,AssignmentTable[[#This Row],[_TaskPos]])="Yes",1,0))</calculatedColumnFormula>
    </tableColumn>
    <tableColumn id="20" name="_OverAllocated">
      <calculatedColumnFormula>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calculatedColumnFormula>
    </tableColumn>
  </tableColumns>
  <tableStyleInfo name="TableStyleLight1" showRowStripes="0"/>
</table>
</file>

<file path=xl/tables/table3.xml><?xml version="1.0" encoding="utf-8"?>
<table xmlns="http://schemas.openxmlformats.org/spreadsheetml/2006/main" id="3" name="ChangeControl" displayName="ChangeControl" ref="B45:D52"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5.xml><?xml version="1.0" encoding="utf-8"?>
<table xmlns="http://schemas.openxmlformats.org/spreadsheetml/2006/main" id="5"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Row],[_Task]]="","",INDEX(tsk_ResourceNames,CriticalTasks[[#This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6.xml><?xml version="1.0" encoding="utf-8"?>
<table xmlns="http://schemas.openxmlformats.org/spreadsheetml/2006/main" id="6"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7.xml><?xml version="1.0" encoding="utf-8"?>
<table xmlns="http://schemas.openxmlformats.org/spreadsheetml/2006/main" id="7"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Row],[_Task]]="","",INDEX(tsk_ResourceNames,DueSoon[[#This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EarnedValue" displayName="EarnedValue" ref="B17:D31" headerRowCount="1">
  <tableColumns count="3">
    <tableColumn id="1" name="Measure"/>
    <tableColumn id="2" name="Meaning"/>
    <tableColumn id="3" name="Value"/>
  </tableColumns>
  <tableStyleInfo name="TableStyleLight1" showRowStripes="0"/>
</table>
</file>

<file path=xl/tables/table9.xml><?xml version="1.0" encoding="utf-8"?>
<table xmlns="http://schemas.openxmlformats.org/spreadsheetml/2006/main" id="9" name="GanttView" displayName="GanttView" ref="A5:V205" headerRowCount="1">
  <autoFilter ref="A5:V205"/>
  <tableColumns count="22">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Row],[_Row]])="",TRUE()),"",INDEX(tsk_ResourceNames,GanttView[[#This Row],[_Row]])&amp;"")</calculatedColumnFormula>
    </tableColumn>
    <tableColumn id="11" name="Status">
      <calculatedColumnFormula>IF(IFERROR(INDEX(tsk_Name,GanttView[[#This Row],[_Row]])="",TRUE()),"",INDEX(tsk_Status,GanttView[[#This Row],[_Row]]))</calculatedColumnFormula>
    </tableColumn>
    <tableColumn id="12" name="Show">
      <calculatedColumnFormula>IF(IFERROR(INDEX(tsk_Name,GanttView[[#This Row],[_Row]])="",TRUE()),"",INDEX(tsk_Show,GanttView[[#This Row],[_Row]])&amp;"")</calculatedColumnFormula>
    </tableColumn>
    <tableColumn id="13" name="_Row">
      <calculatedColumnFormula>ROW()-ROW(GanttView[[#Headers],[ID]])</calculatedColumnFormula>
    </tableColumn>
    <tableColumn id="14" name="_IsSummary">
      <calculatedColumnFormula>IF(IFERROR(INDEX(tsk_Name,GanttView[[#This Row],[_Row]])="",TRUE()),FALSE(),INDEX(tsk_IsSummary,GanttView[[#This Row],[_Row]]))</calculatedColumnFormula>
    </tableColumn>
    <tableColumn id="15" name="_IsMilestone">
      <calculatedColumnFormula>IF(IFERROR(INDEX(tsk_Name,GanttView[[#This Row],[_Row]])="",TRUE()),FALSE(),AND(INDEX(tsk_IsLeaf,GanttView[[#This Row],[_Row]])=1,N(INDEX(tsk_Duration,GanttView[[#This Row],[_Row]]))=0))</calculatedColumnFormula>
    </tableColumn>
    <tableColumn id="16" name="_DoneFrom">
      <calculatedColumnFormula>IF(IFERROR(INDEX(tsk_Name,GanttView[[#This Row],[_Row]])="",TRUE()),0,IF(AND(INDEX(tsk_IsLeaf,GanttView[[#This Row],[_Row]])=1,NOT(GanttView[[#This Row],[_IsMilestone]]),N(GanttView[[#This Row],[%]])&gt;0),GanttView[[#This Row],[Forecast Start]],0))</calculatedColumnFormula>
    </tableColumn>
    <tableColumn id="17"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8"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9" name="_RemTo">
      <calculatedColumnFormula>IF(GanttView[[#This Row],[_RemFrom]]=0,0,GanttView[[#This Row],[Forecast Finish]])</calculatedColumnFormula>
    </tableColumn>
    <tableColumn id="20" name="_Late">
      <calculatedColumnFormula>IF(IFERROR(INDEX(tsk_Name,GanttView[[#This Row],[_Row]])="",TRUE()),FALSE(),N(INDEX(tsk_Variance,GanttView[[#This Row],[_Row]]))&gt;0)</calculatedColumnFormula>
    </tableColumn>
    <tableColumn id="21" name="_Deadline">
      <calculatedColumnFormula>IF(IFERROR(INDEX(tsk_Name,GanttView[[#This Row],[_Row]])="",TRUE()),0,N(INDEX(tsk_Deadline,GanttView[[#This Row],[_Row]])))</calculatedColumnFormula>
    </tableColumn>
    <tableColumn id="22" name="_Critical">
      <calculatedColumnFormula>IF(IFERROR(INDEX(tsk_Name,GanttView[[#This Row],[_Row]])="",TRUE()),FALSE(),INDEX(tsk_Critical,GanttView[[#This Row],[_Row]])="Yes")</calculatedColumnFormula>
    </tableColumn>
  </tableColumns>
  <tableStyleInfo name="TableStyleLight1" showRowStripes="0"/>
</table>
</file>

<file path=xl/tables/table10.xml><?xml version="1.0" encoding="utf-8"?>
<table xmlns="http://schemas.openxmlformats.org/spreadsheetml/2006/main" id="10" name="HolidayTable" displayName="HolidayTable" ref="B4:C104" headerRowCount="1">
  <autoFilter ref="B4:C104"/>
  <tableColumns count="2">
    <tableColumn id="1" name="Date"/>
    <tableColumn id="2" name="Description"/>
  </tableColumns>
  <tableStyleInfo name="TableStyleLight1" showRowStripes="0"/>
</table>
</file>

<file path=xl/tables/table11.xml><?xml version="1.0" encoding="utf-8"?>
<table xmlns="http://schemas.openxmlformats.org/spreadsheetml/2006/main" id="11" name="KPIs" displayName="KPIs" ref="B4:C27" headerRowCount="1">
  <tableColumns count="2">
    <tableColumn id="1" name="Key indicator"/>
    <tableColumn id="2" name="Value"/>
  </tableColumns>
  <tableStyleInfo name="TableStyleLight1" showRowStripes="0"/>
</table>
</file>

<file path=xl/tables/table12.xml><?xml version="1.0" encoding="utf-8"?>
<table xmlns="http://schemas.openxmlformats.org/spreadsheetml/2006/main" id="12"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Row],[_Task]]="","",INDEX(tsk_ResourceNames,LateTasks[[#This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3.xml><?xml version="1.0" encoding="utf-8"?>
<table xmlns="http://schemas.openxmlformats.org/spreadsheetml/2006/main" id="13"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4.xml><?xml version="1.0" encoding="utf-8"?>
<table xmlns="http://schemas.openxmlformats.org/spreadsheetml/2006/main" id="14" name="ListChangeStatus" displayName="ListChangeStatus" ref="W1:W6" headerRowCount="1">
  <tableColumns count="1">
    <tableColumn id="1" name="Change Status"/>
  </tableColumns>
  <tableStyleInfo name="TableStyleLight1" showRowStripes="0"/>
</table>
</file>

<file path=xl/tables/table15.xml><?xml version="1.0" encoding="utf-8"?>
<table xmlns="http://schemas.openxmlformats.org/spreadsheetml/2006/main" id="15" name="ListConstraint" displayName="ListConstraint" ref="G1:G9" headerRowCount="1">
  <tableColumns count="1">
    <tableColumn id="1" name="Constraint"/>
  </tableColumns>
  <tableStyleInfo name="TableStyleLight1" showRowStripes="0"/>
</table>
</file>

<file path=xl/tables/table16.xml><?xml version="1.0" encoding="utf-8"?>
<table xmlns="http://schemas.openxmlformats.org/spreadsheetml/2006/main" id="16" name="ListDecisionStatus" displayName="ListDecisionStatus" ref="U1:U5" headerRowCount="1">
  <tableColumns count="1">
    <tableColumn id="1" name="Decision Status"/>
  </tableColumns>
  <tableStyleInfo name="TableStyleLight1" showRowStripes="0"/>
</table>
</file>

<file path=xl/tables/table17.xml><?xml version="1.0" encoding="utf-8"?>
<table xmlns="http://schemas.openxmlformats.org/spreadsheetml/2006/main" id="17" name="ListDepType" displayName="ListDepType" ref="A1:A5" headerRowCount="1">
  <tableColumns count="1">
    <tableColumn id="1" name="Link Type"/>
  </tableColumns>
  <tableStyleInfo name="TableStyleLight1" showRowStripes="0"/>
</table>
</file>

<file path=xl/tables/table18.xml><?xml version="1.0" encoding="utf-8"?>
<table xmlns="http://schemas.openxmlformats.org/spreadsheetml/2006/main" id="18" name="ListMode" displayName="ListMode" ref="C1:C3" headerRowCount="1">
  <tableColumns count="1">
    <tableColumn id="1" name="Task Mode"/>
  </tableColumns>
  <tableStyleInfo name="TableStyleLight1" showRowStripes="0"/>
</table>
</file>

<file path=xl/tables/table19.xml><?xml version="1.0" encoding="utf-8"?>
<table xmlns="http://schemas.openxmlformats.org/spreadsheetml/2006/main" id="19" name="ListPeriod" displayName="ListPeriod" ref="M1:M5"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O1:O4" headerRowCount="1">
  <tableColumns count="1">
    <tableColumn id="1" name="RAG"/>
  </tableColumns>
  <tableStyleInfo name="TableStyleLight1" showRowStripes="0"/>
</table>
</file>

<file path=xl/tables/table21.xml><?xml version="1.0" encoding="utf-8"?>
<table xmlns="http://schemas.openxmlformats.org/spreadsheetml/2006/main" id="21" name="ListRAIDStatus" displayName="ListRAIDStatus" ref="S1:S4" headerRowCount="1">
  <tableColumns count="1">
    <tableColumn id="1" name="RAID Status"/>
  </tableColumns>
  <tableStyleInfo name="TableStyleLight1" showRowStripes="0"/>
</table>
</file>

<file path=xl/tables/table22.xml><?xml version="1.0" encoding="utf-8"?>
<table xmlns="http://schemas.openxmlformats.org/spreadsheetml/2006/main" id="22" name="ListRAIDType" displayName="ListRAIDType" ref="Q1:Q5" headerRowCount="1">
  <tableColumns count="1">
    <tableColumn id="1" name="RAID Type"/>
  </tableColumns>
  <tableStyleInfo name="TableStyleLight1" showRowStripes="0"/>
</table>
</file>

<file path=xl/tables/table23.xml><?xml version="1.0" encoding="utf-8"?>
<table xmlns="http://schemas.openxmlformats.org/spreadsheetml/2006/main" id="23" name="ListResType" displayName="ListResType" ref="K1:K4" headerRowCount="1">
  <tableColumns count="1">
    <tableColumn id="1" name="Resource Type"/>
  </tableColumns>
  <tableStyleInfo name="TableStyleLight1" showRowStripes="0"/>
</table>
</file>

<file path=xl/tables/table24.xml><?xml version="1.0" encoding="utf-8"?>
<table xmlns="http://schemas.openxmlformats.org/spreadsheetml/2006/main" id="24" name="ListWorkingWeek" displayName="ListWorkingWeek" ref="E1:E5" headerRowCount="1">
  <tableColumns count="1">
    <tableColumn id="1" name="Working Week"/>
  </tableColumns>
  <tableStyleInfo name="TableStyleLight1" showRowStripes="0"/>
</table>
</file>

<file path=xl/tables/table25.xml><?xml version="1.0" encoding="utf-8"?>
<table xmlns="http://schemas.openxmlformats.org/spreadsheetml/2006/main" id="25" name="ListYesNo" displayName="ListYesNo" ref="I1:I3" headerRowCount="1">
  <tableColumns count="1">
    <tableColumn id="1" name="Yes / No"/>
  </tableColumns>
  <tableStyleInfo name="TableStyleLight1" showRowStripes="0"/>
</table>
</file>

<file path=xl/tables/table26.xml><?xml version="1.0" encoding="utf-8"?>
<table xmlns="http://schemas.openxmlformats.org/spreadsheetml/2006/main" id="26"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7.xml><?xml version="1.0" encoding="utf-8"?>
<table xmlns="http://schemas.openxmlformats.org/spreadsheetml/2006/main" id="27"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8.xml><?xml version="1.0" encoding="utf-8"?>
<table xmlns="http://schemas.openxmlformats.org/spreadsheetml/2006/main" id="28"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30.xml><?xml version="1.0" encoding="utf-8"?>
<table xmlns="http://schemas.openxmlformats.org/spreadsheetml/2006/main" id="30"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1.xml><?xml version="1.0" encoding="utf-8"?>
<table xmlns="http://schemas.openxmlformats.org/spreadsheetml/2006/main" id="31"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Row],[Resource]])+SUMIFS(asg_WorkDone,asg_Resource,ResourceSummary[[#This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Row],[Resource]],tsk_LateKey,"&gt;0")+SUMIFS(asg_Late,asg_Resource,ResourceSummary[[#This Row],[Resource]]))</calculatedColumnFormula>
    </tableColumn>
    <tableColumn id="10" name="Open Critical">
      <calculatedColumnFormula>IF(ResourceSummary[[#This Row],[Resource]]="","",COUNTIFS(tsk_Resource,ResourceSummary[[#This Row],[Resource]],tsk_Critical,"Yes",tsk_IsLeaf,1)+SUMIFS(asg_Critical,asg_Resource,ResourceSummary[[#This Row],[Resource]]))</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2.xml><?xml version="1.0" encoding="utf-8"?>
<table xmlns="http://schemas.openxmlformats.org/spreadsheetml/2006/main" id="32"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Name]],tsk_IsLeaf,1)+COUNTIFS(asg_Resource,ResourceTable[[#This Row],[Resource Name]],asg_Valid,1))</calculatedColumnFormula>
    </tableColumn>
    <tableColumn id="9" name="Work">
      <calculatedColumnFormula>IF(ResourceTable[[#This Row],[Resource Name]]="","",SUMIFS(tsk_LeafWork,tsk_Resource,ResourceTable[[#This Row],[Resource Name]])+SUMIFS(asg_Work,asg_Resource,ResourceTable[[#This Row],[Resource Name]]))</calculatedColumnFormula>
    </tableColumn>
    <tableColumn id="10" name="Cost">
      <calculatedColumnFormula>IF(ResourceTable[[#This Row],[Resource Name]]="","",SUMIFS(tsk_LeafCost,tsk_Resource,ResourceTable[[#This Row],[Resource Name]])+SUMIFS(asg_Cost,asg_Resource,ResourceTable[[#This Row],[Resource Name]]))</calculatedColumnFormula>
    </tableColumn>
    <tableColumn id="11" name="Actual Cost">
      <calculatedColumnFormula>IF(ResourceTable[[#This Row],[Resource Name]]="","",SUMIFS(tsk_ResourceAC,tsk_Resource,ResourceTable[[#This Row],[Resource Name]])+SUMIFS(asg_ActualCost,asg_Resource,ResourceTable[[#This Row],[Resource Name]]))</calculatedColumnFormula>
    </tableColumn>
    <tableColumn id="12" name="Notes"/>
  </tableColumns>
  <tableStyleInfo name="TableStyleLight1" showRowStripes="0"/>
</table>
</file>

<file path=xl/tables/table33.xml><?xml version="1.0" encoding="utf-8"?>
<table xmlns="http://schemas.openxmlformats.org/spreadsheetml/2006/main" id="3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34.xml><?xml version="1.0" encoding="utf-8"?>
<table xmlns="http://schemas.openxmlformats.org/spreadsheetml/2006/main" id="34" name="RoadmapPhases" displayName="RoadmapPhases" ref="B7:J17" headerRowCount="1">
  <tableColumns count="9">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Planned Start">
      <calculatedColumnFormula>IF(RoadmapPhases[[#This Row],[_Task]]="","",IF(N(INDEX(tsk_PlanStart,RoadmapPhases[[#This Row],[_Task]]))=0,"",INDEX(tsk_PlanStart,RoadmapPhases[[#This Row],[_Task]])))</calculatedColumnFormula>
    </tableColumn>
    <tableColumn id="5" name="Planned Finish">
      <calculatedColumnFormula>IF(RoadmapPhases[[#This Row],[_Task]]="","",IF(N(INDEX(tsk_PlanFinish,RoadmapPhases[[#This Row],[_Task]]))=0,"",INDEX(tsk_PlanFinish,RoadmapPhases[[#This Row],[_Task]])))</calculatedColumnFormula>
    </tableColumn>
    <tableColumn id="6" name="Start">
      <calculatedColumnFormula>IF(RoadmapPhases[[#This Row],[_Task]]="","",IF(N(INDEX(tsk_FcStart,RoadmapPhases[[#This Row],[_Task]]))=0,"",INDEX(tsk_FcStart,RoadmapPhases[[#This Row],[_Task]])))</calculatedColumnFormula>
    </tableColumn>
    <tableColumn id="7" name="Finish">
      <calculatedColumnFormula>IF(RoadmapPhases[[#This Row],[_Task]]="","",IF(N(INDEX(tsk_FcFinish,RoadmapPhases[[#This Row],[_Task]]))=0,"",INDEX(tsk_FcFinish,RoadmapPhases[[#This Row],[_Task]])))</calculatedColumnFormula>
    </tableColumn>
    <tableColumn id="8" name="Progress">
      <calculatedColumnFormula>IF(RoadmapPhases[[#This Row],[_Task]]="","",INDEX(tsk_Progress,RoadmapPhases[[#This Row],[_Task]]))</calculatedColumnFormula>
    </tableColumn>
    <tableColumn id="9" name="Finish Var">
      <calculatedColumnFormula>IF(RoadmapPhases[[#This Row],[_Task]]="","",INDEX(tsk_Variance,RoadmapPhases[[#This Row],[_Task]]))</calculatedColumnFormula>
    </tableColumn>
  </tableColumns>
  <tableStyleInfo name="TableStyleLight1" showRowStripes="0"/>
</table>
</file>

<file path=xl/tables/table35.xml><?xml version="1.0" encoding="utf-8"?>
<table xmlns="http://schemas.openxmlformats.org/spreadsheetml/2006/main" id="35"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6.xml><?xml version="1.0" encoding="utf-8"?>
<table xmlns="http://schemas.openxmlformats.org/spreadsheetml/2006/main" id="36"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Row],[_Task]]="","",INDEX(tsk_ResourceNames,SprintBacklog[[#This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7.xml><?xml version="1.0" encoding="utf-8"?>
<table xmlns="http://schemas.openxmlformats.org/spreadsheetml/2006/main" id="37"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8.xml><?xml version="1.0" encoding="utf-8"?>
<table xmlns="http://schemas.openxmlformats.org/spreadsheetml/2006/main" id="38"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9.xml><?xml version="1.0" encoding="utf-8"?>
<table xmlns="http://schemas.openxmlformats.org/spreadsheetml/2006/main" id="39"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Row],[_Task]]="","",INDEX(tsk_ResourceNames,StartingSoon[[#This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40.xml><?xml version="1.0" encoding="utf-8"?>
<table xmlns="http://schemas.openxmlformats.org/spreadsheetml/2006/main" id="40"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41.xml><?xml version="1.0" encoding="utf-8"?>
<table xmlns="http://schemas.openxmlformats.org/spreadsheetml/2006/main" id="41" name="StatusNotes" displayName="StatusNotes" ref="B55:C61" headerRowCount="1">
  <tableColumns count="2">
    <tableColumn id="1" name="Section"/>
    <tableColumn id="2" name="Notes"/>
  </tableColumns>
  <tableStyleInfo name="TableStyleLight1" showRowStripes="0"/>
</table>
</file>

<file path=xl/tables/table42.xml><?xml version="1.0" encoding="utf-8"?>
<table xmlns="http://schemas.openxmlformats.org/spreadsheetml/2006/main" id="42"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3.xml><?xml version="1.0" encoding="utf-8"?>
<table xmlns="http://schemas.openxmlformats.org/spreadsheetml/2006/main" id="43"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4.xml><?xml version="1.0" encoding="utf-8"?>
<table xmlns="http://schemas.openxmlformats.org/spreadsheetml/2006/main" id="44" name="Tasks" displayName="Tasks" ref="A5:EW205" headerRowCount="1">
  <autoFilter ref="A5:EW205"/>
  <tableColumns count="153">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Duration"/>
    <tableColumn id="7" name="Pred1 UID"/>
    <tableColumn id="8" name="Pred1 Type"/>
    <tableColumn id="9" name="Pred1 Lag"/>
    <tableColumn id="10" name="Pred2 UID"/>
    <tableColumn id="11" name="Pred2 Type"/>
    <tableColumn id="12" name="Pred2 Lag"/>
    <tableColumn id="13" name="Pred3 UID"/>
    <tableColumn id="14" name="Pred3 Type"/>
    <tableColumn id="15" name="Pred3 Lag"/>
    <tableColumn id="16" name="Pred4 UID"/>
    <tableColumn id="17" name="Pred4 Type"/>
    <tableColumn id="18" name="Pred4 Lag"/>
    <tableColumn id="19" name="Resource"/>
    <tableColumn id="20" name="Units"/>
    <tableColumn id="21" name="% Complete"/>
    <tableColumn id="22" name="Actual Start"/>
    <tableColumn id="23" name="Actual Finish"/>
    <tableColumn id="24" name="Notes"/>
    <tableColumn id="25" name="Forecast Start">
      <calculatedColumnFormula>IF(Tasks[[#This Row],[Task Name]]="","",IF(Tasks[[#This Row],[_IsSummary]],MIN(INDEX(Tasks[_ShownFcstStart],Tasks[[#This Row],[_Row]]+1):INDEX(Tasks[_ShownFcstStart],Tasks[[#This Row],[_Row]]+Tasks[[#This Row],[_Descendants]])),Tasks[[#This Row],[_ShownFcstStart]]))</calculatedColumnFormula>
    </tableColumn>
    <tableColumn id="26" name="Forecast Finish">
      <calculatedColumnFormula>IF(Tasks[[#This Row],[Task Name]]="","",IF(Tasks[[#This Row],[_IsSummary]],MAX(INDEX(Tasks[_ShownFcstFinish],Tasks[[#This Row],[_Row]]+1):INDEX(Tasks[_ShownFcstFinish],Tasks[[#This Row],[_Row]]+Tasks[[#This Row],[_Descendants]])),Tasks[[#This Row],[_ShownFcstFinish]]))</calculatedColumnFormula>
    </tableColumn>
    <tableColumn id="27"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28"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9"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calculatedColumnFormula>
    </tableColumn>
    <tableColumn id="30" name="Show">
      <calculatedColumnFormula>IF(Tasks[[#This Row],[Task Name]]="","",IF(Tasks[[#This Row],[_Level]]&lt;=OutlineShowLevel,"Yes","No"))</calculatedColumnFormula>
    </tableColumn>
    <tableColumn id="31" name="Deadline"/>
    <tableColumn id="32" name="Mode"/>
    <tableColumn id="33" name="Constraint"/>
    <tableColumn id="34" name="Constraint Date"/>
    <tableColumn id="35"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36" name="Planned Start">
      <calculatedColumnFormula>IF(Tasks[[#This Row],[Task Name]]="","",IF(N(Tasks[[#This Row],[Baseline Start]])&gt;0,Tasks[[#This Row],[Baseline Start]],Tasks[[#This Row],[_CalcStart]]))</calculatedColumnFormula>
    </tableColumn>
    <tableColumn id="37" name="Planned Finish">
      <calculatedColumnFormula>IF(Tasks[[#This Row],[Task Name]]="","",IF(N(Tasks[[#This Row],[Baseline Finish]])&gt;0,Tasks[[#This Row],[Baseline Finish]],Tasks[[#This Row],[_CalcFinish]]))</calculatedColumnFormula>
    </tableColumn>
    <tableColumn id="38"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39" name="Late Start">
      <calculatedColumnFormula>IF(Tasks[[#This Row],[Task Name]]="","",IF(Tasks[[#This Row],[_IsSummary]],MIN(INDEX(Tasks[_LeafLateStart],Tasks[[#This Row],[_Row]]+1):INDEX(Tasks[_LeafLateStart],Tasks[[#This Row],[_Row]]+Tasks[[#This Row],[_Descendants]])),Tasks[[#This Row],[_LeafLateStart]]))</calculatedColumnFormula>
    </tableColumn>
    <tableColumn id="40"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1"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2"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calculatedColumnFormula>
    </tableColumn>
    <tableColumn id="43"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44"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calculatedColumnFormula>
    </tableColumn>
    <tableColumn id="45"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46" name="Predecessors">
      <calculatedColumnFormula>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calculatedColumnFormula>
    </tableColumn>
    <tableColumn id="47" name="Work">
      <calculatedColumnFormula>IF(Tasks[[#This Row],[Task Name]]="","",IF(Tasks[[#This Row],[_IsSummary]],SUM(INDEX(Tasks[_LeafTotalWork],Tasks[[#This Row],[_Row]]+1):INDEX(Tasks[_LeafTotalWork],Tasks[[#This Row],[_Row]]+Tasks[[#This Row],[_Descendants]])),Tasks[[#This Row],[_LeafTotalWork]]))</calculatedColumnFormula>
    </tableColumn>
    <tableColumn id="48" name="Resource Names">
      <calculatedColumnFormula>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calculatedColumnFormula>
    </tableColumn>
    <tableColumn id="49" name="Over-allocated">
      <calculatedColumnFormula>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calculatedColumnFormula>
    </tableColumn>
    <tableColumn id="50" name="Cost">
      <calculatedColumnFormula>IF(Tasks[[#This Row],[Task Name]]="","",IF(Tasks[[#This Row],[_IsSummary]],SUM(INDEX(Tasks[_LeafTotalCost],Tasks[[#This Row],[_Row]]+1):INDEX(Tasks[_LeafTotalCost],Tasks[[#This Row],[_Row]]+Tasks[[#This Row],[_Descendants]])),Tasks[[#This Row],[_LeafTotalCost]]))</calculatedColumnFormula>
    </tableColumn>
    <tableColumn id="51" name="Actual Cost"/>
    <tableColumn id="52"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53" name="Planned Sprint"/>
    <tableColumn id="54" name="Story Points"/>
    <tableColumn id="55" name="Duration Var">
      <calculatedColumnFormula>IF(OR(Tasks[[#This Row],[Task Name]]="",Tasks[[#This Row],[Baseline Duration]]=""),"",Tasks[[#This Row],[BL Source Duration]]-N(Tasks[[#This Row],[Baseline Duration]]))</calculatedColumnFormula>
    </tableColumn>
    <tableColumn id="56" name="Work Var">
      <calculatedColumnFormula>IF(OR(Tasks[[#This Row],[Task Name]]="",Tasks[[#This Row],[Baseline Work]]=""),"",Tasks[[#This Row],[Work]]-N(Tasks[[#This Row],[Baseline Work]]))</calculatedColumnFormula>
    </tableColumn>
    <tableColumn id="57" name="Cost Var">
      <calculatedColumnFormula>IF(OR(Tasks[[#This Row],[Task Name]]="",Tasks[[#This Row],[Baseline Cost]]=""),"",Tasks[[#This Row],[Cost]]-N(Tasks[[#This Row],[Baseline Cost]]))</calculatedColumnFormula>
    </tableColumn>
    <tableColumn id="58" name="BL Source Start">
      <calculatedColumnFormula>IF(Tasks[[#This Row],[Task Name]]="","",Tasks[[#This Row],[Forecast Start]])</calculatedColumnFormula>
    </tableColumn>
    <tableColumn id="59" name="BL Source Finish">
      <calculatedColumnFormula>IF(Tasks[[#This Row],[Task Name]]="","",Tasks[[#This Row],[Forecast Finish]])</calculatedColumnFormula>
    </tableColumn>
    <tableColumn id="60" name="BL Source Duration">
      <calculatedColumnFormula>IF(Tasks[[#This Row],[Task Name]]="","",IF(Tasks[[#This Row],[_IsSummary]],NETWORKDAYS.INTL(Tasks[[#This Row],[Forecast Start]],Tasks[[#This Row],[Forecast Finish]],WorkWeek,Holidays),N(Tasks[[#This Row],[Duration]])))</calculatedColumnFormula>
    </tableColumn>
    <tableColumn id="61" name="BL Source Work">
      <calculatedColumnFormula>IF(Tasks[[#This Row],[Task Name]]="","",Tasks[[#This Row],[Work]])</calculatedColumnFormula>
    </tableColumn>
    <tableColumn id="62" name="BL Source Cost">
      <calculatedColumnFormula>IF(Tasks[[#This Row],[Task Name]]="","",Tasks[[#This Row],[Cost]])</calculatedColumnFormula>
    </tableColumn>
    <tableColumn id="63" name="Baseline Start"/>
    <tableColumn id="64" name="Baseline Finish"/>
    <tableColumn id="65" name="Baseline Duration"/>
    <tableColumn id="66" name="Baseline Work"/>
    <tableColumn id="67" name="Baseline Cost"/>
    <tableColumn id="68" name="EV">
      <calculatedColumnFormula>IF(Tasks[[#This Row],[Task Name]]="","",IF(Tasks[[#This Row],[_IsSummary]],SUM(INDEX(Tasks[_LeafEV],Tasks[[#This Row],[_Row]]+1):INDEX(Tasks[_LeafEV],Tasks[[#This Row],[_Row]]+Tasks[[#This Row],[_Descendants]])),Tasks[[#This Row],[_LeafEV]]))</calculatedColumnFormula>
    </tableColumn>
    <tableColumn id="69" name="Budget">
      <calculatedColumnFormula>IF(Tasks[[#This Row],[Task Name]]="","",IF(Tasks[[#This Row],[_IsSummary]],SUM(INDEX(Tasks[_LeafBudget],Tasks[[#This Row],[_Row]]+1):INDEX(Tasks[_LeafBudget],Tasks[[#This Row],[_Row]]+Tasks[[#This Row],[_Descendants]])),Tasks[[#This Row],[_LeafBudget]]))</calculatedColumnFormula>
    </tableColumn>
    <tableColumn id="70" name="PV">
      <calculatedColumnFormula>IF(Tasks[[#This Row],[Task Name]]="","",IF(Tasks[[#This Row],[_IsSummary]],SUM(INDEX(Tasks[_LeafPV],Tasks[[#This Row],[_Row]]+1):INDEX(Tasks[_LeafPV],Tasks[[#This Row],[_Row]]+Tasks[[#This Row],[_Descendants]])),Tasks[[#This Row],[_LeafPV]]))</calculatedColumnFormula>
    </tableColumn>
    <tableColumn id="71" name="AC">
      <calculatedColumnFormula>IF(Tasks[[#This Row],[Task Name]]="","",IF(Tasks[[#This Row],[_IsSummary]],SUM(INDEX(Tasks[_LeafAC],Tasks[[#This Row],[_Row]]+1):INDEX(Tasks[_LeafAC],Tasks[[#This Row],[_Row]]+Tasks[[#This Row],[_Descendants]])),Tasks[[#This Row],[_LeafAC]]))</calculatedColumnFormula>
    </tableColumn>
    <tableColumn id="72" name="_Level">
      <calculatedColumnFormula>IF(Tasks[[#This Row],[Task Name]]="","",MAX(1,N(Tasks[[#This Row],[Level]])))</calculatedColumnFormula>
    </tableColumn>
    <tableColumn id="73" name="_Row">
      <calculatedColumnFormula>ROW()-ROW(Tasks[[#Headers],[ID]])</calculatedColumnFormula>
    </tableColumn>
    <tableColumn id="74" name="_ParentRow">
      <calculatedColumnFormula>IF(OR(Tasks[[#This Row],[Task Name]]="",Tasks[[#This Row],[_Level]]&lt;=1),0,IFERROR(LOOKUP(2,1/(Tasks[[#Headers],[_Level]]:Tasks[[#This Row],[_Level]]=Tasks[[#This Row],[_Level]]-1),ROW(Tasks[[#Headers],[_Level]]:Tasks[[#This Row],[_Level]])),0))</calculatedColumnFormula>
    </tableColumn>
    <tableColumn id="75" name="_NextLevel">
      <calculatedColumnFormula>IFERROR(N(INDEX(Tasks[_Level],Tasks[[#This Row],[_Row]]+1)),0)</calculatedColumnFormula>
    </tableColumn>
    <tableColumn id="76" name="_IsSummary">
      <calculatedColumnFormula>AND(Tasks[[#This Row],[Task Name]]&lt;&gt;"",Tasks[[#This Row],[_NextLevel]]&gt;Tasks[[#This Row],[_Level]])</calculatedColumnFormula>
    </tableColumn>
    <tableColumn id="77" name="_Descendants">
      <calculatedColumnFormula>IF(Tasks[[#This Row],[_IsSummary]],COUNTIF(Tasks[WBS],Tasks[[#This Row],[WBS]]&amp;".*"),0)</calculatedColumnFormula>
    </tableColumn>
    <tableColumn id="78" name="_IsLeaf">
      <calculatedColumnFormula>IF(AND(Tasks[[#This Row],[Task Name]]&lt;&gt;"",NOT(Tasks[[#This Row],[_IsSummary]])),1,0)</calculatedColumnFormula>
    </tableColumn>
    <tableColumn id="79" name="_Pred1Pos">
      <calculatedColumnFormula>IF(N(Tasks[[#This Row],[Pred1 UID]])=0,0,IFERROR(MATCH(Tasks[[#This Row],[Pred1 UID]],Tasks[UID],0),-1))</calculatedColumnFormula>
    </tableColumn>
    <tableColumn id="80" name="_Pred2Pos">
      <calculatedColumnFormula>IF(N(Tasks[[#This Row],[Pred2 UID]])=0,0,IFERROR(MATCH(Tasks[[#This Row],[Pred2 UID]],Tasks[UID],0),-1))</calculatedColumnFormula>
    </tableColumn>
    <tableColumn id="81" name="_Pred3Pos">
      <calculatedColumnFormula>IF(N(Tasks[[#This Row],[Pred3 UID]])=0,0,IFERROR(MATCH(Tasks[[#This Row],[Pred3 UID]],Tasks[UID],0),-1))</calculatedColumnFormula>
    </tableColumn>
    <tableColumn id="82" name="_Pred4Pos">
      <calculatedColumnFormula>IF(N(Tasks[[#This Row],[Pred4 UID]])=0,0,IFERROR(MATCH(Tasks[[#This Row],[Pred4 UID]],Tasks[UID],0),-1))</calculatedColumnFormula>
    </tableColumn>
    <tableColumn id="83"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4"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85" name="_ConstraintLow">
      <calculatedColumnFormula>IF(OR(Tasks[[#This Row],[_ConstraintCode]]=2,Tasks[[#This Row],[_ConstraintCode]]=3,Tasks[[#This Row],[_ConstraintCode]]=4,Tasks[[#This Row],[_ConstraintCode]]=6),Tasks[[#This Row],[_ConstraintStart]],0)</calculatedColumnFormula>
    </tableColumn>
    <tableColumn id="86" name="_ConstraintHigh">
      <calculatedColumnFormula>IF(OR(Tasks[[#This Row],[_ConstraintCode]]=2,Tasks[[#This Row],[_ConstraintCode]]=3,Tasks[[#This Row],[_ConstraintCode]]=5,Tasks[[#This Row],[_ConstraintCode]]=7),Tasks[[#This Row],[_ConstraintStart]],2958465)</calculatedColumnFormula>
    </tableColumn>
    <tableColumn id="87"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8" name="_LeafCalcFinish">
      <calculatedColumnFormula>IF(NOT(Tasks[[#This Row],[_IsLeaf]]=1),"",IF(N(Tasks[[#This Row],[Duration]])&lt;=0,Tasks[[#This Row],[_LeafCalcStart]],WORKDAY.INTL(Tasks[[#This Row],[_LeafCalcStart]],Tasks[[#This Row],[Duration]]-1,WorkWeek,Holidays)))</calculatedColumnFormula>
    </tableColumn>
    <tableColumn id="89"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0"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91" name="_LeafProgress">
      <calculatedColumnFormula>IF(NOT(Tasks[[#This Row],[_IsLeaf]]=1),0,IF(N(Tasks[[#This Row],[Actual Finish]])&gt;0,1,MIN(1,N(Tasks[[#This Row],[% Complete]]))))</calculatedColumnFormula>
    </tableColumn>
    <tableColumn id="92" name="_LeafWork">
      <calculatedColumnFormula>IF(OR(NOT(Tasks[[#This Row],[_IsLeaf]]=1),Tasks[[#This Row],[Resource]]=""),0,N(Tasks[[#This Row],[Duration]])*HoursPerDay*IF(Tasks[[#This Row],[Units]]="",DefaultUnits,Tasks[[#This Row],[Units]]))</calculatedColumnFormula>
    </tableColumn>
    <tableColumn id="93" name="_LeafCost">
      <calculatedColumnFormula>IF(Tasks[[#This Row],[_LeafWork]]=0,0,Tasks[[#This Row],[_LeafWork]]*IFERROR(INDEX(res_Rate,MATCH(Tasks[[#This Row],[Resource]],res_Name,0)),0))</calculatedColumnFormula>
    </tableColumn>
    <tableColumn id="94" name="_LeafTotalWork">
      <calculatedColumnFormula>Tasks[[#This Row],[_LeafWork]]+IF(Tasks[[#This Row],[_IsLeaf]]=1,SUMIFS(asg_Work,asg_TaskUID,Tasks[[#This Row],[UID]],asg_Valid,1),0)</calculatedColumnFormula>
    </tableColumn>
    <tableColumn id="95" name="_LeafTotalCost">
      <calculatedColumnFormula>Tasks[[#This Row],[_LeafCost]]+IF(Tasks[[#This Row],[_IsLeaf]]=1,SUMIFS(asg_Cost,asg_TaskUID,Tasks[[#This Row],[UID]],asg_Valid,1),0)</calculatedColumnFormula>
    </tableColumn>
    <tableColumn id="96" name="_ResourceAC">
      <calculatedColumnFormula>IF(Tasks[[#This Row],[_LeafTotalCost]]=0,Tasks[[#This Row],[_LeafAC]],Tasks[[#This Row],[_LeafAC]]*Tasks[[#This Row],[_LeafCost]]/Tasks[[#This Row],[_LeafTotalCost]])</calculatedColumnFormula>
    </tableColumn>
    <tableColumn id="97"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98"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99" name="_Pred3FinishKey">
      <calculatedColumnFormula>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calculatedColumnFormula>
    </tableColumn>
    <tableColumn id="100" name="_Pred4FinishKey">
      <calculatedColumnFormula>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calculatedColumnFormula>
    </tableColumn>
    <tableColumn id="101"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02"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03"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04"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05" name="_LastSuccessorRow">
      <calculatedColumnFormula>IF(NOT(Tasks[[#This Row],[_IsLeaf]]=1),0,MAX(_xlfn.MAXIFS(Tasks[_Row],Tasks[Pred1 UID],Tasks[[#This Row],[UID]]),_xlfn.MAXIFS(Tasks[_Row],Tasks[Pred2 UID],Tasks[[#This Row],[UID]]),_xlfn.MAXIFS(Tasks[_Row],Tasks[Pred3 UID],Tasks[[#This Row],[UID]]),_xlfn.MAXIFS(Tasks[_Row],Tasks[Pred4 UID],Tasks[[#This Row],[UID]])))</calculatedColumnFormula>
    </tableColumn>
    <tableColumn id="106"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calculatedColumnFormula>
    </tableColumn>
    <tableColumn id="107"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08" name="_LeafLateStart">
      <calculatedColumnFormula>IF(NOT(Tasks[[#This Row],[_IsLeaf]]=1),"",IF(N(Tasks[[#This Row],[Duration]])&lt;=0,Tasks[[#This Row],[_LeafLateFinish]],WORKDAY.INTL(Tasks[[#This Row],[_LeafLateFinish]],-(Tasks[[#This Row],[Duration]]-1),WorkWeek,Holidays)))</calculatedColumnFormula>
    </tableColumn>
    <tableColumn id="109"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10" name="_LeafCritical">
      <calculatedColumnFormula>AND(Tasks[[#This Row],[_IsLeaf]]=1,Tasks[[#This Row],[_LeafProgress]]&lt;1,N(Tasks[[#This Row],[_LeafTotalSlack]])&lt;=CriticalSlackDays)</calculatedColumnFormula>
    </tableColumn>
    <tableColumn id="111" name="_AlapShift">
      <calculatedColumnFormula>IF(AND(Tasks[[#This Row],[_IsLeaf]]=1,Tasks[[#This Row],[_ConstraintCode]]=1,Tasks[[#This Row],[Mode]]&lt;&gt;"Manual",N(Tasks[[#This Row],[Actual Start]])=0),MAX(0,N(Tasks[[#This Row],[Free Slack]])),0)</calculatedColumnFormula>
    </tableColumn>
    <tableColumn id="112" name="_ShownCalcStart">
      <calculatedColumnFormula>IF(NOT(Tasks[[#This Row],[_IsLeaf]]=1),"",IF(Tasks[[#This Row],[_AlapShift]]=0,Tasks[[#This Row],[_LeafCalcStart]],WORKDAY.INTL(Tasks[[#This Row],[_LeafCalcStart]],Tasks[[#This Row],[_AlapShift]],WorkWeek,Holidays)))</calculatedColumnFormula>
    </tableColumn>
    <tableColumn id="113" name="_ShownCalcFinish">
      <calculatedColumnFormula>IF(NOT(Tasks[[#This Row],[_IsLeaf]]=1),"",IF(Tasks[[#This Row],[_AlapShift]]=0,Tasks[[#This Row],[_LeafCalcFinish]],WORKDAY.INTL(Tasks[[#This Row],[_LeafCalcFinish]],Tasks[[#This Row],[_AlapShift]],WorkWeek,Holidays)))</calculatedColumnFormula>
    </tableColumn>
    <tableColumn id="114" name="_ShownFcstStart">
      <calculatedColumnFormula>IF(NOT(Tasks[[#This Row],[_IsLeaf]]=1),"",IF(Tasks[[#This Row],[_AlapShift]]=0,Tasks[[#This Row],[_LeafFcstStart]],WORKDAY.INTL(Tasks[[#This Row],[_LeafFcstStart]],Tasks[[#This Row],[_AlapShift]],WorkWeek,Holidays)))</calculatedColumnFormula>
    </tableColumn>
    <tableColumn id="115" name="_ShownFcstFinish">
      <calculatedColumnFormula>IF(NOT(Tasks[[#This Row],[_IsLeaf]]=1),"",IF(Tasks[[#This Row],[_AlapShift]]=0,Tasks[[#This Row],[_LeafFcstFinish]],WORKDAY.INTL(Tasks[[#This Row],[_LeafFcstFinish]],Tasks[[#This Row],[_AlapShift]],WorkWeek,Holidays)))</calculatedColumnFormula>
    </tableColumn>
    <tableColumn id="116"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17"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18"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119"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120" name="_Pred3Problem">
      <calculatedColumnFormula>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calculatedColumnFormula>
    </tableColumn>
    <tableColumn id="121" name="_Pred4Problem">
      <calculatedColumnFormula>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calculatedColumnFormula>
    </tableColumn>
    <tableColumn id="122"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123"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124" name="_Pred3PlanDriver">
      <calculatedColumnFormula>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calculatedColumnFormula>
    </tableColumn>
    <tableColumn id="125" name="_Pred4PlanDriver">
      <calculatedColumnFormula>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calculatedColumnFormula>
    </tableColumn>
    <tableColumn id="126"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127"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128" name="_Pred3FcstDriver">
      <calculatedColumnFormula>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calculatedColumnFormula>
    </tableColumn>
    <tableColumn id="129" name="_Pred4FcstDriver">
      <calculatedColumnFormula>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calculatedColumnFormula>
    </tableColumn>
    <tableColumn id="130" name="_StartWorkday">
      <calculatedColumnFormula>IF(AND(Tasks[[#This Row],[_IsLeaf]]=1,Tasks[[#This Row],[_LeafTotalWork]]&gt;0),NETWORKDAYS.INTL(ProjectStart,Tasks[[#This Row],[_ShownFcstStart]],WorkWeek,Holidays),0)</calculatedColumnFormula>
    </tableColumn>
    <tableColumn id="131" name="_FinishWorkday">
      <calculatedColumnFormula>IF(AND(Tasks[[#This Row],[_IsLeaf]]=1,Tasks[[#This Row],[_LeafTotalWork]]&gt;0),MAX(Tasks[[#This Row],[_StartWorkday]],NETWORKDAYS.INTL(ProjectStart,Tasks[[#This Row],[_ShownFcstFinish]],WorkWeek,Holidays)),0)</calculatedColumnFormula>
    </tableColumn>
    <tableColumn id="132" name="_WorkPerWorkday">
      <calculatedColumnFormula>IF(AND(Tasks[[#This Row],[_IsLeaf]]=1,Tasks[[#This Row],[_LeafTotalWork]]&gt;0),Tasks[[#This Row],[_LeafWork]]/(Tasks[[#This Row],[_FinishWorkday]]-Tasks[[#This Row],[_StartWorkday]]+1),0)</calculatedColumnFormula>
    </tableColumn>
    <tableColumn id="133" name="_WorkBeforeStart">
      <calculatedColumnFormula>Tasks[[#This Row],[_WorkPerWorkday]]*(Tasks[[#This Row],[_StartWorkday]]-1)</calculatedColumnFormula>
    </tableColumn>
    <tableColumn id="134" name="_WeightDur">
      <calculatedColumnFormula>IF(Tasks[[#This Row],[_IsLeaf]]=1,MAX(N(Tasks[[#This Row],[Duration]]),0.1),0)</calculatedColumnFormula>
    </tableColumn>
    <tableColumn id="135" name="_WeightDone">
      <calculatedColumnFormula>Tasks[[#This Row],[_WeightDur]]*Tasks[[#This Row],[_LeafProgress]]</calculatedColumnFormula>
    </tableColumn>
    <tableColumn id="136" name="_UIDPredecessors">
      <calculatedColumnFormula>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calculatedColumnFormula>
    </tableColumn>
    <tableColumn id="137" name="_MilestoneKey">
      <calculatedColumnFormula>IF(AND(Tasks[[#This Row],[_IsLeaf]]=1,N(Tasks[[#This Row],[Duration]])=0,Tasks[[#This Row],[_LeafProgress]]&lt;1),Tasks[[#This Row],[_ShownFcstFinish]]+Tasks[[#This Row],[_Row]]/100000,"")</calculatedColumnFormula>
    </tableColumn>
    <tableColumn id="138"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39" name="_LeafBudget">
      <calculatedColumnFormula>IF(NOT(Tasks[[#This Row],[_IsLeaf]]=1),0,IF(Tasks[[#This Row],[Baseline Cost]]="",Tasks[[#This Row],[_LeafTotalCost]],N(Tasks[[#This Row],[Baseline Cost]])))</calculatedColumnFormula>
    </tableColumn>
    <tableColumn id="140" name="_LeafPV">
      <calculatedColumnFormula>Tasks[[#This Row],[_LeafBudget]]*Tasks[[#This Row],[_PlannedPct]]</calculatedColumnFormula>
    </tableColumn>
    <tableColumn id="141" name="_LeafEV">
      <calculatedColumnFormula>Tasks[[#This Row],[_LeafBudget]]*Tasks[[#This Row],[_LeafProgress]]</calculatedColumnFormula>
    </tableColumn>
    <tableColumn id="142" name="_LeafAC">
      <calculatedColumnFormula>IF(NOT(Tasks[[#This Row],[_IsLeaf]]=1),0,IF(Tasks[[#This Row],[Actual Cost]]="",Tasks[[#This Row],[_LeafTotalCost]]*Tasks[[#This Row],[_LeafProgress]],N(Tasks[[#This Row],[Actual Cost]])))</calculatedColumnFormula>
    </tableColumn>
    <tableColumn id="143" name="_Phase">
      <calculatedColumnFormula>IF(Tasks[[#This Row],[Task Name]]="","",LEFT(Tasks[[#This Row],[WBS]],FIND(".",Tasks[[#This Row],[WBS]]&amp;".")-1))</calculatedColumnFormula>
    </tableColumn>
    <tableColumn id="144" name="_PhaseKey">
      <calculatedColumnFormula>IF(AND(Tasks[[#This Row],[Task Name]]&lt;&gt;"",Tasks[[#This Row],[_Level]]=1),Tasks[[#This Row],[_Row]],"")</calculatedColumnFormula>
    </tableColumn>
    <tableColumn id="145" name="_MilestoneOrder">
      <calculatedColumnFormula>IF(AND(Tasks[[#This Row],[_IsLeaf]]=1,N(Tasks[[#This Row],[Duration]])=0),Tasks[[#This Row],[Planned Finish]]+Tasks[[#This Row],[_Row]]/100000,"")</calculatedColumnFormula>
    </tableColumn>
    <tableColumn id="146" name="_LateKey">
      <calculatedColumnFormula>IF(AND(Tasks[[#This Row],[_IsLeaf]]=1,Tasks[[#This Row],[_LeafProgress]]&lt;1,OR(N(Tasks[[#This Row],[Finish Var]])&gt;0,Tasks[[#This Row],[Status]]="Late Start")),MAX(0,Tasks[[#This Row],[Finish Var]])+1-Tasks[[#This Row],[_Row]]/1000000,"")</calculatedColumnFormula>
    </tableColumn>
    <tableColumn id="147" name="_StartSoonKey">
      <calculatedColumnFormula>IF(AND(Tasks[[#This Row],[_IsLeaf]]=1,N(Tasks[[#This Row],[Actual Start]])=0,Tasks[[#This Row],[_ShownFcstStart]]&gt;=StatusDate,Tasks[[#This Row],[_ShownFcstStart]]&lt;=LookaheadEnd),Tasks[[#This Row],[_ShownFcstStart]]+Tasks[[#This Row],[_Row]]/100000,"")</calculatedColumnFormula>
    </tableColumn>
    <tableColumn id="148"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49" name="_CriticalKey">
      <calculatedColumnFormula>IF(Tasks[[#This Row],[_LeafCritical]],Tasks[[#This Row],[_ShownFcstStart]]+Tasks[[#This Row],[_Row]]/100000,"")</calculatedColumnFormula>
    </tableColumn>
    <tableColumn id="150" name="_LeafWorkDone">
      <calculatedColumnFormula>Tasks[[#This Row],[_LeafWork]]*Tasks[[#This Row],[_LeafProgress]]</calculatedColumnFormula>
    </tableColumn>
    <tableColumn id="151" name="_DoneDate">
      <calculatedColumnFormula>IF(AND(Tasks[[#This Row],[_IsLeaf]]=1,Tasks[[#This Row],[_LeafProgress]]&gt;=1),IF(N(Tasks[[#This Row],[Actual Finish]])&gt;0,Tasks[[#This Row],[Actual Finish]],Tasks[[#This Row],[_ShownFcstFinish]]),"")</calculatedColumnFormula>
    </tableColumn>
    <tableColumn id="152" name="_LeafPoints">
      <calculatedColumnFormula>IF(Tasks[[#This Row],[_IsLeaf]]=1,N(Tasks[[#This Row],[Story Points]]),0)</calculatedColumnFormula>
    </tableColumn>
    <tableColumn id="153" name="_CurrentSprintKey">
      <calculatedColumnFormula>IF(AND(Tasks[[#This Row],[_IsLeaf]]=1,CurrentSprint&lt;&gt;"",Tasks[[#This Row],[Sprint]]=CurrentSprint),Tasks[[#This Row],[_Row]],"")</calculatedColumnFormula>
    </tableColumn>
  </tableColumns>
  <tableStyleInfo name="TableStyleLight1" showRowStripes="0"/>
</table>
</file>

<file path=xl/tables/table45.xml><?xml version="1.0" encoding="utf-8"?>
<table xmlns="http://schemas.openxmlformats.org/spreadsheetml/2006/main" id="45"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1.xml"/><Relationship Id="rId3" Type="http://schemas.openxmlformats.org/officeDocument/2006/relationships/table" Target="../tables/table27.xml"/><Relationship Id="rId4" Type="http://schemas.openxmlformats.org/officeDocument/2006/relationships/table" Target="../tables/table43.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33.xml"/><Relationship Id="rId4" Type="http://schemas.openxmlformats.org/officeDocument/2006/relationships/table" Target="../tables/table34.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Relationship Id="rId4" Type="http://schemas.openxmlformats.org/officeDocument/2006/relationships/table" Target="../tables/table3.xml"/><Relationship Id="rId5" Type="http://schemas.openxmlformats.org/officeDocument/2006/relationships/table" Target="../tables/table8.xml"/><Relationship Id="rId6" Type="http://schemas.openxmlformats.org/officeDocument/2006/relationships/table" Target="../tables/table28.xml"/><Relationship Id="rId7" Type="http://schemas.openxmlformats.org/officeDocument/2006/relationships/table" Target="../tables/table41.xml"/><Relationship Id="rId8" Type="http://schemas.openxmlformats.org/officeDocument/2006/relationships/table" Target="../tables/table42.xml"/><Relationship Id="rId9" Type="http://schemas.openxmlformats.org/officeDocument/2006/relationships/table" Target="../tables/table4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5.xml"/><Relationship Id="rId4" Type="http://schemas.openxmlformats.org/officeDocument/2006/relationships/table" Target="../tables/table7.xml"/><Relationship Id="rId5" Type="http://schemas.openxmlformats.org/officeDocument/2006/relationships/table" Target="../tables/table12.xml"/><Relationship Id="rId6" Type="http://schemas.openxmlformats.org/officeDocument/2006/relationships/table" Target="../tables/table26.xml"/><Relationship Id="rId7" Type="http://schemas.openxmlformats.org/officeDocument/2006/relationships/table" Target="../tables/table29.xml"/><Relationship Id="rId8" Type="http://schemas.openxmlformats.org/officeDocument/2006/relationships/table" Target="../tables/table39.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Relationship Id="rId4" Type="http://schemas.openxmlformats.org/officeDocument/2006/relationships/table" Target="../tables/table31.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4.xml"/><Relationship Id="rId3" Type="http://schemas.openxmlformats.org/officeDocument/2006/relationships/vmlDrawing" Target="../drawings/vmlDrawing5.vml"/><Relationship Id="rId4" Type="http://schemas.openxmlformats.org/officeDocument/2006/relationships/table" Target="../tables/table1.xml"/><Relationship Id="rId5" Type="http://schemas.openxmlformats.org/officeDocument/2006/relationships/table" Target="../tables/table36.xml"/><Relationship Id="rId6" Type="http://schemas.openxmlformats.org/officeDocument/2006/relationships/table" Target="../tables/table37.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30.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6.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8.vml"/><Relationship Id="rId3" Type="http://schemas.openxmlformats.org/officeDocument/2006/relationships/table" Target="../tables/table4.xml"/>
</Relationships>
</file>

<file path=xl/worksheets/_rels/sheet11.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5.xml"/><Relationship Id="rId3" Type="http://schemas.openxmlformats.org/officeDocument/2006/relationships/table" Target="../tables/table40.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9.vml"/><Relationship Id="rId3" Type="http://schemas.openxmlformats.org/officeDocument/2006/relationships/table" Target="../tables/table44.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0.vml"/><Relationship Id="rId3" Type="http://schemas.openxmlformats.org/officeDocument/2006/relationships/table" Target="../tables/table9.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1.vml"/><Relationship Id="rId3" Type="http://schemas.openxmlformats.org/officeDocument/2006/relationships/table" Target="../tables/table32.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2.vml"/><Relationship Id="rId3" Type="http://schemas.openxmlformats.org/officeDocument/2006/relationships/table" Target="../tables/table2.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3.vml"/><Relationship Id="rId3" Type="http://schemas.openxmlformats.org/officeDocument/2006/relationships/table" Target="../tables/table38.xml"/>
</Relationships>
</file>

<file path=xl/worksheets/_rels/sheet18.xml.rels><?xml version="1.0" encoding="UTF-8"?>
<Relationships xmlns="http://schemas.openxmlformats.org/package/2006/relationships"><Relationship Id="rId1" Type="http://schemas.openxmlformats.org/officeDocument/2006/relationships/table" Target="../tables/table10.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Relationship Id="rId3" Type="http://schemas.openxmlformats.org/officeDocument/2006/relationships/table" Target="../tables/table13.xml"/>
</Relationships>
</file>

<file path=xl/worksheets/_rels/sheet20.xml.rels><?xml version="1.0" encoding="UTF-8"?>
<Relationships xmlns="http://schemas.openxmlformats.org/package/2006/relationships"><Relationship Id="rId1" Type="http://schemas.openxmlformats.org/officeDocument/2006/relationships/table" Target="../tables/table14.xml"/><Relationship Id="rId2" Type="http://schemas.openxmlformats.org/officeDocument/2006/relationships/table" Target="../tables/table15.xml"/><Relationship Id="rId3" Type="http://schemas.openxmlformats.org/officeDocument/2006/relationships/table" Target="../tables/table16.xml"/><Relationship Id="rId4" Type="http://schemas.openxmlformats.org/officeDocument/2006/relationships/table" Target="../tables/table17.xml"/><Relationship Id="rId5" Type="http://schemas.openxmlformats.org/officeDocument/2006/relationships/table" Target="../tables/table18.xml"/><Relationship Id="rId6" Type="http://schemas.openxmlformats.org/officeDocument/2006/relationships/table" Target="../tables/table19.xml"/><Relationship Id="rId7" Type="http://schemas.openxmlformats.org/officeDocument/2006/relationships/table" Target="../tables/table20.xml"/><Relationship Id="rId8" Type="http://schemas.openxmlformats.org/officeDocument/2006/relationships/table" Target="../tables/table21.xml"/><Relationship Id="rId9" Type="http://schemas.openxmlformats.org/officeDocument/2006/relationships/table" Target="../tables/table22.xml"/><Relationship Id="rId10" Type="http://schemas.openxmlformats.org/officeDocument/2006/relationships/table" Target="../tables/table23.xml"/><Relationship Id="rId11" Type="http://schemas.openxmlformats.org/officeDocument/2006/relationships/table" Target="../tables/table24.xml"/><Relationship Id="rId12" Type="http://schemas.openxmlformats.org/officeDocument/2006/relationships/table" Target="../tables/table2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row>
    <row r="6" customFormat="false" ht="15" hidden="false" customHeight="false" outlineLevel="0" collapsed="false">
      <c r="B6" s="5" t="s">
        <v>6</v>
      </c>
      <c r="C6" s="7"/>
    </row>
    <row r="7" customFormat="false" ht="15" hidden="false" customHeight="false" outlineLevel="0" collapsed="false">
      <c r="B7" s="5" t="s">
        <v>7</v>
      </c>
      <c r="C7" s="7"/>
    </row>
    <row r="8" customFormat="false" ht="15" hidden="false" customHeight="false" outlineLevel="0" collapsed="false">
      <c r="B8" s="5" t="s">
        <v>8</v>
      </c>
      <c r="C8" s="6" t="s">
        <v>9</v>
      </c>
    </row>
    <row r="9" customFormat="false" ht="15" hidden="false" customHeight="false" outlineLevel="0" collapsed="false">
      <c r="B9" s="5" t="s">
        <v>10</v>
      </c>
      <c r="C9" s="8" t="n">
        <v>8</v>
      </c>
    </row>
    <row r="11" customFormat="false" ht="15" hidden="false" customHeight="false" outlineLevel="0" collapsed="false">
      <c r="B11" s="3" t="s">
        <v>11</v>
      </c>
      <c r="C11" s="4"/>
    </row>
    <row r="12" customFormat="false" ht="28.35" hidden="false" customHeight="false" outlineLevel="0" collapsed="false">
      <c r="B12" s="5" t="s">
        <v>12</v>
      </c>
      <c r="C12" s="9" t="s">
        <v>13</v>
      </c>
    </row>
    <row r="13" customFormat="false" ht="15" hidden="false" customHeight="false" outlineLevel="0" collapsed="false">
      <c r="B13" s="5" t="s">
        <v>14</v>
      </c>
      <c r="C13" s="10" t="s">
        <v>15</v>
      </c>
    </row>
    <row r="14" customFormat="false" ht="15" hidden="false" customHeight="false" outlineLevel="0" collapsed="false">
      <c r="B14" s="5" t="s">
        <v>16</v>
      </c>
      <c r="C14" s="10" t="s">
        <v>17</v>
      </c>
    </row>
    <row r="15" customFormat="false" ht="15" hidden="false" customHeight="false" outlineLevel="0" collapsed="false">
      <c r="B15" s="5" t="s">
        <v>18</v>
      </c>
      <c r="C15" s="10" t="s">
        <v>19</v>
      </c>
    </row>
    <row r="16" customFormat="false" ht="15" hidden="false" customHeight="false" outlineLevel="0" collapsed="false">
      <c r="B16" s="5" t="s">
        <v>20</v>
      </c>
      <c r="C16" s="10" t="s">
        <v>21</v>
      </c>
    </row>
    <row r="18" customFormat="false" ht="15" hidden="false" customHeight="false" outlineLevel="0" collapsed="false">
      <c r="B18" s="3" t="s">
        <v>22</v>
      </c>
      <c r="C18" s="4"/>
    </row>
    <row r="19" customFormat="false" ht="15" hidden="false" customHeight="false" outlineLevel="0" collapsed="false">
      <c r="B19" s="5" t="s">
        <v>7</v>
      </c>
      <c r="C19" s="9" t="s">
        <v>23</v>
      </c>
    </row>
    <row r="20" customFormat="false" ht="15" hidden="false" customHeight="false" outlineLevel="0" collapsed="false">
      <c r="B20" s="5" t="s">
        <v>24</v>
      </c>
      <c r="C20" s="10" t="s">
        <v>25</v>
      </c>
    </row>
    <row r="21" customFormat="false" ht="15" hidden="false" customHeight="false" outlineLevel="0" collapsed="false">
      <c r="B21" s="5" t="s">
        <v>26</v>
      </c>
      <c r="C21" s="10" t="s">
        <v>27</v>
      </c>
    </row>
    <row r="22" customFormat="false" ht="15" hidden="false" customHeight="false" outlineLevel="0" collapsed="false">
      <c r="B22" s="5" t="s">
        <v>28</v>
      </c>
      <c r="C22" s="10" t="s">
        <v>29</v>
      </c>
    </row>
    <row r="23" customFormat="false" ht="15" hidden="false" customHeight="false" outlineLevel="0" collapsed="false">
      <c r="B23" s="5" t="s">
        <v>30</v>
      </c>
      <c r="C23" s="10" t="s">
        <v>31</v>
      </c>
    </row>
    <row r="25" customFormat="false" ht="15" hidden="false" customHeight="false" outlineLevel="0" collapsed="false">
      <c r="B25" s="3" t="s">
        <v>32</v>
      </c>
      <c r="C25" s="4"/>
    </row>
    <row r="27" customFormat="false" ht="15" hidden="false" customHeight="false" outlineLevel="0" collapsed="false">
      <c r="B27" s="3" t="s">
        <v>33</v>
      </c>
      <c r="C27" s="4"/>
    </row>
    <row r="28" customFormat="false" ht="15" hidden="false" customHeight="false" outlineLevel="0" collapsed="false">
      <c r="B28" s="11" t="s">
        <v>34</v>
      </c>
      <c r="C28" s="12" t="s">
        <v>35</v>
      </c>
    </row>
    <row r="30" customFormat="false" ht="15" hidden="false" customHeight="false" outlineLevel="0" collapsed="false">
      <c r="B30" s="3" t="s">
        <v>36</v>
      </c>
      <c r="C30" s="4"/>
    </row>
    <row r="31" customFormat="false" ht="35.05" hidden="false" customHeight="false" outlineLevel="0" collapsed="false">
      <c r="B31" s="11" t="s">
        <v>37</v>
      </c>
      <c r="C31" s="12" t="s">
        <v>38</v>
      </c>
    </row>
    <row r="32" customFormat="false" ht="35.05" hidden="false" customHeight="false" outlineLevel="0" collapsed="false">
      <c r="B32" s="11" t="s">
        <v>39</v>
      </c>
      <c r="C32" s="12" t="s">
        <v>40</v>
      </c>
    </row>
    <row r="33" customFormat="false" ht="46.25" hidden="false" customHeight="false" outlineLevel="0" collapsed="false">
      <c r="B33" s="11" t="s">
        <v>16</v>
      </c>
      <c r="C33" s="12" t="s">
        <v>41</v>
      </c>
    </row>
    <row r="34" customFormat="false" ht="35.05" hidden="false" customHeight="false" outlineLevel="0" collapsed="false">
      <c r="B34" s="11" t="s">
        <v>42</v>
      </c>
      <c r="C34" s="12" t="s">
        <v>43</v>
      </c>
    </row>
    <row r="35" customFormat="false" ht="23.85" hidden="false" customHeight="false" outlineLevel="0" collapsed="false">
      <c r="B35" s="11" t="s">
        <v>44</v>
      </c>
      <c r="C35" s="12" t="s">
        <v>45</v>
      </c>
    </row>
    <row r="36" customFormat="false" ht="35.05" hidden="false" customHeight="false" outlineLevel="0" collapsed="false">
      <c r="B36" s="11" t="s">
        <v>46</v>
      </c>
      <c r="C36" s="12" t="s">
        <v>47</v>
      </c>
    </row>
    <row r="37" customFormat="false" ht="46.25" hidden="false" customHeight="false" outlineLevel="0" collapsed="false">
      <c r="B37" s="11" t="s">
        <v>48</v>
      </c>
      <c r="C37" s="12" t="s">
        <v>49</v>
      </c>
    </row>
    <row r="38" customFormat="false" ht="23.85" hidden="false" customHeight="false" outlineLevel="0" collapsed="false">
      <c r="B38" s="11" t="s">
        <v>50</v>
      </c>
      <c r="C38" s="12" t="s">
        <v>51</v>
      </c>
    </row>
    <row r="39" customFormat="false" ht="46.25" hidden="false" customHeight="false" outlineLevel="0" collapsed="false">
      <c r="B39" s="11" t="s">
        <v>52</v>
      </c>
      <c r="C39" s="12" t="s">
        <v>53</v>
      </c>
    </row>
    <row r="40" customFormat="false" ht="15" hidden="false" customHeight="false" outlineLevel="0" collapsed="false">
      <c r="B40" s="11" t="s">
        <v>54</v>
      </c>
      <c r="C40" s="12" t="s">
        <v>55</v>
      </c>
    </row>
    <row r="41" customFormat="false" ht="35.05" hidden="false" customHeight="false" outlineLevel="0" collapsed="false">
      <c r="B41" s="11" t="s">
        <v>56</v>
      </c>
      <c r="C41" s="12" t="s">
        <v>57</v>
      </c>
    </row>
    <row r="42" customFormat="false" ht="23.85" hidden="false" customHeight="false" outlineLevel="0" collapsed="false">
      <c r="B42" s="11" t="s">
        <v>58</v>
      </c>
      <c r="C42" s="12" t="s">
        <v>59</v>
      </c>
    </row>
    <row r="43" customFormat="false" ht="23.85" hidden="false" customHeight="false" outlineLevel="0" collapsed="false">
      <c r="B43" s="11" t="s">
        <v>60</v>
      </c>
      <c r="C43" s="12" t="s">
        <v>61</v>
      </c>
    </row>
    <row r="44" customFormat="false" ht="23.85" hidden="false" customHeight="false" outlineLevel="0" collapsed="false">
      <c r="B44" s="11" t="s">
        <v>62</v>
      </c>
      <c r="C44" s="12" t="s">
        <v>63</v>
      </c>
    </row>
    <row r="45" customFormat="false" ht="35.05" hidden="false" customHeight="false" outlineLevel="0" collapsed="false">
      <c r="B45" s="11" t="s">
        <v>64</v>
      </c>
      <c r="C45" s="12" t="s">
        <v>65</v>
      </c>
    </row>
    <row r="46" customFormat="false" ht="35.05" hidden="false" customHeight="false" outlineLevel="0" collapsed="false">
      <c r="B46" s="11" t="s">
        <v>66</v>
      </c>
      <c r="C46" s="12" t="s">
        <v>67</v>
      </c>
    </row>
    <row r="47" customFormat="false" ht="35.05" hidden="false" customHeight="false" outlineLevel="0" collapsed="false">
      <c r="B47" s="11" t="s">
        <v>68</v>
      </c>
      <c r="C47" s="12" t="s">
        <v>69</v>
      </c>
    </row>
    <row r="48" customFormat="false" ht="23.85" hidden="false" customHeight="false" outlineLevel="0" collapsed="false">
      <c r="B48" s="11" t="s">
        <v>70</v>
      </c>
      <c r="C48" s="12" t="s">
        <v>71</v>
      </c>
    </row>
    <row r="49" customFormat="false" ht="35.05" hidden="false" customHeight="false" outlineLevel="0" collapsed="false">
      <c r="B49" s="11" t="s">
        <v>72</v>
      </c>
      <c r="C49" s="12" t="s">
        <v>73</v>
      </c>
    </row>
    <row r="51" customFormat="false" ht="15" hidden="false" customHeight="false" outlineLevel="0" collapsed="false">
      <c r="B51" s="3" t="s">
        <v>74</v>
      </c>
      <c r="C51" s="4"/>
    </row>
    <row r="52" customFormat="false" ht="15" hidden="false" customHeight="false" outlineLevel="0" collapsed="false">
      <c r="B52" s="11" t="s">
        <v>75</v>
      </c>
      <c r="C52" s="13" t="s">
        <v>76</v>
      </c>
    </row>
    <row r="53" customFormat="false" ht="15" hidden="false" customHeight="false" outlineLevel="0" collapsed="false">
      <c r="B53" s="11" t="s">
        <v>77</v>
      </c>
      <c r="C53" s="14" t="s">
        <v>78</v>
      </c>
    </row>
    <row r="54" customFormat="false" ht="15" hidden="false" customHeight="false" outlineLevel="0" collapsed="false">
      <c r="B54" s="11" t="s">
        <v>79</v>
      </c>
      <c r="C54" s="12" t="s">
        <v>80</v>
      </c>
    </row>
    <row r="56" customFormat="false" ht="15" hidden="false" customHeight="false" outlineLevel="0" collapsed="false">
      <c r="B56" s="3" t="s">
        <v>81</v>
      </c>
      <c r="C56" s="4"/>
    </row>
    <row r="57" customFormat="false" ht="23.85" hidden="false" customHeight="false" outlineLevel="0" collapsed="false">
      <c r="B57" s="11" t="s">
        <v>82</v>
      </c>
      <c r="C57" s="12" t="s">
        <v>83</v>
      </c>
    </row>
    <row r="58" customFormat="false" ht="23.85" hidden="false" customHeight="false" outlineLevel="0" collapsed="false">
      <c r="B58" s="11" t="s">
        <v>84</v>
      </c>
      <c r="C58" s="12" t="s">
        <v>85</v>
      </c>
    </row>
    <row r="59" customFormat="false" ht="15" hidden="false" customHeight="false" outlineLevel="0" collapsed="false">
      <c r="B59" s="11" t="s">
        <v>86</v>
      </c>
      <c r="C59" s="12" t="s">
        <v>87</v>
      </c>
    </row>
    <row r="60" customFormat="false" ht="46.25" hidden="false" customHeight="false" outlineLevel="0" collapsed="false">
      <c r="B60" s="11" t="s">
        <v>88</v>
      </c>
      <c r="C60" s="12" t="s">
        <v>89</v>
      </c>
    </row>
    <row r="61" customFormat="false" ht="15" hidden="false" customHeight="false" outlineLevel="0" collapsed="false">
      <c r="B61" s="11" t="s">
        <v>90</v>
      </c>
      <c r="C61" s="12" t="s">
        <v>91</v>
      </c>
    </row>
    <row r="62" customFormat="false" ht="46.25" hidden="false" customHeight="false" outlineLevel="0" collapsed="false">
      <c r="B62" s="11" t="s">
        <v>92</v>
      </c>
      <c r="C62" s="12" t="s">
        <v>93</v>
      </c>
    </row>
    <row r="63" customFormat="false" ht="23.85" hidden="false" customHeight="false" outlineLevel="0" collapsed="false">
      <c r="B63" s="11" t="s">
        <v>94</v>
      </c>
      <c r="C63" s="12" t="s">
        <v>95</v>
      </c>
    </row>
    <row r="64" customFormat="false" ht="46.25" hidden="false" customHeight="false" outlineLevel="0" collapsed="false">
      <c r="B64" s="11" t="s">
        <v>96</v>
      </c>
      <c r="C64" s="12" t="s">
        <v>97</v>
      </c>
    </row>
    <row r="65" customFormat="false" ht="35.05" hidden="false" customHeight="false" outlineLevel="0" collapsed="false">
      <c r="B65" s="11" t="s">
        <v>98</v>
      </c>
      <c r="C65" s="12" t="s">
        <v>99</v>
      </c>
    </row>
    <row r="67" customFormat="false" ht="15" hidden="false" customHeight="false" outlineLevel="0" collapsed="false">
      <c r="B67" s="3" t="s">
        <v>100</v>
      </c>
      <c r="C67" s="4"/>
    </row>
    <row r="68" customFormat="false" ht="46.25" hidden="false" customHeight="false" outlineLevel="0" collapsed="false">
      <c r="B68" s="11" t="s">
        <v>101</v>
      </c>
      <c r="C68" s="12" t="s">
        <v>102</v>
      </c>
    </row>
    <row r="69" customFormat="false" ht="35.05" hidden="false" customHeight="false" outlineLevel="0" collapsed="false">
      <c r="B69" s="11" t="s">
        <v>103</v>
      </c>
      <c r="C69" s="12" t="s">
        <v>104</v>
      </c>
    </row>
    <row r="70" customFormat="false" ht="23.85" hidden="false" customHeight="false" outlineLevel="0" collapsed="false">
      <c r="B70" s="11" t="s">
        <v>105</v>
      </c>
      <c r="C70" s="12" t="s">
        <v>106</v>
      </c>
    </row>
    <row r="72" customFormat="false" ht="15" hidden="false" customHeight="false" outlineLevel="0" collapsed="false">
      <c r="B72" s="3" t="s">
        <v>107</v>
      </c>
      <c r="C72" s="4"/>
    </row>
    <row r="73" customFormat="false" ht="46.25" hidden="false" customHeight="false" outlineLevel="0" collapsed="false">
      <c r="B73" s="11" t="s">
        <v>108</v>
      </c>
      <c r="C73" s="12" t="s">
        <v>109</v>
      </c>
    </row>
    <row r="74" customFormat="false" ht="57.45" hidden="false" customHeight="false" outlineLevel="0" collapsed="false">
      <c r="B74" s="11" t="s">
        <v>110</v>
      </c>
      <c r="C74" s="12" t="s">
        <v>111</v>
      </c>
    </row>
    <row r="75" customFormat="false" ht="23.85" hidden="false" customHeight="false" outlineLevel="0" collapsed="false">
      <c r="B75" s="11" t="s">
        <v>112</v>
      </c>
      <c r="C75" s="12" t="s">
        <v>113</v>
      </c>
    </row>
    <row r="76" customFormat="false" ht="15" hidden="false" customHeight="false" outlineLevel="0" collapsed="false">
      <c r="B76" s="11" t="s">
        <v>114</v>
      </c>
      <c r="C76" s="12" t="s">
        <v>115</v>
      </c>
    </row>
    <row r="77" customFormat="false" ht="57.45" hidden="false" customHeight="false" outlineLevel="0" collapsed="false">
      <c r="B77" s="11" t="s">
        <v>116</v>
      </c>
      <c r="C77" s="12" t="s">
        <v>117</v>
      </c>
    </row>
  </sheetData>
  <conditionalFormatting sqref="C6">
    <cfRule type="expression" priority="2" aboveAverage="0" equalAverage="0" bottom="0" percent="0" rank="0" text="" dxfId="0">
      <formula>N(C6)=0</formula>
    </cfRule>
  </conditionalFormatting>
  <conditionalFormatting sqref="C7">
    <cfRule type="expression" priority="3" aboveAverage="0" equalAverage="0" bottom="0" percent="0" rank="0" text="" dxfId="0">
      <formula>N(C7)=0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7"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8" type="list">
      <formula1>L_WorkingWeek</formula1>
      <formula2>0</formula2>
    </dataValidation>
    <dataValidation allowBlank="false" errorStyle="stop" operator="between" prompt="Work (hrs) = Duration x Hours/day x Units." promptTitle="Working hours per day" showDropDown="false" showErrorMessage="false" showInputMessage="true" sqref="C9" type="decimal">
      <formula1>1</formula1>
      <formula2>24</formula2>
    </dataValidation>
  </dataValidations>
  <hyperlinks>
    <hyperlink ref="C13" location="'Resources'!A1" display="List the people (or roles) with their availability and hourly rate.  Go to Resources."/>
    <hyperlink ref="C14" location="'Tasks'!A1" display="One row per task: Level (1 = phase, 2 = task ...), Task Name, Duration in working days, the UID of the task that must come first (Pred1 UID), the person (Resource). That's a plan: dates, the critical path, the Gantt and the reports follow. Optional columns are grouped: click + above a section to show them.  Go to Tasks."/>
    <hyperlink ref="C15" location="'Gantt'!A1" display="Fix anything in the Issues column (red), then look at the Gantt and the Roadmap.  Go to Gantt."/>
    <hyperlink ref="C16" location="'Tasks'!A1" display="When the plan is agreed, freeze it: on Tasks open the BASELINE section (+), copy the 5 'BL Source' columns and Paste Special &gt; Values onto the 5 Baseline columns.  Go to Tasks."/>
    <hyperlink ref="C20" location="'Tasks'!A1" display="On Tasks: % Complete, Actual Start and Actual Finish for the tasks that moved.  Go to Tasks."/>
    <hyperlink ref="C21" location="'RAID'!A1" display="Update risks, issues, decisions and change requests.  Go to RAID."/>
    <hyperlink ref="C22" location="'Status Report'!A1" display="Review the RAG and add your comment (PM RAG overrides a calculated one).  Go to Status Report."/>
    <hyperlink ref="C23" location="'History'!A1" display="On History, copy the SnapshotNow row and Paste Special &gt; Values under the last row.  Go to Histor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New Project  -  Dashboard</v>
      </c>
    </row>
    <row r="2" customFormat="false" ht="15" hidden="false" customHeight="false" outlineLevel="0" collapsed="false">
      <c r="A2" s="2" t="str">
        <f aca="false">"Project manager: "&amp;ProjectManager&amp;"     Status date: "&amp;TEXT(StatusDate,"ddd dd-mmm-yyyy")</f>
        <v>Project manager:      Status date: Sun 31-Dec-1899</v>
      </c>
    </row>
    <row r="4" customFormat="false" ht="15" hidden="false" customHeight="false" outlineLevel="0" collapsed="false">
      <c r="B4" s="15" t="s">
        <v>118</v>
      </c>
      <c r="C4" s="15" t="s">
        <v>119</v>
      </c>
      <c r="E4" s="15" t="s">
        <v>28</v>
      </c>
      <c r="F4" s="15" t="s">
        <v>120</v>
      </c>
    </row>
    <row r="5" customFormat="false" ht="15" hidden="false" customHeight="false" outlineLevel="0" collapsed="false">
      <c r="B5" s="16" t="s">
        <v>121</v>
      </c>
      <c r="C5" s="17" t="n">
        <f aca="false">MIN(tsk_PlanStart)</f>
        <v>0</v>
      </c>
      <c r="E5" s="18" t="s">
        <v>122</v>
      </c>
      <c r="F5" s="16" t="n">
        <f aca="false">COUNTIFS(tsk_Status,StatusSummary[[#This Row],[Status]],tsk_IsLeaf,1)</f>
        <v>0</v>
      </c>
    </row>
    <row r="6" customFormat="false" ht="15" hidden="false" customHeight="false" outlineLevel="0" collapsed="false">
      <c r="B6" s="16" t="s">
        <v>123</v>
      </c>
      <c r="C6" s="17" t="n">
        <f aca="false">MAX(tsk_PlanFinish)</f>
        <v>0</v>
      </c>
      <c r="E6" s="19" t="s">
        <v>124</v>
      </c>
      <c r="F6" s="16" t="n">
        <f aca="false">COUNTIFS(tsk_Status,StatusSummary[[#This Row],[Status]],tsk_IsLeaf,1)</f>
        <v>0</v>
      </c>
    </row>
    <row r="7" customFormat="false" ht="15" hidden="false" customHeight="false" outlineLevel="0" collapsed="false">
      <c r="B7" s="16" t="s">
        <v>125</v>
      </c>
      <c r="C7" s="17" t="n">
        <f aca="false">MAX(tsk_FcFinish)</f>
        <v>0</v>
      </c>
      <c r="E7" s="20" t="s">
        <v>126</v>
      </c>
      <c r="F7" s="16" t="n">
        <f aca="false">COUNTIFS(tsk_Status,StatusSummary[[#This Row],[Status]],tsk_IsLeaf,1)</f>
        <v>0</v>
      </c>
    </row>
    <row r="8" customFormat="false" ht="15" hidden="false" customHeight="false" outlineLevel="0" collapsed="false">
      <c r="B8" s="16" t="s">
        <v>127</v>
      </c>
      <c r="C8" s="21" t="n">
        <f aca="false">FinishVarianceDays</f>
        <v>-1</v>
      </c>
      <c r="E8" s="22" t="s">
        <v>128</v>
      </c>
      <c r="F8" s="16" t="n">
        <f aca="false">COUNTIFS(tsk_Status,StatusSummary[[#This Row],[Status]],tsk_IsLeaf,1)</f>
        <v>0</v>
      </c>
    </row>
    <row r="9" customFormat="false" ht="15" hidden="false" customHeight="false" outlineLevel="0" collapsed="false">
      <c r="B9" s="16" t="s">
        <v>129</v>
      </c>
      <c r="C9" s="23" t="n">
        <f aca="false">IFERROR(SUM(tsk_WtDone)/SUM(tsk_WtDur),0)</f>
        <v>0</v>
      </c>
      <c r="E9" s="24" t="s">
        <v>130</v>
      </c>
      <c r="F9" s="16" t="n">
        <f aca="false">COUNTIFS(tsk_Status,StatusSummary[[#This Row],[Status]],tsk_IsLeaf,1)</f>
        <v>0</v>
      </c>
    </row>
    <row r="10" customFormat="false" ht="15" hidden="false" customHeight="false" outlineLevel="0" collapsed="false">
      <c r="B10" s="16" t="s">
        <v>131</v>
      </c>
      <c r="C10" s="23" t="n">
        <f aca="false">IFERROR(SUMPRODUCT(tsk_WtDur,tsk_PlannedPct)/SUM(tsk_WtDur),0)</f>
        <v>0</v>
      </c>
    </row>
    <row r="11" customFormat="false" ht="15" hidden="false" customHeight="false" outlineLevel="0" collapsed="false">
      <c r="B11" s="16" t="s">
        <v>132</v>
      </c>
      <c r="C11" s="25" t="n">
        <f aca="false">SUM(tsk_IsLeaf)</f>
        <v>0</v>
      </c>
    </row>
    <row r="12" customFormat="false" ht="15" hidden="false" customHeight="false" outlineLevel="0" collapsed="false">
      <c r="B12" s="16" t="s">
        <v>133</v>
      </c>
      <c r="C12" s="25" t="n">
        <f aca="false">SUMPRODUCT(tsk_IsLeaf*(tsk_Duration=0)*(tsk_Name&lt;&gt;""))</f>
        <v>0</v>
      </c>
    </row>
    <row r="13" customFormat="false" ht="15" hidden="false" customHeight="false" outlineLevel="0" collapsed="false">
      <c r="B13" s="16" t="s">
        <v>134</v>
      </c>
      <c r="C13" s="26" t="n">
        <f aca="false">SUMPRODUCT(tsk_Work,tsk_IsLeaf)</f>
        <v>0</v>
      </c>
    </row>
    <row r="14" customFormat="false" ht="15" hidden="false" customHeight="false" outlineLevel="0" collapsed="false">
      <c r="B14" s="16" t="s">
        <v>135</v>
      </c>
      <c r="C14" s="27" t="n">
        <f aca="false">SUMPRODUCT(tsk_Cost,tsk_IsLeaf)</f>
        <v>0</v>
      </c>
    </row>
    <row r="15" customFormat="false" ht="15" hidden="false" customHeight="false" outlineLevel="0" collapsed="false">
      <c r="B15" s="16" t="s">
        <v>136</v>
      </c>
      <c r="C15" s="28" t="str">
        <f aca="false">IF(CurrentSprint="","(outside sprint range)",CurrentSprint)</f>
        <v>Sprint 1</v>
      </c>
    </row>
    <row r="16" customFormat="false" ht="15" hidden="false" customHeight="false" outlineLevel="0" collapsed="false">
      <c r="B16" s="16" t="s">
        <v>137</v>
      </c>
      <c r="C16" s="28" t="str">
        <f aca="false">IF(COUNT(tsk_BaseStart)=0,"Not set (planned = calculated)","Set on "&amp;COUNT(tsk_BaseStart)&amp;" tasks")</f>
        <v>Not set (planned = calculated)</v>
      </c>
    </row>
    <row r="17" customFormat="false" ht="15" hidden="false" customHeight="false" outlineLevel="0" collapsed="false">
      <c r="B17" s="16" t="s">
        <v>138</v>
      </c>
      <c r="C17" s="25" t="n">
        <f aca="false">COUNTIFS(tsk_Critical,"Yes",tsk_IsLeaf,1)</f>
        <v>0</v>
      </c>
    </row>
    <row r="18" customFormat="false" ht="15" hidden="false" customHeight="false" outlineLevel="0" collapsed="false">
      <c r="B18" s="16" t="s">
        <v>139</v>
      </c>
      <c r="C18" s="25" t="n">
        <f aca="false">COUNTIF(tsk_DeadlineCheck,"Late*")</f>
        <v>0</v>
      </c>
    </row>
    <row r="19" customFormat="false" ht="15" hidden="false" customHeight="false" outlineLevel="0" collapsed="false">
      <c r="B19" s="16" t="s">
        <v>140</v>
      </c>
      <c r="C19" s="25" t="n">
        <f aca="false">COUNTIF(tsk_Issues,"?*")</f>
        <v>0</v>
      </c>
    </row>
    <row r="20" customFormat="false" ht="15" hidden="false" customHeight="false" outlineLevel="0" collapsed="false">
      <c r="B20" s="16" t="s">
        <v>141</v>
      </c>
      <c r="C20" s="28" t="str">
        <f aca="false">ProjectRAG</f>
        <v>Green</v>
      </c>
    </row>
    <row r="21" customFormat="false" ht="15" hidden="false" customHeight="false" outlineLevel="0" collapsed="false">
      <c r="B21" s="16" t="s">
        <v>142</v>
      </c>
      <c r="C21" s="29" t="str">
        <f aca="false">IF(evm_SPI="","-",evm_SPI)</f>
        <v>-</v>
      </c>
    </row>
    <row r="22" customFormat="false" ht="15" hidden="false" customHeight="false" outlineLevel="0" collapsed="false">
      <c r="B22" s="16" t="s">
        <v>143</v>
      </c>
      <c r="C22" s="29" t="str">
        <f aca="false">IF(evm_CPI="","-",evm_CPI)</f>
        <v>-</v>
      </c>
    </row>
    <row r="23" customFormat="false" ht="15" hidden="false" customHeight="false" outlineLevel="0" collapsed="false">
      <c r="B23" s="16" t="s">
        <v>144</v>
      </c>
      <c r="C23" s="27" t="n">
        <f aca="false">evm_EAC</f>
        <v>0</v>
      </c>
    </row>
    <row r="24" customFormat="false" ht="15" hidden="false" customHeight="false" outlineLevel="0" collapsed="false">
      <c r="B24" s="16" t="s">
        <v>145</v>
      </c>
      <c r="C24" s="28" t="str">
        <f aca="false">IF(TotalPoints=0,"-",agl_Done&amp;" / "&amp;TotalPoints)</f>
        <v>-</v>
      </c>
    </row>
    <row r="25" customFormat="false" ht="15" hidden="false" customHeight="false" outlineLevel="0" collapsed="false">
      <c r="B25" s="16" t="s">
        <v>146</v>
      </c>
      <c r="C25" s="28" t="str">
        <f aca="false">COUNTIFS(raid_Type,"Risk",raid_Status,"&lt;&gt;Closed")&amp;" / "&amp;COUNTIFS(raid_Type,"Issue",raid_Status,"&lt;&gt;Closed")</f>
        <v>0 / 0</v>
      </c>
    </row>
    <row r="26" customFormat="false" ht="15" hidden="false" customHeight="false" outlineLevel="0" collapsed="false">
      <c r="B26" s="16" t="s">
        <v>147</v>
      </c>
      <c r="C26" s="25" t="n">
        <f aca="false">COUNTIF(tsk_OverAllocated,"Yes")</f>
        <v>0</v>
      </c>
    </row>
    <row r="27" customFormat="false" ht="15" hidden="false" customHeight="false" outlineLevel="0" collapsed="false">
      <c r="B27" s="16" t="s">
        <v>148</v>
      </c>
      <c r="C27" s="25" t="n">
        <f aca="false">COUNTIF(chg_Status,"Submitted")+COUNTIF(chg_Status,"Under Review")</f>
        <v>0</v>
      </c>
    </row>
    <row r="30" customFormat="false" ht="15" hidden="false" customHeight="false" outlineLevel="0" collapsed="false">
      <c r="B30" s="15" t="s">
        <v>149</v>
      </c>
      <c r="C30" s="15" t="s">
        <v>150</v>
      </c>
    </row>
    <row r="31" customFormat="false" ht="15" hidden="false" customHeight="false" outlineLevel="0" collapsed="false">
      <c r="B31" s="30" t="str">
        <f aca="false">IFERROR(INDEX(tsk_Name,MATCH(SMALL(tsk_MilestoneKey,(ROW()-ROW(NextMilestones[[#Headers],[Next milestones (forecast)]]))),tsk_MilestoneKey,0)),"")</f>
        <v/>
      </c>
      <c r="C31" s="31" t="str">
        <f aca="false">IFERROR(INDEX(tsk_FcFinish,MATCH(SMALL(tsk_MilestoneKey,(ROW()-ROW(NextMilestones[[#Headers],[Next milestones (forecast)]]))),tsk_MilestoneKey,0)),"")</f>
        <v/>
      </c>
    </row>
    <row r="32" customFormat="false" ht="15" hidden="false" customHeight="false" outlineLevel="0" collapsed="false">
      <c r="B32" s="30" t="str">
        <f aca="false">IFERROR(INDEX(tsk_Name,MATCH(SMALL(tsk_MilestoneKey,(ROW()-ROW(NextMilestones[[#Headers],[Next milestones (forecast)]]))),tsk_MilestoneKey,0)),"")</f>
        <v/>
      </c>
      <c r="C32" s="31" t="str">
        <f aca="false">IFERROR(INDEX(tsk_FcFinish,MATCH(SMALL(tsk_MilestoneKey,(ROW()-ROW(NextMilestones[[#Headers],[Next milestones (forecast)]]))),tsk_MilestoneKey,0)),"")</f>
        <v/>
      </c>
    </row>
    <row r="33" customFormat="false" ht="15" hidden="false" customHeight="false" outlineLevel="0" collapsed="false">
      <c r="B33" s="30" t="str">
        <f aca="false">IFERROR(INDEX(tsk_Name,MATCH(SMALL(tsk_MilestoneKey,(ROW()-ROW(NextMilestones[[#Headers],[Next milestones (forecast)]]))),tsk_MilestoneKey,0)),"")</f>
        <v/>
      </c>
      <c r="C33" s="31" t="str">
        <f aca="false">IFERROR(INDEX(tsk_FcFinish,MATCH(SMALL(tsk_MilestoneKey,(ROW()-ROW(NextMilestones[[#Headers],[Next milestones (forecast)]]))),tsk_MilestoneKey,0)),"")</f>
        <v/>
      </c>
    </row>
    <row r="34" customFormat="false" ht="15" hidden="false" customHeight="false" outlineLevel="0" collapsed="false">
      <c r="B34" s="30" t="str">
        <f aca="false">IFERROR(INDEX(tsk_Name,MATCH(SMALL(tsk_MilestoneKey,(ROW()-ROW(NextMilestones[[#Headers],[Next milestones (forecast)]]))),tsk_MilestoneKey,0)),"")</f>
        <v/>
      </c>
      <c r="C34" s="31" t="str">
        <f aca="false">IFERROR(INDEX(tsk_FcFinish,MATCH(SMALL(tsk_MilestoneKey,(ROW()-ROW(NextMilestones[[#Headers],[Next milestones (forecast)]]))),tsk_MilestoneKey,0)),"")</f>
        <v/>
      </c>
    </row>
    <row r="35" customFormat="false" ht="15" hidden="false" customHeight="false" outlineLevel="0" collapsed="false">
      <c r="B35" s="30" t="str">
        <f aca="false">IFERROR(INDEX(tsk_Name,MATCH(SMALL(tsk_MilestoneKey,(ROW()-ROW(NextMilestones[[#Headers],[Next milestones (forecast)]]))),tsk_MilestoneKey,0)),"")</f>
        <v/>
      </c>
      <c r="C35" s="31" t="str">
        <f aca="false">IFERROR(INDEX(tsk_FcFinish,MATCH(SMALL(tsk_MilestoneKey,(ROW()-ROW(NextMilestones[[#Headers],[Next milestones (forecast)]]))),tsk_MilestoneKey,0)),"")</f>
        <v/>
      </c>
    </row>
  </sheetData>
  <conditionalFormatting sqref="C8">
    <cfRule type="expression" priority="2" aboveAverage="0" equalAverage="0" bottom="0" percent="0" rank="0" text="" dxfId="12">
      <formula>C8&gt;0</formula>
    </cfRule>
    <cfRule type="expression" priority="3" aboveAverage="0" equalAverage="0" bottom="0" percent="0" rank="0" text="" dxfId="13">
      <formula>C8&lt;=0</formula>
    </cfRule>
  </conditionalFormatting>
  <conditionalFormatting sqref="C18">
    <cfRule type="expression" priority="4" aboveAverage="0" equalAverage="0" bottom="0" percent="0" rank="0" text="" dxfId="12">
      <formula>C18&gt;0</formula>
    </cfRule>
    <cfRule type="expression" priority="5" aboveAverage="0" equalAverage="0" bottom="0" percent="0" rank="0" text="" dxfId="13">
      <formula>C18&lt;=0</formula>
    </cfRule>
  </conditionalFormatting>
  <conditionalFormatting sqref="C19">
    <cfRule type="expression" priority="6" aboveAverage="0" equalAverage="0" bottom="0" percent="0" rank="0" text="" dxfId="12">
      <formula>C19&gt;0</formula>
    </cfRule>
    <cfRule type="expression" priority="7" aboveAverage="0" equalAverage="0" bottom="0" percent="0" rank="0" text="" dxfId="13">
      <formula>C19&lt;=0</formula>
    </cfRule>
  </conditionalFormatting>
  <conditionalFormatting sqref="C20">
    <cfRule type="expression" priority="8" aboveAverage="0" equalAverage="0" bottom="0" percent="0" rank="0" text="" dxfId="14">
      <formula>C20="Green"</formula>
    </cfRule>
    <cfRule type="expression" priority="9" aboveAverage="0" equalAverage="0" bottom="0" percent="0" rank="0" text="" dxfId="15">
      <formula>C20="Amber"</formula>
    </cfRule>
    <cfRule type="expression" priority="10" aboveAverage="0" equalAverage="0" bottom="0" percent="0" rank="0" text="" dxfId="16">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C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8" min="5" style="0" width="10"/>
    <col collapsed="false" customWidth="true" hidden="false" outlineLevel="0" max="9" min="9" style="0" width="9"/>
    <col collapsed="false" customWidth="true" hidden="false" outlineLevel="0" max="10" min="10" style="0" width="8"/>
    <col collapsed="false" customWidth="true" hidden="false" outlineLevel="0" max="11" min="11" style="0" width="1"/>
    <col collapsed="false" customWidth="true" hidden="false" outlineLevel="0" max="29" min="12" style="0" width="4.6"/>
  </cols>
  <sheetData>
    <row r="1" customFormat="false" ht="19.7" hidden="false" customHeight="false" outlineLevel="0" collapsed="false">
      <c r="A1" s="32" t="str">
        <f aca="false">ProjectName&amp;"  -  Roadmap"</f>
        <v>New Project  -  Roadmap</v>
      </c>
    </row>
    <row r="2" customFormat="false" ht="15" hidden="false" customHeight="false" outlineLevel="0" collapsed="false">
      <c r="A2" s="33" t="str">
        <f aca="false">"Status date "&amp;TEXT(StatusDate,"dd-mmm-yyyy")&amp;"   Forecast finish "&amp;TEXT(ProjectFinish,"dd-mmm-yyyy")&amp;" ("&amp;TEXT(FinishVarianceDays,"+0;-0;0")&amp;" working days vs plan)"</f>
        <v>Status date 31-Dec-1899   Forecast finish 30-Dec-1899 (-1 working days vs plan)</v>
      </c>
    </row>
    <row r="4" customFormat="false" ht="15" hidden="false" customHeight="false" outlineLevel="0" collapsed="false">
      <c r="L4" s="34" t="str">
        <f aca="false">IF(OR(COLUMN()-COLUMN(rm_Origin)=1,MONTH(EDATE(RoadmapStart,COLUMN()-COLUMN(rm_Origin)-1))=1),TEXT(EDATE(RoadmapStart,COLUMN()-COLUMN(rm_Origin)-1),"yyyy"),"")</f>
        <v>1899</v>
      </c>
      <c r="M4" s="34" t="str">
        <f aca="false">IF(OR(COLUMN()-COLUMN(rm_Origin)=1,MONTH(EDATE(RoadmapStart,COLUMN()-COLUMN(rm_Origin)-1))=1),TEXT(EDATE(RoadmapStart,COLUMN()-COLUMN(rm_Origin)-1),"yyyy"),"")</f>
        <v>1900</v>
      </c>
      <c r="N4" s="34" t="str">
        <f aca="false">IF(OR(COLUMN()-COLUMN(rm_Origin)=1,MONTH(EDATE(RoadmapStart,COLUMN()-COLUMN(rm_Origin)-1))=1),TEXT(EDATE(RoadmapStart,COLUMN()-COLUMN(rm_Origin)-1),"yyyy"),"")</f>
        <v/>
      </c>
      <c r="O4" s="34" t="str">
        <f aca="false">IF(OR(COLUMN()-COLUMN(rm_Origin)=1,MONTH(EDATE(RoadmapStart,COLUMN()-COLUMN(rm_Origin)-1))=1),TEXT(EDATE(RoadmapStart,COLUMN()-COLUMN(rm_Origin)-1),"yyyy"),"")</f>
        <v/>
      </c>
      <c r="P4" s="34" t="str">
        <f aca="false">IF(OR(COLUMN()-COLUMN(rm_Origin)=1,MONTH(EDATE(RoadmapStart,COLUMN()-COLUMN(rm_Origin)-1))=1),TEXT(EDATE(RoadmapStart,COLUMN()-COLUMN(rm_Origin)-1),"yyyy"),"")</f>
        <v/>
      </c>
      <c r="Q4" s="34" t="str">
        <f aca="false">IF(OR(COLUMN()-COLUMN(rm_Origin)=1,MONTH(EDATE(RoadmapStart,COLUMN()-COLUMN(rm_Origin)-1))=1),TEXT(EDATE(RoadmapStart,COLUMN()-COLUMN(rm_Origin)-1),"yyyy"),"")</f>
        <v/>
      </c>
      <c r="R4" s="34" t="str">
        <f aca="false">IF(OR(COLUMN()-COLUMN(rm_Origin)=1,MONTH(EDATE(RoadmapStart,COLUMN()-COLUMN(rm_Origin)-1))=1),TEXT(EDATE(RoadmapStart,COLUMN()-COLUMN(rm_Origin)-1),"yyyy"),"")</f>
        <v/>
      </c>
      <c r="S4" s="34" t="str">
        <f aca="false">IF(OR(COLUMN()-COLUMN(rm_Origin)=1,MONTH(EDATE(RoadmapStart,COLUMN()-COLUMN(rm_Origin)-1))=1),TEXT(EDATE(RoadmapStart,COLUMN()-COLUMN(rm_Origin)-1),"yyyy"),"")</f>
        <v/>
      </c>
      <c r="T4" s="34" t="str">
        <f aca="false">IF(OR(COLUMN()-COLUMN(rm_Origin)=1,MONTH(EDATE(RoadmapStart,COLUMN()-COLUMN(rm_Origin)-1))=1),TEXT(EDATE(RoadmapStart,COLUMN()-COLUMN(rm_Origin)-1),"yyyy"),"")</f>
        <v/>
      </c>
      <c r="U4" s="34" t="str">
        <f aca="false">IF(OR(COLUMN()-COLUMN(rm_Origin)=1,MONTH(EDATE(RoadmapStart,COLUMN()-COLUMN(rm_Origin)-1))=1),TEXT(EDATE(RoadmapStart,COLUMN()-COLUMN(rm_Origin)-1),"yyyy"),"")</f>
        <v/>
      </c>
      <c r="V4" s="34" t="str">
        <f aca="false">IF(OR(COLUMN()-COLUMN(rm_Origin)=1,MONTH(EDATE(RoadmapStart,COLUMN()-COLUMN(rm_Origin)-1))=1),TEXT(EDATE(RoadmapStart,COLUMN()-COLUMN(rm_Origin)-1),"yyyy"),"")</f>
        <v/>
      </c>
      <c r="W4" s="34" t="str">
        <f aca="false">IF(OR(COLUMN()-COLUMN(rm_Origin)=1,MONTH(EDATE(RoadmapStart,COLUMN()-COLUMN(rm_Origin)-1))=1),TEXT(EDATE(RoadmapStart,COLUMN()-COLUMN(rm_Origin)-1),"yyyy"),"")</f>
        <v/>
      </c>
      <c r="X4" s="34" t="str">
        <f aca="false">IF(OR(COLUMN()-COLUMN(rm_Origin)=1,MONTH(EDATE(RoadmapStart,COLUMN()-COLUMN(rm_Origin)-1))=1),TEXT(EDATE(RoadmapStart,COLUMN()-COLUMN(rm_Origin)-1),"yyyy"),"")</f>
        <v/>
      </c>
      <c r="Y4" s="34" t="str">
        <f aca="false">IF(OR(COLUMN()-COLUMN(rm_Origin)=1,MONTH(EDATE(RoadmapStart,COLUMN()-COLUMN(rm_Origin)-1))=1),TEXT(EDATE(RoadmapStart,COLUMN()-COLUMN(rm_Origin)-1),"yyyy"),"")</f>
        <v>1901</v>
      </c>
      <c r="Z4" s="34" t="str">
        <f aca="false">IF(OR(COLUMN()-COLUMN(rm_Origin)=1,MONTH(EDATE(RoadmapStart,COLUMN()-COLUMN(rm_Origin)-1))=1),TEXT(EDATE(RoadmapStart,COLUMN()-COLUMN(rm_Origin)-1),"yyyy"),"")</f>
        <v/>
      </c>
      <c r="AA4" s="34" t="str">
        <f aca="false">IF(OR(COLUMN()-COLUMN(rm_Origin)=1,MONTH(EDATE(RoadmapStart,COLUMN()-COLUMN(rm_Origin)-1))=1),TEXT(EDATE(RoadmapStart,COLUMN()-COLUMN(rm_Origin)-1),"yyyy"),"")</f>
        <v/>
      </c>
      <c r="AB4" s="34" t="str">
        <f aca="false">IF(OR(COLUMN()-COLUMN(rm_Origin)=1,MONTH(EDATE(RoadmapStart,COLUMN()-COLUMN(rm_Origin)-1))=1),TEXT(EDATE(RoadmapStart,COLUMN()-COLUMN(rm_Origin)-1),"yyyy"),"")</f>
        <v/>
      </c>
      <c r="AC4" s="34" t="str">
        <f aca="false">IF(OR(COLUMN()-COLUMN(rm_Origin)=1,MONTH(EDATE(RoadmapStart,COLUMN()-COLUMN(rm_Origin)-1))=1),TEXT(EDATE(RoadmapStart,COLUMN()-COLUMN(rm_Origin)-1),"yyyy"),"")</f>
        <v/>
      </c>
    </row>
    <row r="5" customFormat="false" ht="15" hidden="false" customHeight="false" outlineLevel="0" collapsed="false">
      <c r="L5" s="35" t="n">
        <f aca="false">EDATE(RoadmapStart,COLUMN()-COLUMN(rm_Origin)-1)</f>
        <v>-29</v>
      </c>
      <c r="M5" s="35" t="n">
        <f aca="false">EDATE(RoadmapStart,COLUMN()-COLUMN(rm_Origin)-1)</f>
        <v>2</v>
      </c>
      <c r="N5" s="35" t="n">
        <f aca="false">EDATE(RoadmapStart,COLUMN()-COLUMN(rm_Origin)-1)</f>
        <v>33</v>
      </c>
      <c r="O5" s="35" t="n">
        <f aca="false">EDATE(RoadmapStart,COLUMN()-COLUMN(rm_Origin)-1)</f>
        <v>61</v>
      </c>
      <c r="P5" s="35" t="n">
        <f aca="false">EDATE(RoadmapStart,COLUMN()-COLUMN(rm_Origin)-1)</f>
        <v>92</v>
      </c>
      <c r="Q5" s="35" t="n">
        <f aca="false">EDATE(RoadmapStart,COLUMN()-COLUMN(rm_Origin)-1)</f>
        <v>122</v>
      </c>
      <c r="R5" s="35" t="n">
        <f aca="false">EDATE(RoadmapStart,COLUMN()-COLUMN(rm_Origin)-1)</f>
        <v>153</v>
      </c>
      <c r="S5" s="35" t="n">
        <f aca="false">EDATE(RoadmapStart,COLUMN()-COLUMN(rm_Origin)-1)</f>
        <v>183</v>
      </c>
      <c r="T5" s="35" t="n">
        <f aca="false">EDATE(RoadmapStart,COLUMN()-COLUMN(rm_Origin)-1)</f>
        <v>214</v>
      </c>
      <c r="U5" s="35" t="n">
        <f aca="false">EDATE(RoadmapStart,COLUMN()-COLUMN(rm_Origin)-1)</f>
        <v>245</v>
      </c>
      <c r="V5" s="35" t="n">
        <f aca="false">EDATE(RoadmapStart,COLUMN()-COLUMN(rm_Origin)-1)</f>
        <v>275</v>
      </c>
      <c r="W5" s="35" t="n">
        <f aca="false">EDATE(RoadmapStart,COLUMN()-COLUMN(rm_Origin)-1)</f>
        <v>306</v>
      </c>
      <c r="X5" s="35" t="n">
        <f aca="false">EDATE(RoadmapStart,COLUMN()-COLUMN(rm_Origin)-1)</f>
        <v>336</v>
      </c>
      <c r="Y5" s="35" t="n">
        <f aca="false">EDATE(RoadmapStart,COLUMN()-COLUMN(rm_Origin)-1)</f>
        <v>367</v>
      </c>
      <c r="Z5" s="35" t="n">
        <f aca="false">EDATE(RoadmapStart,COLUMN()-COLUMN(rm_Origin)-1)</f>
        <v>398</v>
      </c>
      <c r="AA5" s="35" t="n">
        <f aca="false">EDATE(RoadmapStart,COLUMN()-COLUMN(rm_Origin)-1)</f>
        <v>426</v>
      </c>
      <c r="AB5" s="35" t="n">
        <f aca="false">EDATE(RoadmapStart,COLUMN()-COLUMN(rm_Origin)-1)</f>
        <v>457</v>
      </c>
      <c r="AC5" s="35" t="n">
        <f aca="false">EDATE(RoadmapStart,COLUMN()-COLUMN(rm_Origin)-1)</f>
        <v>487</v>
      </c>
    </row>
    <row r="6" customFormat="false" ht="15" hidden="false" customHeight="false" outlineLevel="0" collapsed="false">
      <c r="C6" s="36" t="str">
        <f aca="false">"Phases"&amp;": "&amp;COUNT(tsk_PhaseKey)&amp;IF(COUNT(tsk_PhaseKey)&gt;ROWS(RoadmapPhases[_Task])," (showing the first "&amp;ROWS(RoadmapPhases[_Task])&amp;")","")</f>
        <v>Phases: 0</v>
      </c>
    </row>
    <row r="7" customFormat="false" ht="23.85" hidden="false" customHeight="false" outlineLevel="0" collapsed="false">
      <c r="B7" s="37" t="s">
        <v>151</v>
      </c>
      <c r="C7" s="15" t="s">
        <v>152</v>
      </c>
      <c r="D7" s="15" t="s">
        <v>153</v>
      </c>
      <c r="E7" s="15" t="s">
        <v>154</v>
      </c>
      <c r="F7" s="15" t="s">
        <v>155</v>
      </c>
      <c r="G7" s="15" t="s">
        <v>156</v>
      </c>
      <c r="H7" s="15" t="s">
        <v>157</v>
      </c>
      <c r="I7" s="15" t="s">
        <v>24</v>
      </c>
      <c r="J7" s="15" t="s">
        <v>158</v>
      </c>
    </row>
    <row r="8" customFormat="false" ht="15" hidden="false" customHeight="false" outlineLevel="0" collapsed="false">
      <c r="B8" s="38" t="str">
        <f aca="false">IFERROR(MATCH(SMALL(tsk_PhaseKey,ROW()-ROW(RoadmapPhases[[#Headers],[_Task]])),tsk_PhaseKey,0),"")</f>
        <v/>
      </c>
      <c r="C8" s="30" t="str">
        <f aca="false">IF(RoadmapPhases[[#This Row],[_Task]]="","",INDEX(tsk_WBS,RoadmapPhases[[#This Row],[_Task]])&amp;"")</f>
        <v/>
      </c>
      <c r="D8" s="30" t="str">
        <f aca="false">IF(RoadmapPhases[[#This Row],[_Task]]="","",INDEX(tsk_Name,RoadmapPhases[[#This Row],[_Task]])&amp;"")</f>
        <v/>
      </c>
      <c r="E8" s="39" t="str">
        <f aca="false">IF(RoadmapPhases[[#This Row],[_Task]]="","",IF(N(INDEX(tsk_PlanStart,RoadmapPhases[[#This Row],[_Task]]))=0,"",INDEX(tsk_PlanStart,RoadmapPhases[[#This Row],[_Task]])))</f>
        <v/>
      </c>
      <c r="F8" s="39" t="str">
        <f aca="false">IF(RoadmapPhases[[#This Row],[_Task]]="","",IF(N(INDEX(tsk_PlanFinish,RoadmapPhases[[#This Row],[_Task]]))=0,"",INDEX(tsk_PlanFinish,RoadmapPhases[[#This Row],[_Task]])))</f>
        <v/>
      </c>
      <c r="G8" s="39" t="str">
        <f aca="false">IF(RoadmapPhases[[#This Row],[_Task]]="","",IF(N(INDEX(tsk_FcStart,RoadmapPhases[[#This Row],[_Task]]))=0,"",INDEX(tsk_FcStart,RoadmapPhases[[#This Row],[_Task]])))</f>
        <v/>
      </c>
      <c r="H8" s="39" t="str">
        <f aca="false">IF(RoadmapPhases[[#This Row],[_Task]]="","",IF(N(INDEX(tsk_FcFinish,RoadmapPhases[[#This Row],[_Task]]))=0,"",INDEX(tsk_FcFinish,RoadmapPhases[[#This Row],[_Task]])))</f>
        <v/>
      </c>
      <c r="I8" s="40" t="str">
        <f aca="false">IF(RoadmapPhases[[#This Row],[_Task]]="","",INDEX(tsk_Progress,RoadmapPhases[[#This Row],[_Task]]))</f>
        <v/>
      </c>
      <c r="J8" s="41" t="str">
        <f aca="false">IF(RoadmapPhases[[#This Row],[_Task]]="","",INDEX(tsk_Variance,RoadmapPhases[[#This Row],[_Task]]))</f>
        <v/>
      </c>
    </row>
    <row r="9" customFormat="false" ht="15" hidden="false" customHeight="false" outlineLevel="0" collapsed="false">
      <c r="B9" s="38" t="str">
        <f aca="false">IFERROR(MATCH(SMALL(tsk_PhaseKey,ROW()-ROW(RoadmapPhases[[#Headers],[_Task]])),tsk_PhaseKey,0),"")</f>
        <v/>
      </c>
      <c r="C9" s="30" t="str">
        <f aca="false">IF(RoadmapPhases[[#This Row],[_Task]]="","",INDEX(tsk_WBS,RoadmapPhases[[#This Row],[_Task]])&amp;"")</f>
        <v/>
      </c>
      <c r="D9" s="30" t="str">
        <f aca="false">IF(RoadmapPhases[[#This Row],[_Task]]="","",INDEX(tsk_Name,RoadmapPhases[[#This Row],[_Task]])&amp;"")</f>
        <v/>
      </c>
      <c r="E9" s="39" t="str">
        <f aca="false">IF(RoadmapPhases[[#This Row],[_Task]]="","",IF(N(INDEX(tsk_PlanStart,RoadmapPhases[[#This Row],[_Task]]))=0,"",INDEX(tsk_PlanStart,RoadmapPhases[[#This Row],[_Task]])))</f>
        <v/>
      </c>
      <c r="F9" s="39" t="str">
        <f aca="false">IF(RoadmapPhases[[#This Row],[_Task]]="","",IF(N(INDEX(tsk_PlanFinish,RoadmapPhases[[#This Row],[_Task]]))=0,"",INDEX(tsk_PlanFinish,RoadmapPhases[[#This Row],[_Task]])))</f>
        <v/>
      </c>
      <c r="G9" s="39" t="str">
        <f aca="false">IF(RoadmapPhases[[#This Row],[_Task]]="","",IF(N(INDEX(tsk_FcStart,RoadmapPhases[[#This Row],[_Task]]))=0,"",INDEX(tsk_FcStart,RoadmapPhases[[#This Row],[_Task]])))</f>
        <v/>
      </c>
      <c r="H9" s="39" t="str">
        <f aca="false">IF(RoadmapPhases[[#This Row],[_Task]]="","",IF(N(INDEX(tsk_FcFinish,RoadmapPhases[[#This Row],[_Task]]))=0,"",INDEX(tsk_FcFinish,RoadmapPhases[[#This Row],[_Task]])))</f>
        <v/>
      </c>
      <c r="I9" s="40" t="str">
        <f aca="false">IF(RoadmapPhases[[#This Row],[_Task]]="","",INDEX(tsk_Progress,RoadmapPhases[[#This Row],[_Task]]))</f>
        <v/>
      </c>
      <c r="J9" s="41" t="str">
        <f aca="false">IF(RoadmapPhases[[#This Row],[_Task]]="","",INDEX(tsk_Variance,RoadmapPhases[[#This Row],[_Task]]))</f>
        <v/>
      </c>
    </row>
    <row r="10" customFormat="false" ht="15" hidden="false" customHeight="false" outlineLevel="0" collapsed="false">
      <c r="B10" s="38" t="str">
        <f aca="false">IFERROR(MATCH(SMALL(tsk_PhaseKey,ROW()-ROW(RoadmapPhases[[#Headers],[_Task]])),tsk_PhaseKey,0),"")</f>
        <v/>
      </c>
      <c r="C10" s="30" t="str">
        <f aca="false">IF(RoadmapPhases[[#This Row],[_Task]]="","",INDEX(tsk_WBS,RoadmapPhases[[#This Row],[_Task]])&amp;"")</f>
        <v/>
      </c>
      <c r="D10" s="30" t="str">
        <f aca="false">IF(RoadmapPhases[[#This Row],[_Task]]="","",INDEX(tsk_Name,RoadmapPhases[[#This Row],[_Task]])&amp;"")</f>
        <v/>
      </c>
      <c r="E10" s="39" t="str">
        <f aca="false">IF(RoadmapPhases[[#This Row],[_Task]]="","",IF(N(INDEX(tsk_PlanStart,RoadmapPhases[[#This Row],[_Task]]))=0,"",INDEX(tsk_PlanStart,RoadmapPhases[[#This Row],[_Task]])))</f>
        <v/>
      </c>
      <c r="F10" s="39" t="str">
        <f aca="false">IF(RoadmapPhases[[#This Row],[_Task]]="","",IF(N(INDEX(tsk_PlanFinish,RoadmapPhases[[#This Row],[_Task]]))=0,"",INDEX(tsk_PlanFinish,RoadmapPhases[[#This Row],[_Task]])))</f>
        <v/>
      </c>
      <c r="G10" s="39" t="str">
        <f aca="false">IF(RoadmapPhases[[#This Row],[_Task]]="","",IF(N(INDEX(tsk_FcStart,RoadmapPhases[[#This Row],[_Task]]))=0,"",INDEX(tsk_FcStart,RoadmapPhases[[#This Row],[_Task]])))</f>
        <v/>
      </c>
      <c r="H10" s="39" t="str">
        <f aca="false">IF(RoadmapPhases[[#This Row],[_Task]]="","",IF(N(INDEX(tsk_FcFinish,RoadmapPhases[[#This Row],[_Task]]))=0,"",INDEX(tsk_FcFinish,RoadmapPhases[[#This Row],[_Task]])))</f>
        <v/>
      </c>
      <c r="I10" s="40" t="str">
        <f aca="false">IF(RoadmapPhases[[#This Row],[_Task]]="","",INDEX(tsk_Progress,RoadmapPhases[[#This Row],[_Task]]))</f>
        <v/>
      </c>
      <c r="J10" s="41" t="str">
        <f aca="false">IF(RoadmapPhases[[#This Row],[_Task]]="","",INDEX(tsk_Variance,RoadmapPhases[[#This Row],[_Task]]))</f>
        <v/>
      </c>
    </row>
    <row r="11" customFormat="false" ht="15" hidden="false" customHeight="false" outlineLevel="0" collapsed="false">
      <c r="B11" s="38" t="str">
        <f aca="false">IFERROR(MATCH(SMALL(tsk_PhaseKey,ROW()-ROW(RoadmapPhases[[#Headers],[_Task]])),tsk_PhaseKey,0),"")</f>
        <v/>
      </c>
      <c r="C11" s="30" t="str">
        <f aca="false">IF(RoadmapPhases[[#This Row],[_Task]]="","",INDEX(tsk_WBS,RoadmapPhases[[#This Row],[_Task]])&amp;"")</f>
        <v/>
      </c>
      <c r="D11" s="30" t="str">
        <f aca="false">IF(RoadmapPhases[[#This Row],[_Task]]="","",INDEX(tsk_Name,RoadmapPhases[[#This Row],[_Task]])&amp;"")</f>
        <v/>
      </c>
      <c r="E11" s="39" t="str">
        <f aca="false">IF(RoadmapPhases[[#This Row],[_Task]]="","",IF(N(INDEX(tsk_PlanStart,RoadmapPhases[[#This Row],[_Task]]))=0,"",INDEX(tsk_PlanStart,RoadmapPhases[[#This Row],[_Task]])))</f>
        <v/>
      </c>
      <c r="F11" s="39" t="str">
        <f aca="false">IF(RoadmapPhases[[#This Row],[_Task]]="","",IF(N(INDEX(tsk_PlanFinish,RoadmapPhases[[#This Row],[_Task]]))=0,"",INDEX(tsk_PlanFinish,RoadmapPhases[[#This Row],[_Task]])))</f>
        <v/>
      </c>
      <c r="G11" s="39" t="str">
        <f aca="false">IF(RoadmapPhases[[#This Row],[_Task]]="","",IF(N(INDEX(tsk_FcStart,RoadmapPhases[[#This Row],[_Task]]))=0,"",INDEX(tsk_FcStart,RoadmapPhases[[#This Row],[_Task]])))</f>
        <v/>
      </c>
      <c r="H11" s="39" t="str">
        <f aca="false">IF(RoadmapPhases[[#This Row],[_Task]]="","",IF(N(INDEX(tsk_FcFinish,RoadmapPhases[[#This Row],[_Task]]))=0,"",INDEX(tsk_FcFinish,RoadmapPhases[[#This Row],[_Task]])))</f>
        <v/>
      </c>
      <c r="I11" s="40" t="str">
        <f aca="false">IF(RoadmapPhases[[#This Row],[_Task]]="","",INDEX(tsk_Progress,RoadmapPhases[[#This Row],[_Task]]))</f>
        <v/>
      </c>
      <c r="J11" s="41" t="str">
        <f aca="false">IF(RoadmapPhases[[#This Row],[_Task]]="","",INDEX(tsk_Variance,RoadmapPhases[[#This Row],[_Task]]))</f>
        <v/>
      </c>
    </row>
    <row r="12" customFormat="false" ht="15" hidden="false" customHeight="false" outlineLevel="0" collapsed="false">
      <c r="B12" s="38" t="str">
        <f aca="false">IFERROR(MATCH(SMALL(tsk_PhaseKey,ROW()-ROW(RoadmapPhases[[#Headers],[_Task]])),tsk_PhaseKey,0),"")</f>
        <v/>
      </c>
      <c r="C12" s="30" t="str">
        <f aca="false">IF(RoadmapPhases[[#This Row],[_Task]]="","",INDEX(tsk_WBS,RoadmapPhases[[#This Row],[_Task]])&amp;"")</f>
        <v/>
      </c>
      <c r="D12" s="30" t="str">
        <f aca="false">IF(RoadmapPhases[[#This Row],[_Task]]="","",INDEX(tsk_Name,RoadmapPhases[[#This Row],[_Task]])&amp;"")</f>
        <v/>
      </c>
      <c r="E12" s="39" t="str">
        <f aca="false">IF(RoadmapPhases[[#This Row],[_Task]]="","",IF(N(INDEX(tsk_PlanStart,RoadmapPhases[[#This Row],[_Task]]))=0,"",INDEX(tsk_PlanStart,RoadmapPhases[[#This Row],[_Task]])))</f>
        <v/>
      </c>
      <c r="F12" s="39" t="str">
        <f aca="false">IF(RoadmapPhases[[#This Row],[_Task]]="","",IF(N(INDEX(tsk_PlanFinish,RoadmapPhases[[#This Row],[_Task]]))=0,"",INDEX(tsk_PlanFinish,RoadmapPhases[[#This Row],[_Task]])))</f>
        <v/>
      </c>
      <c r="G12" s="39" t="str">
        <f aca="false">IF(RoadmapPhases[[#This Row],[_Task]]="","",IF(N(INDEX(tsk_FcStart,RoadmapPhases[[#This Row],[_Task]]))=0,"",INDEX(tsk_FcStart,RoadmapPhases[[#This Row],[_Task]])))</f>
        <v/>
      </c>
      <c r="H12" s="39" t="str">
        <f aca="false">IF(RoadmapPhases[[#This Row],[_Task]]="","",IF(N(INDEX(tsk_FcFinish,RoadmapPhases[[#This Row],[_Task]]))=0,"",INDEX(tsk_FcFinish,RoadmapPhases[[#This Row],[_Task]])))</f>
        <v/>
      </c>
      <c r="I12" s="40" t="str">
        <f aca="false">IF(RoadmapPhases[[#This Row],[_Task]]="","",INDEX(tsk_Progress,RoadmapPhases[[#This Row],[_Task]]))</f>
        <v/>
      </c>
      <c r="J12" s="41" t="str">
        <f aca="false">IF(RoadmapPhases[[#This Row],[_Task]]="","",INDEX(tsk_Variance,RoadmapPhases[[#This Row],[_Task]]))</f>
        <v/>
      </c>
    </row>
    <row r="13" customFormat="false" ht="15" hidden="false" customHeight="false" outlineLevel="0" collapsed="false">
      <c r="B13" s="38" t="str">
        <f aca="false">IFERROR(MATCH(SMALL(tsk_PhaseKey,ROW()-ROW(RoadmapPhases[[#Headers],[_Task]])),tsk_PhaseKey,0),"")</f>
        <v/>
      </c>
      <c r="C13" s="30" t="str">
        <f aca="false">IF(RoadmapPhases[[#This Row],[_Task]]="","",INDEX(tsk_WBS,RoadmapPhases[[#This Row],[_Task]])&amp;"")</f>
        <v/>
      </c>
      <c r="D13" s="30" t="str">
        <f aca="false">IF(RoadmapPhases[[#This Row],[_Task]]="","",INDEX(tsk_Name,RoadmapPhases[[#This Row],[_Task]])&amp;"")</f>
        <v/>
      </c>
      <c r="E13" s="39" t="str">
        <f aca="false">IF(RoadmapPhases[[#This Row],[_Task]]="","",IF(N(INDEX(tsk_PlanStart,RoadmapPhases[[#This Row],[_Task]]))=0,"",INDEX(tsk_PlanStart,RoadmapPhases[[#This Row],[_Task]])))</f>
        <v/>
      </c>
      <c r="F13" s="39" t="str">
        <f aca="false">IF(RoadmapPhases[[#This Row],[_Task]]="","",IF(N(INDEX(tsk_PlanFinish,RoadmapPhases[[#This Row],[_Task]]))=0,"",INDEX(tsk_PlanFinish,RoadmapPhases[[#This Row],[_Task]])))</f>
        <v/>
      </c>
      <c r="G13" s="39" t="str">
        <f aca="false">IF(RoadmapPhases[[#This Row],[_Task]]="","",IF(N(INDEX(tsk_FcStart,RoadmapPhases[[#This Row],[_Task]]))=0,"",INDEX(tsk_FcStart,RoadmapPhases[[#This Row],[_Task]])))</f>
        <v/>
      </c>
      <c r="H13" s="39" t="str">
        <f aca="false">IF(RoadmapPhases[[#This Row],[_Task]]="","",IF(N(INDEX(tsk_FcFinish,RoadmapPhases[[#This Row],[_Task]]))=0,"",INDEX(tsk_FcFinish,RoadmapPhases[[#This Row],[_Task]])))</f>
        <v/>
      </c>
      <c r="I13" s="40" t="str">
        <f aca="false">IF(RoadmapPhases[[#This Row],[_Task]]="","",INDEX(tsk_Progress,RoadmapPhases[[#This Row],[_Task]]))</f>
        <v/>
      </c>
      <c r="J13" s="41" t="str">
        <f aca="false">IF(RoadmapPhases[[#This Row],[_Task]]="","",INDEX(tsk_Variance,RoadmapPhases[[#This Row],[_Task]]))</f>
        <v/>
      </c>
    </row>
    <row r="14" customFormat="false" ht="15" hidden="false" customHeight="false" outlineLevel="0" collapsed="false">
      <c r="B14" s="38" t="str">
        <f aca="false">IFERROR(MATCH(SMALL(tsk_PhaseKey,ROW()-ROW(RoadmapPhases[[#Headers],[_Task]])),tsk_PhaseKey,0),"")</f>
        <v/>
      </c>
      <c r="C14" s="30" t="str">
        <f aca="false">IF(RoadmapPhases[[#This Row],[_Task]]="","",INDEX(tsk_WBS,RoadmapPhases[[#This Row],[_Task]])&amp;"")</f>
        <v/>
      </c>
      <c r="D14" s="30" t="str">
        <f aca="false">IF(RoadmapPhases[[#This Row],[_Task]]="","",INDEX(tsk_Name,RoadmapPhases[[#This Row],[_Task]])&amp;"")</f>
        <v/>
      </c>
      <c r="E14" s="39" t="str">
        <f aca="false">IF(RoadmapPhases[[#This Row],[_Task]]="","",IF(N(INDEX(tsk_PlanStart,RoadmapPhases[[#This Row],[_Task]]))=0,"",INDEX(tsk_PlanStart,RoadmapPhases[[#This Row],[_Task]])))</f>
        <v/>
      </c>
      <c r="F14" s="39" t="str">
        <f aca="false">IF(RoadmapPhases[[#This Row],[_Task]]="","",IF(N(INDEX(tsk_PlanFinish,RoadmapPhases[[#This Row],[_Task]]))=0,"",INDEX(tsk_PlanFinish,RoadmapPhases[[#This Row],[_Task]])))</f>
        <v/>
      </c>
      <c r="G14" s="39" t="str">
        <f aca="false">IF(RoadmapPhases[[#This Row],[_Task]]="","",IF(N(INDEX(tsk_FcStart,RoadmapPhases[[#This Row],[_Task]]))=0,"",INDEX(tsk_FcStart,RoadmapPhases[[#This Row],[_Task]])))</f>
        <v/>
      </c>
      <c r="H14" s="39" t="str">
        <f aca="false">IF(RoadmapPhases[[#This Row],[_Task]]="","",IF(N(INDEX(tsk_FcFinish,RoadmapPhases[[#This Row],[_Task]]))=0,"",INDEX(tsk_FcFinish,RoadmapPhases[[#This Row],[_Task]])))</f>
        <v/>
      </c>
      <c r="I14" s="40" t="str">
        <f aca="false">IF(RoadmapPhases[[#This Row],[_Task]]="","",INDEX(tsk_Progress,RoadmapPhases[[#This Row],[_Task]]))</f>
        <v/>
      </c>
      <c r="J14" s="41" t="str">
        <f aca="false">IF(RoadmapPhases[[#This Row],[_Task]]="","",INDEX(tsk_Variance,RoadmapPhases[[#This Row],[_Task]]))</f>
        <v/>
      </c>
    </row>
    <row r="15" customFormat="false" ht="15" hidden="false" customHeight="false" outlineLevel="0" collapsed="false">
      <c r="B15" s="38" t="str">
        <f aca="false">IFERROR(MATCH(SMALL(tsk_PhaseKey,ROW()-ROW(RoadmapPhases[[#Headers],[_Task]])),tsk_PhaseKey,0),"")</f>
        <v/>
      </c>
      <c r="C15" s="30" t="str">
        <f aca="false">IF(RoadmapPhases[[#This Row],[_Task]]="","",INDEX(tsk_WBS,RoadmapPhases[[#This Row],[_Task]])&amp;"")</f>
        <v/>
      </c>
      <c r="D15" s="30" t="str">
        <f aca="false">IF(RoadmapPhases[[#This Row],[_Task]]="","",INDEX(tsk_Name,RoadmapPhases[[#This Row],[_Task]])&amp;"")</f>
        <v/>
      </c>
      <c r="E15" s="39" t="str">
        <f aca="false">IF(RoadmapPhases[[#This Row],[_Task]]="","",IF(N(INDEX(tsk_PlanStart,RoadmapPhases[[#This Row],[_Task]]))=0,"",INDEX(tsk_PlanStart,RoadmapPhases[[#This Row],[_Task]])))</f>
        <v/>
      </c>
      <c r="F15" s="39" t="str">
        <f aca="false">IF(RoadmapPhases[[#This Row],[_Task]]="","",IF(N(INDEX(tsk_PlanFinish,RoadmapPhases[[#This Row],[_Task]]))=0,"",INDEX(tsk_PlanFinish,RoadmapPhases[[#This Row],[_Task]])))</f>
        <v/>
      </c>
      <c r="G15" s="39" t="str">
        <f aca="false">IF(RoadmapPhases[[#This Row],[_Task]]="","",IF(N(INDEX(tsk_FcStart,RoadmapPhases[[#This Row],[_Task]]))=0,"",INDEX(tsk_FcStart,RoadmapPhases[[#This Row],[_Task]])))</f>
        <v/>
      </c>
      <c r="H15" s="39" t="str">
        <f aca="false">IF(RoadmapPhases[[#This Row],[_Task]]="","",IF(N(INDEX(tsk_FcFinish,RoadmapPhases[[#This Row],[_Task]]))=0,"",INDEX(tsk_FcFinish,RoadmapPhases[[#This Row],[_Task]])))</f>
        <v/>
      </c>
      <c r="I15" s="40" t="str">
        <f aca="false">IF(RoadmapPhases[[#This Row],[_Task]]="","",INDEX(tsk_Progress,RoadmapPhases[[#This Row],[_Task]]))</f>
        <v/>
      </c>
      <c r="J15" s="41" t="str">
        <f aca="false">IF(RoadmapPhases[[#This Row],[_Task]]="","",INDEX(tsk_Variance,RoadmapPhases[[#This Row],[_Task]]))</f>
        <v/>
      </c>
    </row>
    <row r="16" customFormat="false" ht="15" hidden="false" customHeight="false" outlineLevel="0" collapsed="false">
      <c r="B16" s="38" t="str">
        <f aca="false">IFERROR(MATCH(SMALL(tsk_PhaseKey,ROW()-ROW(RoadmapPhases[[#Headers],[_Task]])),tsk_PhaseKey,0),"")</f>
        <v/>
      </c>
      <c r="C16" s="30" t="str">
        <f aca="false">IF(RoadmapPhases[[#This Row],[_Task]]="","",INDEX(tsk_WBS,RoadmapPhases[[#This Row],[_Task]])&amp;"")</f>
        <v/>
      </c>
      <c r="D16" s="30" t="str">
        <f aca="false">IF(RoadmapPhases[[#This Row],[_Task]]="","",INDEX(tsk_Name,RoadmapPhases[[#This Row],[_Task]])&amp;"")</f>
        <v/>
      </c>
      <c r="E16" s="39" t="str">
        <f aca="false">IF(RoadmapPhases[[#This Row],[_Task]]="","",IF(N(INDEX(tsk_PlanStart,RoadmapPhases[[#This Row],[_Task]]))=0,"",INDEX(tsk_PlanStart,RoadmapPhases[[#This Row],[_Task]])))</f>
        <v/>
      </c>
      <c r="F16" s="39" t="str">
        <f aca="false">IF(RoadmapPhases[[#This Row],[_Task]]="","",IF(N(INDEX(tsk_PlanFinish,RoadmapPhases[[#This Row],[_Task]]))=0,"",INDEX(tsk_PlanFinish,RoadmapPhases[[#This Row],[_Task]])))</f>
        <v/>
      </c>
      <c r="G16" s="39" t="str">
        <f aca="false">IF(RoadmapPhases[[#This Row],[_Task]]="","",IF(N(INDEX(tsk_FcStart,RoadmapPhases[[#This Row],[_Task]]))=0,"",INDEX(tsk_FcStart,RoadmapPhases[[#This Row],[_Task]])))</f>
        <v/>
      </c>
      <c r="H16" s="39" t="str">
        <f aca="false">IF(RoadmapPhases[[#This Row],[_Task]]="","",IF(N(INDEX(tsk_FcFinish,RoadmapPhases[[#This Row],[_Task]]))=0,"",INDEX(tsk_FcFinish,RoadmapPhases[[#This Row],[_Task]])))</f>
        <v/>
      </c>
      <c r="I16" s="40" t="str">
        <f aca="false">IF(RoadmapPhases[[#This Row],[_Task]]="","",INDEX(tsk_Progress,RoadmapPhases[[#This Row],[_Task]]))</f>
        <v/>
      </c>
      <c r="J16" s="41" t="str">
        <f aca="false">IF(RoadmapPhases[[#This Row],[_Task]]="","",INDEX(tsk_Variance,RoadmapPhases[[#This Row],[_Task]]))</f>
        <v/>
      </c>
    </row>
    <row r="17" customFormat="false" ht="15" hidden="false" customHeight="false" outlineLevel="0" collapsed="false">
      <c r="B17" s="38" t="str">
        <f aca="false">IFERROR(MATCH(SMALL(tsk_PhaseKey,ROW()-ROW(RoadmapPhases[[#Headers],[_Task]])),tsk_PhaseKey,0),"")</f>
        <v/>
      </c>
      <c r="C17" s="30" t="str">
        <f aca="false">IF(RoadmapPhases[[#This Row],[_Task]]="","",INDEX(tsk_WBS,RoadmapPhases[[#This Row],[_Task]])&amp;"")</f>
        <v/>
      </c>
      <c r="D17" s="30" t="str">
        <f aca="false">IF(RoadmapPhases[[#This Row],[_Task]]="","",INDEX(tsk_Name,RoadmapPhases[[#This Row],[_Task]])&amp;"")</f>
        <v/>
      </c>
      <c r="E17" s="39" t="str">
        <f aca="false">IF(RoadmapPhases[[#This Row],[_Task]]="","",IF(N(INDEX(tsk_PlanStart,RoadmapPhases[[#This Row],[_Task]]))=0,"",INDEX(tsk_PlanStart,RoadmapPhases[[#This Row],[_Task]])))</f>
        <v/>
      </c>
      <c r="F17" s="39" t="str">
        <f aca="false">IF(RoadmapPhases[[#This Row],[_Task]]="","",IF(N(INDEX(tsk_PlanFinish,RoadmapPhases[[#This Row],[_Task]]))=0,"",INDEX(tsk_PlanFinish,RoadmapPhases[[#This Row],[_Task]])))</f>
        <v/>
      </c>
      <c r="G17" s="39" t="str">
        <f aca="false">IF(RoadmapPhases[[#This Row],[_Task]]="","",IF(N(INDEX(tsk_FcStart,RoadmapPhases[[#This Row],[_Task]]))=0,"",INDEX(tsk_FcStart,RoadmapPhases[[#This Row],[_Task]])))</f>
        <v/>
      </c>
      <c r="H17" s="39" t="str">
        <f aca="false">IF(RoadmapPhases[[#This Row],[_Task]]="","",IF(N(INDEX(tsk_FcFinish,RoadmapPhases[[#This Row],[_Task]]))=0,"",INDEX(tsk_FcFinish,RoadmapPhases[[#This Row],[_Task]])))</f>
        <v/>
      </c>
      <c r="I17" s="40" t="str">
        <f aca="false">IF(RoadmapPhases[[#This Row],[_Task]]="","",INDEX(tsk_Progress,RoadmapPhases[[#This Row],[_Task]]))</f>
        <v/>
      </c>
      <c r="J17" s="41" t="str">
        <f aca="false">IF(RoadmapPhases[[#This Row],[_Task]]="","",INDEX(tsk_Variance,RoadmapPhases[[#This Row],[_Task]]))</f>
        <v/>
      </c>
    </row>
    <row r="19" customFormat="false" ht="15" hidden="false" customHeight="false" outlineLevel="0" collapsed="false">
      <c r="C19" s="36" t="str">
        <f aca="false">"Milestones (in planned order)"&amp;": "&amp;COUNT(tsk_MilestoneOrder)&amp;IF(COUNT(tsk_MilestoneOrder)&gt;ROWS(RoadmapMilestones[_Task])," (showing the first "&amp;ROWS(RoadmapMilestones[_Task])&amp;")","")</f>
        <v>Milestones (in planned order): 0</v>
      </c>
    </row>
    <row r="20" customFormat="false" ht="23.85" hidden="false" customHeight="false" outlineLevel="0" collapsed="false">
      <c r="B20" s="37" t="s">
        <v>151</v>
      </c>
      <c r="C20" s="15" t="s">
        <v>152</v>
      </c>
      <c r="D20" s="15" t="s">
        <v>159</v>
      </c>
      <c r="E20" s="15" t="s">
        <v>160</v>
      </c>
      <c r="F20" s="15" t="s">
        <v>161</v>
      </c>
      <c r="G20" s="15" t="s">
        <v>162</v>
      </c>
      <c r="H20" s="15" t="s">
        <v>163</v>
      </c>
      <c r="I20" s="15" t="s">
        <v>28</v>
      </c>
      <c r="J20" s="15" t="s">
        <v>158</v>
      </c>
    </row>
    <row r="21" customFormat="false" ht="15" hidden="false" customHeight="false" outlineLevel="0" collapsed="false">
      <c r="B21" s="38" t="str">
        <f aca="false">IFERROR(MATCH(SMALL(tsk_MilestoneOrder,ROW()-ROW(RoadmapMilestones[[#Headers],[_Task]])),tsk_MilestoneOrder,0),"")</f>
        <v/>
      </c>
      <c r="C21" s="30" t="str">
        <f aca="false">IF(RoadmapMilestones[[#This Row],[_Task]]="","",INDEX(tsk_WBS,RoadmapMilestones[[#This Row],[_Task]])&amp;"")</f>
        <v/>
      </c>
      <c r="D21" s="30" t="str">
        <f aca="false">IF(RoadmapMilestones[[#This Row],[_Task]]="","",INDEX(tsk_Name,RoadmapMilestones[[#This Row],[_Task]])&amp;"")</f>
        <v/>
      </c>
      <c r="E21" s="39" t="str">
        <f aca="false">IF(RoadmapMilestones[[#This Row],[_Task]]="","",IF(N(INDEX(tsk_PlanFinish,RoadmapMilestones[[#This Row],[_Task]]))=0,"",INDEX(tsk_PlanFinish,RoadmapMilestones[[#This Row],[_Task]])))</f>
        <v/>
      </c>
      <c r="F21" s="39" t="str">
        <f aca="false">IF(RoadmapMilestones[[#This Row],[_Task]]="","",IF(N(INDEX(tsk_Deadline,RoadmapMilestones[[#This Row],[_Task]]))=0,"",INDEX(tsk_Deadline,RoadmapMilestones[[#This Row],[_Task]])))</f>
        <v/>
      </c>
      <c r="G21" s="39" t="str">
        <f aca="false">IF(RoadmapMilestones[[#This Row],[_Task]]="","",IF(N(INDEX(tsk_FcFinish,RoadmapMilestones[[#This Row],[_Task]]))=0,"",INDEX(tsk_FcFinish,RoadmapMilestones[[#This Row],[_Task]])))</f>
        <v/>
      </c>
      <c r="H21" s="30" t="str">
        <f aca="false">IF(RoadmapMilestones[[#This Row],[_Task]]="","",INDEX(tsk_DeadlineCheck,RoadmapMilestones[[#This Row],[_Task]])&amp;"")</f>
        <v/>
      </c>
      <c r="I21" s="30" t="str">
        <f aca="false">IF(RoadmapMilestones[[#This Row],[_Task]]="","",INDEX(tsk_Status,RoadmapMilestones[[#This Row],[_Task]])&amp;"")</f>
        <v/>
      </c>
      <c r="J21" s="41" t="str">
        <f aca="false">IF(RoadmapMilestones[[#This Row],[_Task]]="","",INDEX(tsk_Variance,RoadmapMilestones[[#This Row],[_Task]]))</f>
        <v/>
      </c>
    </row>
    <row r="22" customFormat="false" ht="15" hidden="false" customHeight="false" outlineLevel="0" collapsed="false">
      <c r="B22" s="38" t="str">
        <f aca="false">IFERROR(MATCH(SMALL(tsk_MilestoneOrder,ROW()-ROW(RoadmapMilestones[[#Headers],[_Task]])),tsk_MilestoneOrder,0),"")</f>
        <v/>
      </c>
      <c r="C22" s="30" t="str">
        <f aca="false">IF(RoadmapMilestones[[#This Row],[_Task]]="","",INDEX(tsk_WBS,RoadmapMilestones[[#This Row],[_Task]])&amp;"")</f>
        <v/>
      </c>
      <c r="D22" s="30" t="str">
        <f aca="false">IF(RoadmapMilestones[[#This Row],[_Task]]="","",INDEX(tsk_Name,RoadmapMilestones[[#This Row],[_Task]])&amp;"")</f>
        <v/>
      </c>
      <c r="E22" s="39" t="str">
        <f aca="false">IF(RoadmapMilestones[[#This Row],[_Task]]="","",IF(N(INDEX(tsk_PlanFinish,RoadmapMilestones[[#This Row],[_Task]]))=0,"",INDEX(tsk_PlanFinish,RoadmapMilestones[[#This Row],[_Task]])))</f>
        <v/>
      </c>
      <c r="F22" s="39" t="str">
        <f aca="false">IF(RoadmapMilestones[[#This Row],[_Task]]="","",IF(N(INDEX(tsk_Deadline,RoadmapMilestones[[#This Row],[_Task]]))=0,"",INDEX(tsk_Deadline,RoadmapMilestones[[#This Row],[_Task]])))</f>
        <v/>
      </c>
      <c r="G22" s="39" t="str">
        <f aca="false">IF(RoadmapMilestones[[#This Row],[_Task]]="","",IF(N(INDEX(tsk_FcFinish,RoadmapMilestones[[#This Row],[_Task]]))=0,"",INDEX(tsk_FcFinish,RoadmapMilestones[[#This Row],[_Task]])))</f>
        <v/>
      </c>
      <c r="H22" s="30" t="str">
        <f aca="false">IF(RoadmapMilestones[[#This Row],[_Task]]="","",INDEX(tsk_DeadlineCheck,RoadmapMilestones[[#This Row],[_Task]])&amp;"")</f>
        <v/>
      </c>
      <c r="I22" s="30" t="str">
        <f aca="false">IF(RoadmapMilestones[[#This Row],[_Task]]="","",INDEX(tsk_Status,RoadmapMilestones[[#This Row],[_Task]])&amp;"")</f>
        <v/>
      </c>
      <c r="J22" s="41" t="str">
        <f aca="false">IF(RoadmapMilestones[[#This Row],[_Task]]="","",INDEX(tsk_Variance,RoadmapMilestones[[#This Row],[_Task]]))</f>
        <v/>
      </c>
    </row>
    <row r="23" customFormat="false" ht="15" hidden="false" customHeight="false" outlineLevel="0" collapsed="false">
      <c r="B23" s="38" t="str">
        <f aca="false">IFERROR(MATCH(SMALL(tsk_MilestoneOrder,ROW()-ROW(RoadmapMilestones[[#Headers],[_Task]])),tsk_MilestoneOrder,0),"")</f>
        <v/>
      </c>
      <c r="C23" s="30" t="str">
        <f aca="false">IF(RoadmapMilestones[[#This Row],[_Task]]="","",INDEX(tsk_WBS,RoadmapMilestones[[#This Row],[_Task]])&amp;"")</f>
        <v/>
      </c>
      <c r="D23" s="30" t="str">
        <f aca="false">IF(RoadmapMilestones[[#This Row],[_Task]]="","",INDEX(tsk_Name,RoadmapMilestones[[#This Row],[_Task]])&amp;"")</f>
        <v/>
      </c>
      <c r="E23" s="39" t="str">
        <f aca="false">IF(RoadmapMilestones[[#This Row],[_Task]]="","",IF(N(INDEX(tsk_PlanFinish,RoadmapMilestones[[#This Row],[_Task]]))=0,"",INDEX(tsk_PlanFinish,RoadmapMilestones[[#This Row],[_Task]])))</f>
        <v/>
      </c>
      <c r="F23" s="39" t="str">
        <f aca="false">IF(RoadmapMilestones[[#This Row],[_Task]]="","",IF(N(INDEX(tsk_Deadline,RoadmapMilestones[[#This Row],[_Task]]))=0,"",INDEX(tsk_Deadline,RoadmapMilestones[[#This Row],[_Task]])))</f>
        <v/>
      </c>
      <c r="G23" s="39" t="str">
        <f aca="false">IF(RoadmapMilestones[[#This Row],[_Task]]="","",IF(N(INDEX(tsk_FcFinish,RoadmapMilestones[[#This Row],[_Task]]))=0,"",INDEX(tsk_FcFinish,RoadmapMilestones[[#This Row],[_Task]])))</f>
        <v/>
      </c>
      <c r="H23" s="30" t="str">
        <f aca="false">IF(RoadmapMilestones[[#This Row],[_Task]]="","",INDEX(tsk_DeadlineCheck,RoadmapMilestones[[#This Row],[_Task]])&amp;"")</f>
        <v/>
      </c>
      <c r="I23" s="30" t="str">
        <f aca="false">IF(RoadmapMilestones[[#This Row],[_Task]]="","",INDEX(tsk_Status,RoadmapMilestones[[#This Row],[_Task]])&amp;"")</f>
        <v/>
      </c>
      <c r="J23" s="41" t="str">
        <f aca="false">IF(RoadmapMilestones[[#This Row],[_Task]]="","",INDEX(tsk_Variance,RoadmapMilestones[[#This Row],[_Task]]))</f>
        <v/>
      </c>
    </row>
    <row r="24" customFormat="false" ht="15" hidden="false" customHeight="false" outlineLevel="0" collapsed="false">
      <c r="B24" s="38" t="str">
        <f aca="false">IFERROR(MATCH(SMALL(tsk_MilestoneOrder,ROW()-ROW(RoadmapMilestones[[#Headers],[_Task]])),tsk_MilestoneOrder,0),"")</f>
        <v/>
      </c>
      <c r="C24" s="30" t="str">
        <f aca="false">IF(RoadmapMilestones[[#This Row],[_Task]]="","",INDEX(tsk_WBS,RoadmapMilestones[[#This Row],[_Task]])&amp;"")</f>
        <v/>
      </c>
      <c r="D24" s="30" t="str">
        <f aca="false">IF(RoadmapMilestones[[#This Row],[_Task]]="","",INDEX(tsk_Name,RoadmapMilestones[[#This Row],[_Task]])&amp;"")</f>
        <v/>
      </c>
      <c r="E24" s="39" t="str">
        <f aca="false">IF(RoadmapMilestones[[#This Row],[_Task]]="","",IF(N(INDEX(tsk_PlanFinish,RoadmapMilestones[[#This Row],[_Task]]))=0,"",INDEX(tsk_PlanFinish,RoadmapMilestones[[#This Row],[_Task]])))</f>
        <v/>
      </c>
      <c r="F24" s="39" t="str">
        <f aca="false">IF(RoadmapMilestones[[#This Row],[_Task]]="","",IF(N(INDEX(tsk_Deadline,RoadmapMilestones[[#This Row],[_Task]]))=0,"",INDEX(tsk_Deadline,RoadmapMilestones[[#This Row],[_Task]])))</f>
        <v/>
      </c>
      <c r="G24" s="39" t="str">
        <f aca="false">IF(RoadmapMilestones[[#This Row],[_Task]]="","",IF(N(INDEX(tsk_FcFinish,RoadmapMilestones[[#This Row],[_Task]]))=0,"",INDEX(tsk_FcFinish,RoadmapMilestones[[#This Row],[_Task]])))</f>
        <v/>
      </c>
      <c r="H24" s="30" t="str">
        <f aca="false">IF(RoadmapMilestones[[#This Row],[_Task]]="","",INDEX(tsk_DeadlineCheck,RoadmapMilestones[[#This Row],[_Task]])&amp;"")</f>
        <v/>
      </c>
      <c r="I24" s="30" t="str">
        <f aca="false">IF(RoadmapMilestones[[#This Row],[_Task]]="","",INDEX(tsk_Status,RoadmapMilestones[[#This Row],[_Task]])&amp;"")</f>
        <v/>
      </c>
      <c r="J24" s="41" t="str">
        <f aca="false">IF(RoadmapMilestones[[#This Row],[_Task]]="","",INDEX(tsk_Variance,RoadmapMilestones[[#This Row],[_Task]]))</f>
        <v/>
      </c>
    </row>
    <row r="25" customFormat="false" ht="15" hidden="false" customHeight="false" outlineLevel="0" collapsed="false">
      <c r="B25" s="38" t="str">
        <f aca="false">IFERROR(MATCH(SMALL(tsk_MilestoneOrder,ROW()-ROW(RoadmapMilestones[[#Headers],[_Task]])),tsk_MilestoneOrder,0),"")</f>
        <v/>
      </c>
      <c r="C25" s="30" t="str">
        <f aca="false">IF(RoadmapMilestones[[#This Row],[_Task]]="","",INDEX(tsk_WBS,RoadmapMilestones[[#This Row],[_Task]])&amp;"")</f>
        <v/>
      </c>
      <c r="D25" s="30" t="str">
        <f aca="false">IF(RoadmapMilestones[[#This Row],[_Task]]="","",INDEX(tsk_Name,RoadmapMilestones[[#This Row],[_Task]])&amp;"")</f>
        <v/>
      </c>
      <c r="E25" s="39" t="str">
        <f aca="false">IF(RoadmapMilestones[[#This Row],[_Task]]="","",IF(N(INDEX(tsk_PlanFinish,RoadmapMilestones[[#This Row],[_Task]]))=0,"",INDEX(tsk_PlanFinish,RoadmapMilestones[[#This Row],[_Task]])))</f>
        <v/>
      </c>
      <c r="F25" s="39" t="str">
        <f aca="false">IF(RoadmapMilestones[[#This Row],[_Task]]="","",IF(N(INDEX(tsk_Deadline,RoadmapMilestones[[#This Row],[_Task]]))=0,"",INDEX(tsk_Deadline,RoadmapMilestones[[#This Row],[_Task]])))</f>
        <v/>
      </c>
      <c r="G25" s="39" t="str">
        <f aca="false">IF(RoadmapMilestones[[#This Row],[_Task]]="","",IF(N(INDEX(tsk_FcFinish,RoadmapMilestones[[#This Row],[_Task]]))=0,"",INDEX(tsk_FcFinish,RoadmapMilestones[[#This Row],[_Task]])))</f>
        <v/>
      </c>
      <c r="H25" s="30" t="str">
        <f aca="false">IF(RoadmapMilestones[[#This Row],[_Task]]="","",INDEX(tsk_DeadlineCheck,RoadmapMilestones[[#This Row],[_Task]])&amp;"")</f>
        <v/>
      </c>
      <c r="I25" s="30" t="str">
        <f aca="false">IF(RoadmapMilestones[[#This Row],[_Task]]="","",INDEX(tsk_Status,RoadmapMilestones[[#This Row],[_Task]])&amp;"")</f>
        <v/>
      </c>
      <c r="J25" s="41" t="str">
        <f aca="false">IF(RoadmapMilestones[[#This Row],[_Task]]="","",INDEX(tsk_Variance,RoadmapMilestones[[#This Row],[_Task]]))</f>
        <v/>
      </c>
    </row>
    <row r="26" customFormat="false" ht="15" hidden="false" customHeight="false" outlineLevel="0" collapsed="false">
      <c r="B26" s="38" t="str">
        <f aca="false">IFERROR(MATCH(SMALL(tsk_MilestoneOrder,ROW()-ROW(RoadmapMilestones[[#Headers],[_Task]])),tsk_MilestoneOrder,0),"")</f>
        <v/>
      </c>
      <c r="C26" s="30" t="str">
        <f aca="false">IF(RoadmapMilestones[[#This Row],[_Task]]="","",INDEX(tsk_WBS,RoadmapMilestones[[#This Row],[_Task]])&amp;"")</f>
        <v/>
      </c>
      <c r="D26" s="30" t="str">
        <f aca="false">IF(RoadmapMilestones[[#This Row],[_Task]]="","",INDEX(tsk_Name,RoadmapMilestones[[#This Row],[_Task]])&amp;"")</f>
        <v/>
      </c>
      <c r="E26" s="39" t="str">
        <f aca="false">IF(RoadmapMilestones[[#This Row],[_Task]]="","",IF(N(INDEX(tsk_PlanFinish,RoadmapMilestones[[#This Row],[_Task]]))=0,"",INDEX(tsk_PlanFinish,RoadmapMilestones[[#This Row],[_Task]])))</f>
        <v/>
      </c>
      <c r="F26" s="39" t="str">
        <f aca="false">IF(RoadmapMilestones[[#This Row],[_Task]]="","",IF(N(INDEX(tsk_Deadline,RoadmapMilestones[[#This Row],[_Task]]))=0,"",INDEX(tsk_Deadline,RoadmapMilestones[[#This Row],[_Task]])))</f>
        <v/>
      </c>
      <c r="G26" s="39" t="str">
        <f aca="false">IF(RoadmapMilestones[[#This Row],[_Task]]="","",IF(N(INDEX(tsk_FcFinish,RoadmapMilestones[[#This Row],[_Task]]))=0,"",INDEX(tsk_FcFinish,RoadmapMilestones[[#This Row],[_Task]])))</f>
        <v/>
      </c>
      <c r="H26" s="30" t="str">
        <f aca="false">IF(RoadmapMilestones[[#This Row],[_Task]]="","",INDEX(tsk_DeadlineCheck,RoadmapMilestones[[#This Row],[_Task]])&amp;"")</f>
        <v/>
      </c>
      <c r="I26" s="30" t="str">
        <f aca="false">IF(RoadmapMilestones[[#This Row],[_Task]]="","",INDEX(tsk_Status,RoadmapMilestones[[#This Row],[_Task]])&amp;"")</f>
        <v/>
      </c>
      <c r="J26" s="41" t="str">
        <f aca="false">IF(RoadmapMilestones[[#This Row],[_Task]]="","",INDEX(tsk_Variance,RoadmapMilestones[[#This Row],[_Task]]))</f>
        <v/>
      </c>
    </row>
    <row r="27" customFormat="false" ht="15" hidden="false" customHeight="false" outlineLevel="0" collapsed="false">
      <c r="B27" s="38" t="str">
        <f aca="false">IFERROR(MATCH(SMALL(tsk_MilestoneOrder,ROW()-ROW(RoadmapMilestones[[#Headers],[_Task]])),tsk_MilestoneOrder,0),"")</f>
        <v/>
      </c>
      <c r="C27" s="30" t="str">
        <f aca="false">IF(RoadmapMilestones[[#This Row],[_Task]]="","",INDEX(tsk_WBS,RoadmapMilestones[[#This Row],[_Task]])&amp;"")</f>
        <v/>
      </c>
      <c r="D27" s="30" t="str">
        <f aca="false">IF(RoadmapMilestones[[#This Row],[_Task]]="","",INDEX(tsk_Name,RoadmapMilestones[[#This Row],[_Task]])&amp;"")</f>
        <v/>
      </c>
      <c r="E27" s="39" t="str">
        <f aca="false">IF(RoadmapMilestones[[#This Row],[_Task]]="","",IF(N(INDEX(tsk_PlanFinish,RoadmapMilestones[[#This Row],[_Task]]))=0,"",INDEX(tsk_PlanFinish,RoadmapMilestones[[#This Row],[_Task]])))</f>
        <v/>
      </c>
      <c r="F27" s="39" t="str">
        <f aca="false">IF(RoadmapMilestones[[#This Row],[_Task]]="","",IF(N(INDEX(tsk_Deadline,RoadmapMilestones[[#This Row],[_Task]]))=0,"",INDEX(tsk_Deadline,RoadmapMilestones[[#This Row],[_Task]])))</f>
        <v/>
      </c>
      <c r="G27" s="39" t="str">
        <f aca="false">IF(RoadmapMilestones[[#This Row],[_Task]]="","",IF(N(INDEX(tsk_FcFinish,RoadmapMilestones[[#This Row],[_Task]]))=0,"",INDEX(tsk_FcFinish,RoadmapMilestones[[#This Row],[_Task]])))</f>
        <v/>
      </c>
      <c r="H27" s="30" t="str">
        <f aca="false">IF(RoadmapMilestones[[#This Row],[_Task]]="","",INDEX(tsk_DeadlineCheck,RoadmapMilestones[[#This Row],[_Task]])&amp;"")</f>
        <v/>
      </c>
      <c r="I27" s="30" t="str">
        <f aca="false">IF(RoadmapMilestones[[#This Row],[_Task]]="","",INDEX(tsk_Status,RoadmapMilestones[[#This Row],[_Task]])&amp;"")</f>
        <v/>
      </c>
      <c r="J27" s="41" t="str">
        <f aca="false">IF(RoadmapMilestones[[#This Row],[_Task]]="","",INDEX(tsk_Variance,RoadmapMilestones[[#This Row],[_Task]]))</f>
        <v/>
      </c>
    </row>
    <row r="28" customFormat="false" ht="15" hidden="false" customHeight="false" outlineLevel="0" collapsed="false">
      <c r="B28" s="38" t="str">
        <f aca="false">IFERROR(MATCH(SMALL(tsk_MilestoneOrder,ROW()-ROW(RoadmapMilestones[[#Headers],[_Task]])),tsk_MilestoneOrder,0),"")</f>
        <v/>
      </c>
      <c r="C28" s="30" t="str">
        <f aca="false">IF(RoadmapMilestones[[#This Row],[_Task]]="","",INDEX(tsk_WBS,RoadmapMilestones[[#This Row],[_Task]])&amp;"")</f>
        <v/>
      </c>
      <c r="D28" s="30" t="str">
        <f aca="false">IF(RoadmapMilestones[[#This Row],[_Task]]="","",INDEX(tsk_Name,RoadmapMilestones[[#This Row],[_Task]])&amp;"")</f>
        <v/>
      </c>
      <c r="E28" s="39" t="str">
        <f aca="false">IF(RoadmapMilestones[[#This Row],[_Task]]="","",IF(N(INDEX(tsk_PlanFinish,RoadmapMilestones[[#This Row],[_Task]]))=0,"",INDEX(tsk_PlanFinish,RoadmapMilestones[[#This Row],[_Task]])))</f>
        <v/>
      </c>
      <c r="F28" s="39" t="str">
        <f aca="false">IF(RoadmapMilestones[[#This Row],[_Task]]="","",IF(N(INDEX(tsk_Deadline,RoadmapMilestones[[#This Row],[_Task]]))=0,"",INDEX(tsk_Deadline,RoadmapMilestones[[#This Row],[_Task]])))</f>
        <v/>
      </c>
      <c r="G28" s="39" t="str">
        <f aca="false">IF(RoadmapMilestones[[#This Row],[_Task]]="","",IF(N(INDEX(tsk_FcFinish,RoadmapMilestones[[#This Row],[_Task]]))=0,"",INDEX(tsk_FcFinish,RoadmapMilestones[[#This Row],[_Task]])))</f>
        <v/>
      </c>
      <c r="H28" s="30" t="str">
        <f aca="false">IF(RoadmapMilestones[[#This Row],[_Task]]="","",INDEX(tsk_DeadlineCheck,RoadmapMilestones[[#This Row],[_Task]])&amp;"")</f>
        <v/>
      </c>
      <c r="I28" s="30" t="str">
        <f aca="false">IF(RoadmapMilestones[[#This Row],[_Task]]="","",INDEX(tsk_Status,RoadmapMilestones[[#This Row],[_Task]])&amp;"")</f>
        <v/>
      </c>
      <c r="J28" s="41" t="str">
        <f aca="false">IF(RoadmapMilestones[[#This Row],[_Task]]="","",INDEX(tsk_Variance,RoadmapMilestones[[#This Row],[_Task]]))</f>
        <v/>
      </c>
    </row>
    <row r="29" customFormat="false" ht="15" hidden="false" customHeight="false" outlineLevel="0" collapsed="false">
      <c r="B29" s="38" t="str">
        <f aca="false">IFERROR(MATCH(SMALL(tsk_MilestoneOrder,ROW()-ROW(RoadmapMilestones[[#Headers],[_Task]])),tsk_MilestoneOrder,0),"")</f>
        <v/>
      </c>
      <c r="C29" s="30" t="str">
        <f aca="false">IF(RoadmapMilestones[[#This Row],[_Task]]="","",INDEX(tsk_WBS,RoadmapMilestones[[#This Row],[_Task]])&amp;"")</f>
        <v/>
      </c>
      <c r="D29" s="30" t="str">
        <f aca="false">IF(RoadmapMilestones[[#This Row],[_Task]]="","",INDEX(tsk_Name,RoadmapMilestones[[#This Row],[_Task]])&amp;"")</f>
        <v/>
      </c>
      <c r="E29" s="39" t="str">
        <f aca="false">IF(RoadmapMilestones[[#This Row],[_Task]]="","",IF(N(INDEX(tsk_PlanFinish,RoadmapMilestones[[#This Row],[_Task]]))=0,"",INDEX(tsk_PlanFinish,RoadmapMilestones[[#This Row],[_Task]])))</f>
        <v/>
      </c>
      <c r="F29" s="39" t="str">
        <f aca="false">IF(RoadmapMilestones[[#This Row],[_Task]]="","",IF(N(INDEX(tsk_Deadline,RoadmapMilestones[[#This Row],[_Task]]))=0,"",INDEX(tsk_Deadline,RoadmapMilestones[[#This Row],[_Task]])))</f>
        <v/>
      </c>
      <c r="G29" s="39" t="str">
        <f aca="false">IF(RoadmapMilestones[[#This Row],[_Task]]="","",IF(N(INDEX(tsk_FcFinish,RoadmapMilestones[[#This Row],[_Task]]))=0,"",INDEX(tsk_FcFinish,RoadmapMilestones[[#This Row],[_Task]])))</f>
        <v/>
      </c>
      <c r="H29" s="30" t="str">
        <f aca="false">IF(RoadmapMilestones[[#This Row],[_Task]]="","",INDEX(tsk_DeadlineCheck,RoadmapMilestones[[#This Row],[_Task]])&amp;"")</f>
        <v/>
      </c>
      <c r="I29" s="30" t="str">
        <f aca="false">IF(RoadmapMilestones[[#This Row],[_Task]]="","",INDEX(tsk_Status,RoadmapMilestones[[#This Row],[_Task]])&amp;"")</f>
        <v/>
      </c>
      <c r="J29" s="41" t="str">
        <f aca="false">IF(RoadmapMilestones[[#This Row],[_Task]]="","",INDEX(tsk_Variance,RoadmapMilestones[[#This Row],[_Task]]))</f>
        <v/>
      </c>
    </row>
    <row r="30" customFormat="false" ht="15" hidden="false" customHeight="false" outlineLevel="0" collapsed="false">
      <c r="B30" s="38" t="str">
        <f aca="false">IFERROR(MATCH(SMALL(tsk_MilestoneOrder,ROW()-ROW(RoadmapMilestones[[#Headers],[_Task]])),tsk_MilestoneOrder,0),"")</f>
        <v/>
      </c>
      <c r="C30" s="30" t="str">
        <f aca="false">IF(RoadmapMilestones[[#This Row],[_Task]]="","",INDEX(tsk_WBS,RoadmapMilestones[[#This Row],[_Task]])&amp;"")</f>
        <v/>
      </c>
      <c r="D30" s="30" t="str">
        <f aca="false">IF(RoadmapMilestones[[#This Row],[_Task]]="","",INDEX(tsk_Name,RoadmapMilestones[[#This Row],[_Task]])&amp;"")</f>
        <v/>
      </c>
      <c r="E30" s="39" t="str">
        <f aca="false">IF(RoadmapMilestones[[#This Row],[_Task]]="","",IF(N(INDEX(tsk_PlanFinish,RoadmapMilestones[[#This Row],[_Task]]))=0,"",INDEX(tsk_PlanFinish,RoadmapMilestones[[#This Row],[_Task]])))</f>
        <v/>
      </c>
      <c r="F30" s="39" t="str">
        <f aca="false">IF(RoadmapMilestones[[#This Row],[_Task]]="","",IF(N(INDEX(tsk_Deadline,RoadmapMilestones[[#This Row],[_Task]]))=0,"",INDEX(tsk_Deadline,RoadmapMilestones[[#This Row],[_Task]])))</f>
        <v/>
      </c>
      <c r="G30" s="39" t="str">
        <f aca="false">IF(RoadmapMilestones[[#This Row],[_Task]]="","",IF(N(INDEX(tsk_FcFinish,RoadmapMilestones[[#This Row],[_Task]]))=0,"",INDEX(tsk_FcFinish,RoadmapMilestones[[#This Row],[_Task]])))</f>
        <v/>
      </c>
      <c r="H30" s="30" t="str">
        <f aca="false">IF(RoadmapMilestones[[#This Row],[_Task]]="","",INDEX(tsk_DeadlineCheck,RoadmapMilestones[[#This Row],[_Task]])&amp;"")</f>
        <v/>
      </c>
      <c r="I30" s="30" t="str">
        <f aca="false">IF(RoadmapMilestones[[#This Row],[_Task]]="","",INDEX(tsk_Status,RoadmapMilestones[[#This Row],[_Task]])&amp;"")</f>
        <v/>
      </c>
      <c r="J30" s="41" t="str">
        <f aca="false">IF(RoadmapMilestones[[#This Row],[_Task]]="","",INDEX(tsk_Variance,RoadmapMilestones[[#This Row],[_Task]]))</f>
        <v/>
      </c>
    </row>
    <row r="31" customFormat="false" ht="15" hidden="false" customHeight="false" outlineLevel="0" collapsed="false">
      <c r="B31" s="38" t="str">
        <f aca="false">IFERROR(MATCH(SMALL(tsk_MilestoneOrder,ROW()-ROW(RoadmapMilestones[[#Headers],[_Task]])),tsk_MilestoneOrder,0),"")</f>
        <v/>
      </c>
      <c r="C31" s="30" t="str">
        <f aca="false">IF(RoadmapMilestones[[#This Row],[_Task]]="","",INDEX(tsk_WBS,RoadmapMilestones[[#This Row],[_Task]])&amp;"")</f>
        <v/>
      </c>
      <c r="D31" s="30" t="str">
        <f aca="false">IF(RoadmapMilestones[[#This Row],[_Task]]="","",INDEX(tsk_Name,RoadmapMilestones[[#This Row],[_Task]])&amp;"")</f>
        <v/>
      </c>
      <c r="E31" s="39" t="str">
        <f aca="false">IF(RoadmapMilestones[[#This Row],[_Task]]="","",IF(N(INDEX(tsk_PlanFinish,RoadmapMilestones[[#This Row],[_Task]]))=0,"",INDEX(tsk_PlanFinish,RoadmapMilestones[[#This Row],[_Task]])))</f>
        <v/>
      </c>
      <c r="F31" s="39" t="str">
        <f aca="false">IF(RoadmapMilestones[[#This Row],[_Task]]="","",IF(N(INDEX(tsk_Deadline,RoadmapMilestones[[#This Row],[_Task]]))=0,"",INDEX(tsk_Deadline,RoadmapMilestones[[#This Row],[_Task]])))</f>
        <v/>
      </c>
      <c r="G31" s="39" t="str">
        <f aca="false">IF(RoadmapMilestones[[#This Row],[_Task]]="","",IF(N(INDEX(tsk_FcFinish,RoadmapMilestones[[#This Row],[_Task]]))=0,"",INDEX(tsk_FcFinish,RoadmapMilestones[[#This Row],[_Task]])))</f>
        <v/>
      </c>
      <c r="H31" s="30" t="str">
        <f aca="false">IF(RoadmapMilestones[[#This Row],[_Task]]="","",INDEX(tsk_DeadlineCheck,RoadmapMilestones[[#This Row],[_Task]])&amp;"")</f>
        <v/>
      </c>
      <c r="I31" s="30" t="str">
        <f aca="false">IF(RoadmapMilestones[[#This Row],[_Task]]="","",INDEX(tsk_Status,RoadmapMilestones[[#This Row],[_Task]])&amp;"")</f>
        <v/>
      </c>
      <c r="J31" s="41" t="str">
        <f aca="false">IF(RoadmapMilestones[[#This Row],[_Task]]="","",INDEX(tsk_Variance,RoadmapMilestones[[#This Row],[_Task]]))</f>
        <v/>
      </c>
    </row>
    <row r="32" customFormat="false" ht="15" hidden="false" customHeight="false" outlineLevel="0" collapsed="false">
      <c r="B32" s="38" t="str">
        <f aca="false">IFERROR(MATCH(SMALL(tsk_MilestoneOrder,ROW()-ROW(RoadmapMilestones[[#Headers],[_Task]])),tsk_MilestoneOrder,0),"")</f>
        <v/>
      </c>
      <c r="C32" s="30" t="str">
        <f aca="false">IF(RoadmapMilestones[[#This Row],[_Task]]="","",INDEX(tsk_WBS,RoadmapMilestones[[#This Row],[_Task]])&amp;"")</f>
        <v/>
      </c>
      <c r="D32" s="30" t="str">
        <f aca="false">IF(RoadmapMilestones[[#This Row],[_Task]]="","",INDEX(tsk_Name,RoadmapMilestones[[#This Row],[_Task]])&amp;"")</f>
        <v/>
      </c>
      <c r="E32" s="39" t="str">
        <f aca="false">IF(RoadmapMilestones[[#This Row],[_Task]]="","",IF(N(INDEX(tsk_PlanFinish,RoadmapMilestones[[#This Row],[_Task]]))=0,"",INDEX(tsk_PlanFinish,RoadmapMilestones[[#This Row],[_Task]])))</f>
        <v/>
      </c>
      <c r="F32" s="39" t="str">
        <f aca="false">IF(RoadmapMilestones[[#This Row],[_Task]]="","",IF(N(INDEX(tsk_Deadline,RoadmapMilestones[[#This Row],[_Task]]))=0,"",INDEX(tsk_Deadline,RoadmapMilestones[[#This Row],[_Task]])))</f>
        <v/>
      </c>
      <c r="G32" s="39" t="str">
        <f aca="false">IF(RoadmapMilestones[[#This Row],[_Task]]="","",IF(N(INDEX(tsk_FcFinish,RoadmapMilestones[[#This Row],[_Task]]))=0,"",INDEX(tsk_FcFinish,RoadmapMilestones[[#This Row],[_Task]])))</f>
        <v/>
      </c>
      <c r="H32" s="30" t="str">
        <f aca="false">IF(RoadmapMilestones[[#This Row],[_Task]]="","",INDEX(tsk_DeadlineCheck,RoadmapMilestones[[#This Row],[_Task]])&amp;"")</f>
        <v/>
      </c>
      <c r="I32" s="30" t="str">
        <f aca="false">IF(RoadmapMilestones[[#This Row],[_Task]]="","",INDEX(tsk_Status,RoadmapMilestones[[#This Row],[_Task]])&amp;"")</f>
        <v/>
      </c>
      <c r="J32" s="41" t="str">
        <f aca="false">IF(RoadmapMilestones[[#This Row],[_Task]]="","",INDEX(tsk_Variance,RoadmapMilestones[[#This Row],[_Task]]))</f>
        <v/>
      </c>
    </row>
    <row r="33" customFormat="false" ht="15" hidden="false" customHeight="false" outlineLevel="0" collapsed="false">
      <c r="B33" s="38" t="str">
        <f aca="false">IFERROR(MATCH(SMALL(tsk_MilestoneOrder,ROW()-ROW(RoadmapMilestones[[#Headers],[_Task]])),tsk_MilestoneOrder,0),"")</f>
        <v/>
      </c>
      <c r="C33" s="30" t="str">
        <f aca="false">IF(RoadmapMilestones[[#This Row],[_Task]]="","",INDEX(tsk_WBS,RoadmapMilestones[[#This Row],[_Task]])&amp;"")</f>
        <v/>
      </c>
      <c r="D33" s="30" t="str">
        <f aca="false">IF(RoadmapMilestones[[#This Row],[_Task]]="","",INDEX(tsk_Name,RoadmapMilestones[[#This Row],[_Task]])&amp;"")</f>
        <v/>
      </c>
      <c r="E33" s="39" t="str">
        <f aca="false">IF(RoadmapMilestones[[#This Row],[_Task]]="","",IF(N(INDEX(tsk_PlanFinish,RoadmapMilestones[[#This Row],[_Task]]))=0,"",INDEX(tsk_PlanFinish,RoadmapMilestones[[#This Row],[_Task]])))</f>
        <v/>
      </c>
      <c r="F33" s="39" t="str">
        <f aca="false">IF(RoadmapMilestones[[#This Row],[_Task]]="","",IF(N(INDEX(tsk_Deadline,RoadmapMilestones[[#This Row],[_Task]]))=0,"",INDEX(tsk_Deadline,RoadmapMilestones[[#This Row],[_Task]])))</f>
        <v/>
      </c>
      <c r="G33" s="39" t="str">
        <f aca="false">IF(RoadmapMilestones[[#This Row],[_Task]]="","",IF(N(INDEX(tsk_FcFinish,RoadmapMilestones[[#This Row],[_Task]]))=0,"",INDEX(tsk_FcFinish,RoadmapMilestones[[#This Row],[_Task]])))</f>
        <v/>
      </c>
      <c r="H33" s="30" t="str">
        <f aca="false">IF(RoadmapMilestones[[#This Row],[_Task]]="","",INDEX(tsk_DeadlineCheck,RoadmapMilestones[[#This Row],[_Task]])&amp;"")</f>
        <v/>
      </c>
      <c r="I33" s="30" t="str">
        <f aca="false">IF(RoadmapMilestones[[#This Row],[_Task]]="","",INDEX(tsk_Status,RoadmapMilestones[[#This Row],[_Task]])&amp;"")</f>
        <v/>
      </c>
      <c r="J33" s="41" t="str">
        <f aca="false">IF(RoadmapMilestones[[#This Row],[_Task]]="","",INDEX(tsk_Variance,RoadmapMilestones[[#This Row],[_Task]]))</f>
        <v/>
      </c>
    </row>
    <row r="34" customFormat="false" ht="15" hidden="false" customHeight="false" outlineLevel="0" collapsed="false">
      <c r="B34" s="38" t="str">
        <f aca="false">IFERROR(MATCH(SMALL(tsk_MilestoneOrder,ROW()-ROW(RoadmapMilestones[[#Headers],[_Task]])),tsk_MilestoneOrder,0),"")</f>
        <v/>
      </c>
      <c r="C34" s="30" t="str">
        <f aca="false">IF(RoadmapMilestones[[#This Row],[_Task]]="","",INDEX(tsk_WBS,RoadmapMilestones[[#This Row],[_Task]])&amp;"")</f>
        <v/>
      </c>
      <c r="D34" s="30" t="str">
        <f aca="false">IF(RoadmapMilestones[[#This Row],[_Task]]="","",INDEX(tsk_Name,RoadmapMilestones[[#This Row],[_Task]])&amp;"")</f>
        <v/>
      </c>
      <c r="E34" s="39" t="str">
        <f aca="false">IF(RoadmapMilestones[[#This Row],[_Task]]="","",IF(N(INDEX(tsk_PlanFinish,RoadmapMilestones[[#This Row],[_Task]]))=0,"",INDEX(tsk_PlanFinish,RoadmapMilestones[[#This Row],[_Task]])))</f>
        <v/>
      </c>
      <c r="F34" s="39" t="str">
        <f aca="false">IF(RoadmapMilestones[[#This Row],[_Task]]="","",IF(N(INDEX(tsk_Deadline,RoadmapMilestones[[#This Row],[_Task]]))=0,"",INDEX(tsk_Deadline,RoadmapMilestones[[#This Row],[_Task]])))</f>
        <v/>
      </c>
      <c r="G34" s="39" t="str">
        <f aca="false">IF(RoadmapMilestones[[#This Row],[_Task]]="","",IF(N(INDEX(tsk_FcFinish,RoadmapMilestones[[#This Row],[_Task]]))=0,"",INDEX(tsk_FcFinish,RoadmapMilestones[[#This Row],[_Task]])))</f>
        <v/>
      </c>
      <c r="H34" s="30" t="str">
        <f aca="false">IF(RoadmapMilestones[[#This Row],[_Task]]="","",INDEX(tsk_DeadlineCheck,RoadmapMilestones[[#This Row],[_Task]])&amp;"")</f>
        <v/>
      </c>
      <c r="I34" s="30" t="str">
        <f aca="false">IF(RoadmapMilestones[[#This Row],[_Task]]="","",INDEX(tsk_Status,RoadmapMilestones[[#This Row],[_Task]])&amp;"")</f>
        <v/>
      </c>
      <c r="J34" s="41" t="str">
        <f aca="false">IF(RoadmapMilestones[[#This Row],[_Task]]="","",INDEX(tsk_Variance,RoadmapMilestones[[#This Row],[_Task]]))</f>
        <v/>
      </c>
    </row>
    <row r="35" customFormat="false" ht="15" hidden="false" customHeight="false" outlineLevel="0" collapsed="false">
      <c r="B35" s="38" t="str">
        <f aca="false">IFERROR(MATCH(SMALL(tsk_MilestoneOrder,ROW()-ROW(RoadmapMilestones[[#Headers],[_Task]])),tsk_MilestoneOrder,0),"")</f>
        <v/>
      </c>
      <c r="C35" s="30" t="str">
        <f aca="false">IF(RoadmapMilestones[[#This Row],[_Task]]="","",INDEX(tsk_WBS,RoadmapMilestones[[#This Row],[_Task]])&amp;"")</f>
        <v/>
      </c>
      <c r="D35" s="30" t="str">
        <f aca="false">IF(RoadmapMilestones[[#This Row],[_Task]]="","",INDEX(tsk_Name,RoadmapMilestones[[#This Row],[_Task]])&amp;"")</f>
        <v/>
      </c>
      <c r="E35" s="39" t="str">
        <f aca="false">IF(RoadmapMilestones[[#This Row],[_Task]]="","",IF(N(INDEX(tsk_PlanFinish,RoadmapMilestones[[#This Row],[_Task]]))=0,"",INDEX(tsk_PlanFinish,RoadmapMilestones[[#This Row],[_Task]])))</f>
        <v/>
      </c>
      <c r="F35" s="39" t="str">
        <f aca="false">IF(RoadmapMilestones[[#This Row],[_Task]]="","",IF(N(INDEX(tsk_Deadline,RoadmapMilestones[[#This Row],[_Task]]))=0,"",INDEX(tsk_Deadline,RoadmapMilestones[[#This Row],[_Task]])))</f>
        <v/>
      </c>
      <c r="G35" s="39" t="str">
        <f aca="false">IF(RoadmapMilestones[[#This Row],[_Task]]="","",IF(N(INDEX(tsk_FcFinish,RoadmapMilestones[[#This Row],[_Task]]))=0,"",INDEX(tsk_FcFinish,RoadmapMilestones[[#This Row],[_Task]])))</f>
        <v/>
      </c>
      <c r="H35" s="30" t="str">
        <f aca="false">IF(RoadmapMilestones[[#This Row],[_Task]]="","",INDEX(tsk_DeadlineCheck,RoadmapMilestones[[#This Row],[_Task]])&amp;"")</f>
        <v/>
      </c>
      <c r="I35" s="30" t="str">
        <f aca="false">IF(RoadmapMilestones[[#This Row],[_Task]]="","",INDEX(tsk_Status,RoadmapMilestones[[#This Row],[_Task]])&amp;"")</f>
        <v/>
      </c>
      <c r="J35" s="41" t="str">
        <f aca="false">IF(RoadmapMilestones[[#This Row],[_Task]]="","",INDEX(tsk_Variance,RoadmapMilestones[[#This Row],[_Task]]))</f>
        <v/>
      </c>
    </row>
    <row r="37" customFormat="false" ht="15" hidden="false" customHeight="false" outlineLevel="0" collapsed="false">
      <c r="C37" s="42"/>
      <c r="D37" s="43" t="s">
        <v>162</v>
      </c>
      <c r="E37" s="44"/>
      <c r="F37" s="43" t="s">
        <v>164</v>
      </c>
      <c r="G37" s="45"/>
      <c r="H37" s="43" t="s">
        <v>165</v>
      </c>
      <c r="I37" s="46"/>
      <c r="J37" s="43" t="s">
        <v>166</v>
      </c>
    </row>
    <row r="38" customFormat="false" ht="15" hidden="false" customHeight="false" outlineLevel="0" collapsed="false">
      <c r="C38" s="47"/>
      <c r="D38" s="43" t="s">
        <v>159</v>
      </c>
      <c r="E38" s="48"/>
      <c r="F38" s="43" t="s">
        <v>167</v>
      </c>
      <c r="G38" s="49"/>
      <c r="H38" s="43" t="s">
        <v>168</v>
      </c>
    </row>
    <row r="39" customFormat="false" ht="15" hidden="false" customHeight="false" outlineLevel="0" collapsed="false">
      <c r="C39" s="2" t="s">
        <v>169</v>
      </c>
    </row>
  </sheetData>
  <conditionalFormatting sqref="L8:AC17">
    <cfRule type="expression" priority="2" aboveAverage="0" equalAverage="0" bottom="0" percent="0" rank="0" text="" dxfId="19">
      <formula>AND(AND(ISNUMBER($G8),ISNUMBER($H8),L$5&lt;=$H8,EDATE(L$5,1)&gt;$G8),N($I8)&gt;0,L$5&lt;$G8+($H8-$G8+1)*N($I8))</formula>
    </cfRule>
    <cfRule type="expression" priority="3" aboveAverage="0" equalAverage="0" bottom="0" percent="0" rank="0" text="" dxfId="20">
      <formula>AND(AND(ISNUMBER($G8),ISNUMBER($H8),L$5&lt;=$H8,EDATE(L$5,1)&gt;$G8),N($J8)&gt;0)</formula>
    </cfRule>
    <cfRule type="expression" priority="4" aboveAverage="0" equalAverage="0" bottom="0" percent="0" rank="0" text="" dxfId="21">
      <formula>AND(ISNUMBER($G8),ISNUMBER($H8),L$5&lt;=$H8,EDATE(L$5,1)&gt;$G8)</formula>
    </cfRule>
    <cfRule type="expression" priority="5" aboveAverage="0" equalAverage="0" bottom="0" percent="0" rank="0" text="" dxfId="22">
      <formula>AND(ISNUMBER($E8),ISNUMBER($F8),L$5&lt;=$F8,EDATE(L$5,1)&gt;$E8)</formula>
    </cfRule>
    <cfRule type="expression" priority="6" aboveAverage="0" equalAverage="0" bottom="0" percent="0" rank="0" text="" dxfId="23">
      <formula>AND(StatusDate&gt;=L$5,StatusDate&lt;EDATE(L$5,1))</formula>
    </cfRule>
  </conditionalFormatting>
  <conditionalFormatting sqref="L21:AC35">
    <cfRule type="expression" priority="7" aboveAverage="0" equalAverage="0" bottom="0" percent="0" rank="0" text="" dxfId="24">
      <formula>AND(AND(ISNUMBER($G21),$G21&gt;=L$5,$G21&lt;EDATE(L$5,1)),LEFT($H21,4)="Late")</formula>
    </cfRule>
    <cfRule type="expression" priority="8" aboveAverage="0" equalAverage="0" bottom="0" percent="0" rank="0" text="" dxfId="25">
      <formula>AND(ISNUMBER($G21),$G21&gt;=L$5,$G21&lt;EDATE(L$5,1))</formula>
    </cfRule>
    <cfRule type="expression" priority="9" aboveAverage="0" equalAverage="0" bottom="0" percent="0" rank="0" text="" dxfId="22">
      <formula>AND(ISNUMBER($E21),$E21&gt;=L$5,$E21&lt;EDATE(L$5,1))</formula>
    </cfRule>
    <cfRule type="expression" priority="10" aboveAverage="0" equalAverage="0" bottom="0" percent="0" rank="0" text="" dxfId="26">
      <formula>AND(ISNUMBER($F21),$F21&gt;=L$5,$F21&lt;EDATE(L$5,1))</formula>
    </cfRule>
    <cfRule type="expression" priority="11" aboveAverage="0" equalAverage="0" bottom="0" percent="0" rank="0" text="" dxfId="23">
      <formula>AND(StatusDate&gt;=L$5,StatusDate&lt;EDATE(L$5,1))</formula>
    </cfRule>
  </conditionalFormatting>
  <conditionalFormatting sqref="H21:H35">
    <cfRule type="expression" priority="12" aboveAverage="0" equalAverage="0" bottom="0" percent="0" rank="0" text="" dxfId="27">
      <formula>LEFT($H21,4)="Late"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32" t="str">
        <f aca="false">ProjectName&amp;"  -  Status Report"</f>
        <v>New Project  -  Status Report</v>
      </c>
    </row>
    <row r="2" customFormat="false" ht="15" hidden="false" customHeight="false" outlineLevel="0" collapsed="false">
      <c r="B2" s="2" t="str">
        <f aca="false">"Status date "&amp;TEXT(StatusDate,"ddd dd-mmm-yyyy")&amp;"   Project manager: "&amp;ProjectManager&amp;"   Forecast finish "&amp;TEXT(ProjectFinish,"ddd dd-mmm-yyyy")&amp;" ("&amp;TEXT(FinishVarianceDays,"+0;-0;0")&amp;" working days vs plan)"</f>
        <v>Status date Sun 31-Dec-1899   Project manager:    Forecast finish Sat 30-Dec-1899 (-1 working days vs plan)</v>
      </c>
    </row>
    <row r="4" customFormat="false" ht="15" hidden="false" customHeight="false" outlineLevel="0" collapsed="false">
      <c r="B4" s="15" t="s">
        <v>170</v>
      </c>
      <c r="C4" s="15" t="s">
        <v>171</v>
      </c>
      <c r="D4" s="15" t="s">
        <v>119</v>
      </c>
      <c r="E4" s="15" t="s">
        <v>172</v>
      </c>
      <c r="F4" s="50" t="s">
        <v>173</v>
      </c>
      <c r="G4" s="15" t="s">
        <v>174</v>
      </c>
      <c r="H4" s="50" t="s">
        <v>175</v>
      </c>
    </row>
    <row r="5" customFormat="false" ht="15" hidden="false" customHeight="false" outlineLevel="0" collapsed="false">
      <c r="B5" s="16" t="s">
        <v>176</v>
      </c>
      <c r="C5" s="30" t="s">
        <v>177</v>
      </c>
      <c r="D5" s="30" t="str">
        <f aca="false">COUNTIF(StatusRAG[RAG],"Red")&amp;" red, "&amp;COUNTIF(StatusRAG[RAG],"Amber")&amp;" amber"</f>
        <v>0 red, 0 amber</v>
      </c>
      <c r="E5" s="51" t="str">
        <f aca="false">CHOOSE(MAX(IF(COUNTIF(StatusRAG[RAG],"Red")&gt;0,2,0),IF(COUNTIF(StatusRAG[RAG],"Amber")&gt;0,1,0))+1,"Green","Amber","Red")</f>
        <v>Green</v>
      </c>
      <c r="F5" s="52"/>
      <c r="G5" s="51" t="str">
        <f aca="false">IF(OverallStatus[[#This Row],[PM RAG]]&lt;&gt;"",OverallStatus[[#This Row],[PM RAG]],OverallStatus[[#This Row],[Calculated]])</f>
        <v>Green</v>
      </c>
      <c r="H5" s="53"/>
    </row>
    <row r="6" customFormat="false" ht="15" hidden="false" customHeight="false" outlineLevel="0" collapsed="false">
      <c r="B6" s="5"/>
    </row>
    <row r="7" customFormat="false" ht="15" hidden="false" customHeight="false" outlineLevel="0" collapsed="false">
      <c r="B7" s="54" t="s">
        <v>170</v>
      </c>
      <c r="C7" s="15" t="s">
        <v>171</v>
      </c>
      <c r="D7" s="15" t="s">
        <v>119</v>
      </c>
      <c r="E7" s="15" t="s">
        <v>172</v>
      </c>
      <c r="F7" s="50" t="s">
        <v>173</v>
      </c>
      <c r="G7" s="15" t="s">
        <v>174</v>
      </c>
      <c r="H7" s="50" t="s">
        <v>175</v>
      </c>
    </row>
    <row r="8" customFormat="false" ht="15" hidden="false" customHeight="false" outlineLevel="0" collapsed="false">
      <c r="B8" s="16" t="s">
        <v>178</v>
      </c>
      <c r="C8" s="30" t="s">
        <v>179</v>
      </c>
      <c r="D8" s="55" t="n">
        <f aca="false">FinishVarianceDays</f>
        <v>-1</v>
      </c>
      <c r="E8" s="51" t="str">
        <f aca="false">CHOOSE(IF(N(StatusRAG[[#This Row],[Value]])&gt;=RAGRedSlipDays,2,IF(N(StatusRAG[[#This Row],[Value]])&gt;=RAGAmberSlipDays,1,0))+1,"Green","Amber","Red")</f>
        <v>Green</v>
      </c>
      <c r="F8" s="52"/>
      <c r="G8" s="51" t="str">
        <f aca="false">IF(StatusRAG[[#This Row],[PM RAG]]&lt;&gt;"",StatusRAG[[#This Row],[PM RAG]],StatusRAG[[#This Row],[Calculated]])</f>
        <v>Green</v>
      </c>
      <c r="H8" s="53"/>
    </row>
    <row r="9" customFormat="false" ht="15" hidden="false" customHeight="false" outlineLevel="0" collapsed="false">
      <c r="B9" s="16" t="s">
        <v>180</v>
      </c>
      <c r="C9" s="30" t="s">
        <v>181</v>
      </c>
      <c r="D9" s="56" t="str">
        <f aca="false">evm_SPI</f>
        <v/>
      </c>
      <c r="E9" s="51" t="str">
        <f aca="false">CHOOSE(IF(ISNUMBER(StatusRAG[[#This Row],[Value]]),IF(StatusRAG[[#This Row],[Value]]&lt;RAGRedIndex,2,IF(StatusRAG[[#This Row],[Value]]&lt;RAGAmberIndex,1,0)),0)+1,"Green","Amber","Red")</f>
        <v>Green</v>
      </c>
      <c r="F9" s="52"/>
      <c r="G9" s="51" t="str">
        <f aca="false">IF(StatusRAG[[#This Row],[PM RAG]]&lt;&gt;"",StatusRAG[[#This Row],[PM RAG]],StatusRAG[[#This Row],[Calculated]])</f>
        <v>Green</v>
      </c>
      <c r="H9" s="53"/>
    </row>
    <row r="10" customFormat="false" ht="15" hidden="false" customHeight="false" outlineLevel="0" collapsed="false">
      <c r="B10" s="16" t="s">
        <v>182</v>
      </c>
      <c r="C10" s="30" t="s">
        <v>183</v>
      </c>
      <c r="D10" s="56" t="str">
        <f aca="false">evm_CPI</f>
        <v/>
      </c>
      <c r="E10" s="51" t="str">
        <f aca="false">CHOOSE(IF(ISNUMBER(StatusRAG[[#This Row],[Value]]),IF(StatusRAG[[#This Row],[Value]]&lt;RAGRedIndex,2,IF(StatusRAG[[#This Row],[Value]]&lt;RAGAmberIndex,1,0)),0)+1,"Green","Amber","Red")</f>
        <v>Green</v>
      </c>
      <c r="F10" s="52"/>
      <c r="G10" s="51" t="str">
        <f aca="false">IF(StatusRAG[[#This Row],[PM RAG]]&lt;&gt;"",StatusRAG[[#This Row],[PM RAG]],StatusRAG[[#This Row],[Calculated]])</f>
        <v>Green</v>
      </c>
      <c r="H10" s="53"/>
    </row>
    <row r="11" customFormat="false" ht="15" hidden="false" customHeight="false" outlineLevel="0" collapsed="false">
      <c r="B11" s="16" t="s">
        <v>184</v>
      </c>
      <c r="C11" s="30" t="s">
        <v>185</v>
      </c>
      <c r="D11" s="57" t="n">
        <f aca="false">COUNTIF(tsk_DeadlineCheck,"Late*")</f>
        <v>0</v>
      </c>
      <c r="E11" s="51" t="str">
        <f aca="false">CHOOSE(IF(N(StatusRAG[[#This Row],[Value]])&gt;0,2,0)+1,"Green","Amber","Red")</f>
        <v>Green</v>
      </c>
      <c r="F11" s="52"/>
      <c r="G11" s="51" t="str">
        <f aca="false">IF(StatusRAG[[#This Row],[PM RAG]]&lt;&gt;"",StatusRAG[[#This Row],[PM RAG]],StatusRAG[[#This Row],[Calculated]])</f>
        <v>Green</v>
      </c>
      <c r="H11" s="53"/>
    </row>
    <row r="12" customFormat="false" ht="15" hidden="false" customHeight="false" outlineLevel="0" collapsed="false">
      <c r="B12" s="16" t="s">
        <v>46</v>
      </c>
      <c r="C12" s="30" t="s">
        <v>186</v>
      </c>
      <c r="D12" s="57" t="n">
        <f aca="false">COUNTIFS(tsk_Critical,"Yes",tsk_IsLeaf,1,tsk_Variance,"&gt;0")</f>
        <v>0</v>
      </c>
      <c r="E12" s="51" t="str">
        <f aca="false">CHOOSE(IF(N(StatusRAG[[#This Row],[Value]])&gt;0,1,0)+1,"Green","Amber","Red")</f>
        <v>Green</v>
      </c>
      <c r="F12" s="52"/>
      <c r="G12" s="51" t="str">
        <f aca="false">IF(StatusRAG[[#This Row],[PM RAG]]&lt;&gt;"",StatusRAG[[#This Row],[PM RAG]],StatusRAG[[#This Row],[Calculated]])</f>
        <v>Green</v>
      </c>
      <c r="H12" s="53"/>
    </row>
    <row r="13" customFormat="false" ht="15" hidden="false" customHeight="false" outlineLevel="0" collapsed="false">
      <c r="B13" s="16" t="s">
        <v>187</v>
      </c>
      <c r="C13" s="30" t="s">
        <v>188</v>
      </c>
      <c r="D13" s="57" t="n">
        <f aca="false">COUNTIFS(raid_Rating,"High",raid_Status,"&lt;&gt;Closed")</f>
        <v>0</v>
      </c>
      <c r="E13" s="51" t="str">
        <f aca="false">CHOOSE(IF(N(StatusRAG[[#This Row],[Value]])&gt;0,1,0)+1,"Green","Amber","Red")</f>
        <v>Green</v>
      </c>
      <c r="F13" s="52"/>
      <c r="G13" s="51" t="str">
        <f aca="false">IF(StatusRAG[[#This Row],[PM RAG]]&lt;&gt;"",StatusRAG[[#This Row],[PM RAG]],StatusRAG[[#This Row],[Calculated]])</f>
        <v>Green</v>
      </c>
      <c r="H13" s="53"/>
    </row>
    <row r="14" customFormat="false" ht="15" hidden="false" customHeight="false" outlineLevel="0" collapsed="false">
      <c r="B14" s="16" t="s">
        <v>189</v>
      </c>
      <c r="C14" s="30" t="s">
        <v>190</v>
      </c>
      <c r="D14" s="57" t="n">
        <f aca="false">COUNTIF(tsk_LinkCheck,"?*")+COUNTIF(tsk_WBS,"~?")</f>
        <v>0</v>
      </c>
      <c r="E14" s="51" t="str">
        <f aca="false">CHOOSE(IF(N(StatusRAG[[#This Row],[Value]])&gt;0,1,0)+1,"Green","Amber","Red")</f>
        <v>Green</v>
      </c>
      <c r="F14" s="52"/>
      <c r="G14" s="51" t="str">
        <f aca="false">IF(StatusRAG[[#This Row],[PM RAG]]&lt;&gt;"",StatusRAG[[#This Row],[PM RAG]],StatusRAG[[#This Row],[Calculated]])</f>
        <v>Green</v>
      </c>
      <c r="H14" s="53"/>
    </row>
    <row r="16" customFormat="false" ht="15" hidden="false" customHeight="false" outlineLevel="0" collapsed="false">
      <c r="B16" s="36" t="s">
        <v>191</v>
      </c>
    </row>
    <row r="17" customFormat="false" ht="15" hidden="false" customHeight="false" outlineLevel="0" collapsed="false">
      <c r="B17" s="15" t="s">
        <v>171</v>
      </c>
      <c r="C17" s="15" t="s">
        <v>192</v>
      </c>
      <c r="D17" s="15" t="s">
        <v>119</v>
      </c>
    </row>
    <row r="18" customFormat="false" ht="15" hidden="false" customHeight="false" outlineLevel="0" collapsed="false">
      <c r="B18" s="30" t="s">
        <v>193</v>
      </c>
      <c r="C18" s="30" t="s">
        <v>194</v>
      </c>
      <c r="D18" s="58" t="n">
        <f aca="false">SUM(tsk_LeafBudget)</f>
        <v>0</v>
      </c>
    </row>
    <row r="19" customFormat="false" ht="15" hidden="false" customHeight="false" outlineLevel="0" collapsed="false">
      <c r="B19" s="30" t="s">
        <v>195</v>
      </c>
      <c r="C19" s="30" t="s">
        <v>196</v>
      </c>
      <c r="D19" s="58" t="n">
        <f aca="false">SUM(tsk_LeafPV)</f>
        <v>0</v>
      </c>
    </row>
    <row r="20" customFormat="false" ht="15" hidden="false" customHeight="false" outlineLevel="0" collapsed="false">
      <c r="B20" s="30" t="s">
        <v>197</v>
      </c>
      <c r="C20" s="30" t="s">
        <v>198</v>
      </c>
      <c r="D20" s="58" t="n">
        <f aca="false">SUM(tsk_LeafEV)</f>
        <v>0</v>
      </c>
    </row>
    <row r="21" customFormat="false" ht="15" hidden="false" customHeight="false" outlineLevel="0" collapsed="false">
      <c r="B21" s="30" t="s">
        <v>199</v>
      </c>
      <c r="C21" s="30" t="s">
        <v>200</v>
      </c>
      <c r="D21" s="58" t="n">
        <f aca="false">SUM(tsk_LeafAC)</f>
        <v>0</v>
      </c>
    </row>
    <row r="22" customFormat="false" ht="15" hidden="false" customHeight="false" outlineLevel="0" collapsed="false">
      <c r="B22" s="30" t="s">
        <v>201</v>
      </c>
      <c r="C22" s="30" t="s">
        <v>202</v>
      </c>
      <c r="D22" s="58" t="n">
        <f aca="false">evm_EV-evm_PV</f>
        <v>0</v>
      </c>
    </row>
    <row r="23" customFormat="false" ht="15" hidden="false" customHeight="false" outlineLevel="0" collapsed="false">
      <c r="B23" s="30" t="s">
        <v>203</v>
      </c>
      <c r="C23" s="30" t="s">
        <v>204</v>
      </c>
      <c r="D23" s="58" t="n">
        <f aca="false">evm_EV-evm_AC</f>
        <v>0</v>
      </c>
    </row>
    <row r="24" customFormat="false" ht="15" hidden="false" customHeight="false" outlineLevel="0" collapsed="false">
      <c r="B24" s="30" t="s">
        <v>205</v>
      </c>
      <c r="C24" s="30" t="s">
        <v>206</v>
      </c>
      <c r="D24" s="59" t="str">
        <f aca="false">IF(evm_PV&gt;0,evm_EV/evm_PV,"")</f>
        <v/>
      </c>
    </row>
    <row r="25" customFormat="false" ht="15" hidden="false" customHeight="false" outlineLevel="0" collapsed="false">
      <c r="B25" s="30" t="s">
        <v>207</v>
      </c>
      <c r="C25" s="30" t="s">
        <v>208</v>
      </c>
      <c r="D25" s="59" t="str">
        <f aca="false">IF(evm_AC&gt;0,evm_EV/evm_AC,"")</f>
        <v/>
      </c>
    </row>
    <row r="26" customFormat="false" ht="15" hidden="false" customHeight="false" outlineLevel="0" collapsed="false">
      <c r="B26" s="30" t="s">
        <v>209</v>
      </c>
      <c r="C26" s="30" t="s">
        <v>210</v>
      </c>
      <c r="D26" s="58" t="n">
        <f aca="false">IF(N(evm_CPI)&gt;0,evm_AC+(evm_BAC-evm_EV)/evm_CPI,evm_AC+evm_BAC-evm_EV)</f>
        <v>0</v>
      </c>
    </row>
    <row r="27" customFormat="false" ht="15" hidden="false" customHeight="false" outlineLevel="0" collapsed="false">
      <c r="B27" s="30" t="s">
        <v>211</v>
      </c>
      <c r="C27" s="30" t="s">
        <v>212</v>
      </c>
      <c r="D27" s="58" t="n">
        <f aca="false">evm_EAC-evm_AC</f>
        <v>0</v>
      </c>
    </row>
    <row r="28" customFormat="false" ht="15" hidden="false" customHeight="false" outlineLevel="0" collapsed="false">
      <c r="B28" s="30" t="s">
        <v>213</v>
      </c>
      <c r="C28" s="30" t="s">
        <v>214</v>
      </c>
      <c r="D28" s="58" t="n">
        <f aca="false">evm_BAC-evm_EAC</f>
        <v>0</v>
      </c>
    </row>
    <row r="29" customFormat="false" ht="15" hidden="false" customHeight="false" outlineLevel="0" collapsed="false">
      <c r="B29" s="30" t="s">
        <v>215</v>
      </c>
      <c r="C29" s="30" t="s">
        <v>216</v>
      </c>
      <c r="D29" s="59" t="str">
        <f aca="false">IF(evm_BAC&gt;evm_AC,(evm_BAC-evm_EV)/(evm_BAC-evm_AC),"")</f>
        <v/>
      </c>
    </row>
    <row r="30" customFormat="false" ht="15" hidden="false" customHeight="false" outlineLevel="0" collapsed="false">
      <c r="B30" s="30" t="s">
        <v>217</v>
      </c>
      <c r="C30" s="30" t="s">
        <v>218</v>
      </c>
      <c r="D30" s="60" t="n">
        <f aca="false">IF(evm_BAC&gt;0,evm_EV/evm_BAC,0)</f>
        <v>0</v>
      </c>
    </row>
    <row r="31" customFormat="false" ht="15" hidden="false" customHeight="false" outlineLevel="0" collapsed="false">
      <c r="B31" s="30" t="s">
        <v>219</v>
      </c>
      <c r="C31" s="30" t="s">
        <v>220</v>
      </c>
      <c r="D31" s="60" t="n">
        <f aca="false">IF(evm_BAC&gt;0,evm_PV/evm_BAC,0)</f>
        <v>0</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0</v>
      </c>
    </row>
    <row r="34" customFormat="false" ht="35.05" hidden="false" customHeight="false" outlineLevel="0" collapsed="false">
      <c r="A34" s="37" t="s">
        <v>151</v>
      </c>
      <c r="B34" s="15" t="s">
        <v>221</v>
      </c>
      <c r="C34" s="15" t="s">
        <v>222</v>
      </c>
      <c r="D34" s="15" t="s">
        <v>223</v>
      </c>
      <c r="E34" s="15" t="s">
        <v>224</v>
      </c>
      <c r="F34" s="15" t="s">
        <v>225</v>
      </c>
      <c r="G34" s="15" t="s">
        <v>226</v>
      </c>
      <c r="H34" s="15" t="s">
        <v>227</v>
      </c>
    </row>
    <row r="35" customFormat="false" ht="15" hidden="false" customHeight="false" outlineLevel="0" collapsed="false">
      <c r="A35" s="38" t="str">
        <f aca="false">IFERROR(MATCH(LARGE(raid_TopKey,ROW()-ROW(TopRAID[[#Headers],[_Task]])),raid_TopKey,0),"")</f>
        <v/>
      </c>
      <c r="B35" s="30" t="str">
        <f aca="false">IF(TopRAID[[#This Row],[_Task]]="","",INDEX(raid_Label,TopRAID[[#This Row],[_Task]])&amp;"")</f>
        <v/>
      </c>
      <c r="C35" s="30" t="str">
        <f aca="false">IF(TopRAID[[#This Row],[_Task]]="","",INDEX(raid_Response,TopRAID[[#This Row],[_Task]])&amp;"")</f>
        <v/>
      </c>
      <c r="D35" s="30" t="str">
        <f aca="false">IF(TopRAID[[#This Row],[_Task]]="","",INDEX(raid_Owner,TopRAID[[#This Row],[_Task]])&amp;"")</f>
        <v/>
      </c>
      <c r="E35" s="39" t="str">
        <f aca="false">IF(TopRAID[[#This Row],[_Task]]="","",IF(N(INDEX(raid_Due,TopRAID[[#This Row],[_Task]]))=0,"",INDEX(raid_Due,TopRAID[[#This Row],[_Task]])))</f>
        <v/>
      </c>
      <c r="F35" s="51" t="str">
        <f aca="false">IF(TopRAID[[#This Row],[_Task]]="","",INDEX(raid_Score,TopRAID[[#This Row],[_Task]]))</f>
        <v/>
      </c>
      <c r="G35" s="30" t="str">
        <f aca="false">IF(TopRAID[[#This Row],[_Task]]="","",INDEX(raid_Rating,TopRAID[[#This Row],[_Task]])&amp;"")</f>
        <v/>
      </c>
      <c r="H35" s="30" t="str">
        <f aca="false">IF(TopRAID[[#This Row],[_Task]]="","",INDEX(raid_Task,TopRAID[[#This Row],[_Task]])&amp;"")</f>
        <v/>
      </c>
    </row>
    <row r="36" customFormat="false" ht="15" hidden="false" customHeight="false" outlineLevel="0" collapsed="false">
      <c r="A36" s="38" t="str">
        <f aca="false">IFERROR(MATCH(LARGE(raid_TopKey,ROW()-ROW(TopRAID[[#Headers],[_Task]])),raid_TopKey,0),"")</f>
        <v/>
      </c>
      <c r="B36" s="30" t="str">
        <f aca="false">IF(TopRAID[[#This Row],[_Task]]="","",INDEX(raid_Label,TopRAID[[#This Row],[_Task]])&amp;"")</f>
        <v/>
      </c>
      <c r="C36" s="30" t="str">
        <f aca="false">IF(TopRAID[[#This Row],[_Task]]="","",INDEX(raid_Response,TopRAID[[#This Row],[_Task]])&amp;"")</f>
        <v/>
      </c>
      <c r="D36" s="30" t="str">
        <f aca="false">IF(TopRAID[[#This Row],[_Task]]="","",INDEX(raid_Owner,TopRAID[[#This Row],[_Task]])&amp;"")</f>
        <v/>
      </c>
      <c r="E36" s="39" t="str">
        <f aca="false">IF(TopRAID[[#This Row],[_Task]]="","",IF(N(INDEX(raid_Due,TopRAID[[#This Row],[_Task]]))=0,"",INDEX(raid_Due,TopRAID[[#This Row],[_Task]])))</f>
        <v/>
      </c>
      <c r="F36" s="51" t="str">
        <f aca="false">IF(TopRAID[[#This Row],[_Task]]="","",INDEX(raid_Score,TopRAID[[#This Row],[_Task]]))</f>
        <v/>
      </c>
      <c r="G36" s="30" t="str">
        <f aca="false">IF(TopRAID[[#This Row],[_Task]]="","",INDEX(raid_Rating,TopRAID[[#This Row],[_Task]])&amp;"")</f>
        <v/>
      </c>
      <c r="H36" s="30" t="str">
        <f aca="false">IF(TopRAID[[#This Row],[_Task]]="","",INDEX(raid_Task,TopRAID[[#This Row],[_Task]])&amp;"")</f>
        <v/>
      </c>
    </row>
    <row r="37" customFormat="false" ht="15" hidden="false" customHeight="false" outlineLevel="0" collapsed="false">
      <c r="A37" s="38" t="str">
        <f aca="false">IFERROR(MATCH(LARGE(raid_TopKey,ROW()-ROW(TopRAID[[#Headers],[_Task]])),raid_TopKey,0),"")</f>
        <v/>
      </c>
      <c r="B37" s="30" t="str">
        <f aca="false">IF(TopRAID[[#This Row],[_Task]]="","",INDEX(raid_Label,TopRAID[[#This Row],[_Task]])&amp;"")</f>
        <v/>
      </c>
      <c r="C37" s="30" t="str">
        <f aca="false">IF(TopRAID[[#This Row],[_Task]]="","",INDEX(raid_Response,TopRAID[[#This Row],[_Task]])&amp;"")</f>
        <v/>
      </c>
      <c r="D37" s="30" t="str">
        <f aca="false">IF(TopRAID[[#This Row],[_Task]]="","",INDEX(raid_Owner,TopRAID[[#This Row],[_Task]])&amp;"")</f>
        <v/>
      </c>
      <c r="E37" s="39" t="str">
        <f aca="false">IF(TopRAID[[#This Row],[_Task]]="","",IF(N(INDEX(raid_Due,TopRAID[[#This Row],[_Task]]))=0,"",INDEX(raid_Due,TopRAID[[#This Row],[_Task]])))</f>
        <v/>
      </c>
      <c r="F37" s="51" t="str">
        <f aca="false">IF(TopRAID[[#This Row],[_Task]]="","",INDEX(raid_Score,TopRAID[[#This Row],[_Task]]))</f>
        <v/>
      </c>
      <c r="G37" s="30" t="str">
        <f aca="false">IF(TopRAID[[#This Row],[_Task]]="","",INDEX(raid_Rating,TopRAID[[#This Row],[_Task]])&amp;"")</f>
        <v/>
      </c>
      <c r="H37" s="30" t="str">
        <f aca="false">IF(TopRAID[[#This Row],[_Task]]="","",INDEX(raid_Task,TopRAID[[#This Row],[_Task]])&amp;"")</f>
        <v/>
      </c>
    </row>
    <row r="38" customFormat="false" ht="15" hidden="false" customHeight="false" outlineLevel="0" collapsed="false">
      <c r="A38" s="38" t="str">
        <f aca="false">IFERROR(MATCH(LARGE(raid_TopKey,ROW()-ROW(TopRAID[[#Headers],[_Task]])),raid_TopKey,0),"")</f>
        <v/>
      </c>
      <c r="B38" s="30" t="str">
        <f aca="false">IF(TopRAID[[#This Row],[_Task]]="","",INDEX(raid_Label,TopRAID[[#This Row],[_Task]])&amp;"")</f>
        <v/>
      </c>
      <c r="C38" s="30" t="str">
        <f aca="false">IF(TopRAID[[#This Row],[_Task]]="","",INDEX(raid_Response,TopRAID[[#This Row],[_Task]])&amp;"")</f>
        <v/>
      </c>
      <c r="D38" s="30" t="str">
        <f aca="false">IF(TopRAID[[#This Row],[_Task]]="","",INDEX(raid_Owner,TopRAID[[#This Row],[_Task]])&amp;"")</f>
        <v/>
      </c>
      <c r="E38" s="39" t="str">
        <f aca="false">IF(TopRAID[[#This Row],[_Task]]="","",IF(N(INDEX(raid_Due,TopRAID[[#This Row],[_Task]]))=0,"",INDEX(raid_Due,TopRAID[[#This Row],[_Task]])))</f>
        <v/>
      </c>
      <c r="F38" s="51" t="str">
        <f aca="false">IF(TopRAID[[#This Row],[_Task]]="","",INDEX(raid_Score,TopRAID[[#This Row],[_Task]]))</f>
        <v/>
      </c>
      <c r="G38" s="30" t="str">
        <f aca="false">IF(TopRAID[[#This Row],[_Task]]="","",INDEX(raid_Rating,TopRAID[[#This Row],[_Task]])&amp;"")</f>
        <v/>
      </c>
      <c r="H38" s="30" t="str">
        <f aca="false">IF(TopRAID[[#This Row],[_Task]]="","",INDEX(raid_Task,TopRAID[[#This Row],[_Task]])&amp;"")</f>
        <v/>
      </c>
    </row>
    <row r="39" customFormat="false" ht="15" hidden="false" customHeight="false" outlineLevel="0" collapsed="false">
      <c r="A39" s="38" t="str">
        <f aca="false">IFERROR(MATCH(LARGE(raid_TopKey,ROW()-ROW(TopRAID[[#Headers],[_Task]])),raid_TopKey,0),"")</f>
        <v/>
      </c>
      <c r="B39" s="30" t="str">
        <f aca="false">IF(TopRAID[[#This Row],[_Task]]="","",INDEX(raid_Label,TopRAID[[#This Row],[_Task]])&amp;"")</f>
        <v/>
      </c>
      <c r="C39" s="30" t="str">
        <f aca="false">IF(TopRAID[[#This Row],[_Task]]="","",INDEX(raid_Response,TopRAID[[#This Row],[_Task]])&amp;"")</f>
        <v/>
      </c>
      <c r="D39" s="30" t="str">
        <f aca="false">IF(TopRAID[[#This Row],[_Task]]="","",INDEX(raid_Owner,TopRAID[[#This Row],[_Task]])&amp;"")</f>
        <v/>
      </c>
      <c r="E39" s="39" t="str">
        <f aca="false">IF(TopRAID[[#This Row],[_Task]]="","",IF(N(INDEX(raid_Due,TopRAID[[#This Row],[_Task]]))=0,"",INDEX(raid_Due,TopRAID[[#This Row],[_Task]])))</f>
        <v/>
      </c>
      <c r="F39" s="51" t="str">
        <f aca="false">IF(TopRAID[[#This Row],[_Task]]="","",INDEX(raid_Score,TopRAID[[#This Row],[_Task]]))</f>
        <v/>
      </c>
      <c r="G39" s="30" t="str">
        <f aca="false">IF(TopRAID[[#This Row],[_Task]]="","",INDEX(raid_Rating,TopRAID[[#This Row],[_Task]])&amp;"")</f>
        <v/>
      </c>
      <c r="H39" s="30" t="str">
        <f aca="false">IF(TopRAID[[#This Row],[_Task]]="","",INDEX(raid_Task,TopRAID[[#This Row],[_Task]])&amp;"")</f>
        <v/>
      </c>
    </row>
    <row r="40" customFormat="false" ht="15" hidden="false" customHeight="false" outlineLevel="0" collapsed="false">
      <c r="A40" s="38" t="str">
        <f aca="false">IFERROR(MATCH(LARGE(raid_TopKey,ROW()-ROW(TopRAID[[#Headers],[_Task]])),raid_TopKey,0),"")</f>
        <v/>
      </c>
      <c r="B40" s="30" t="str">
        <f aca="false">IF(TopRAID[[#This Row],[_Task]]="","",INDEX(raid_Label,TopRAID[[#This Row],[_Task]])&amp;"")</f>
        <v/>
      </c>
      <c r="C40" s="30" t="str">
        <f aca="false">IF(TopRAID[[#This Row],[_Task]]="","",INDEX(raid_Response,TopRAID[[#This Row],[_Task]])&amp;"")</f>
        <v/>
      </c>
      <c r="D40" s="30" t="str">
        <f aca="false">IF(TopRAID[[#This Row],[_Task]]="","",INDEX(raid_Owner,TopRAID[[#This Row],[_Task]])&amp;"")</f>
        <v/>
      </c>
      <c r="E40" s="39" t="str">
        <f aca="false">IF(TopRAID[[#This Row],[_Task]]="","",IF(N(INDEX(raid_Due,TopRAID[[#This Row],[_Task]]))=0,"",INDEX(raid_Due,TopRAID[[#This Row],[_Task]])))</f>
        <v/>
      </c>
      <c r="F40" s="51" t="str">
        <f aca="false">IF(TopRAID[[#This Row],[_Task]]="","",INDEX(raid_Score,TopRAID[[#This Row],[_Task]]))</f>
        <v/>
      </c>
      <c r="G40" s="30" t="str">
        <f aca="false">IF(TopRAID[[#This Row],[_Task]]="","",INDEX(raid_Rating,TopRAID[[#This Row],[_Task]])&amp;"")</f>
        <v/>
      </c>
      <c r="H40" s="30" t="str">
        <f aca="false">IF(TopRAID[[#This Row],[_Task]]="","",INDEX(raid_Task,TopRAID[[#This Row],[_Task]])&amp;"")</f>
        <v/>
      </c>
    </row>
    <row r="41" customFormat="false" ht="15" hidden="false" customHeight="false" outlineLevel="0" collapsed="false">
      <c r="A41" s="38" t="str">
        <f aca="false">IFERROR(MATCH(LARGE(raid_TopKey,ROW()-ROW(TopRAID[[#Headers],[_Task]])),raid_TopKey,0),"")</f>
        <v/>
      </c>
      <c r="B41" s="30" t="str">
        <f aca="false">IF(TopRAID[[#This Row],[_Task]]="","",INDEX(raid_Label,TopRAID[[#This Row],[_Task]])&amp;"")</f>
        <v/>
      </c>
      <c r="C41" s="30" t="str">
        <f aca="false">IF(TopRAID[[#This Row],[_Task]]="","",INDEX(raid_Response,TopRAID[[#This Row],[_Task]])&amp;"")</f>
        <v/>
      </c>
      <c r="D41" s="30" t="str">
        <f aca="false">IF(TopRAID[[#This Row],[_Task]]="","",INDEX(raid_Owner,TopRAID[[#This Row],[_Task]])&amp;"")</f>
        <v/>
      </c>
      <c r="E41" s="39" t="str">
        <f aca="false">IF(TopRAID[[#This Row],[_Task]]="","",IF(N(INDEX(raid_Due,TopRAID[[#This Row],[_Task]]))=0,"",INDEX(raid_Due,TopRAID[[#This Row],[_Task]])))</f>
        <v/>
      </c>
      <c r="F41" s="51" t="str">
        <f aca="false">IF(TopRAID[[#This Row],[_Task]]="","",INDEX(raid_Score,TopRAID[[#This Row],[_Task]]))</f>
        <v/>
      </c>
      <c r="G41" s="30" t="str">
        <f aca="false">IF(TopRAID[[#This Row],[_Task]]="","",INDEX(raid_Rating,TopRAID[[#This Row],[_Task]])&amp;"")</f>
        <v/>
      </c>
      <c r="H41" s="30" t="str">
        <f aca="false">IF(TopRAID[[#This Row],[_Task]]="","",INDEX(raid_Task,TopRAID[[#This Row],[_Task]])&amp;"")</f>
        <v/>
      </c>
    </row>
    <row r="42" customFormat="false" ht="15" hidden="false" customHeight="false" outlineLevel="0" collapsed="false">
      <c r="A42" s="38" t="str">
        <f aca="false">IFERROR(MATCH(LARGE(raid_TopKey,ROW()-ROW(TopRAID[[#Headers],[_Task]])),raid_TopKey,0),"")</f>
        <v/>
      </c>
      <c r="B42" s="30" t="str">
        <f aca="false">IF(TopRAID[[#This Row],[_Task]]="","",INDEX(raid_Label,TopRAID[[#This Row],[_Task]])&amp;"")</f>
        <v/>
      </c>
      <c r="C42" s="30" t="str">
        <f aca="false">IF(TopRAID[[#This Row],[_Task]]="","",INDEX(raid_Response,TopRAID[[#This Row],[_Task]])&amp;"")</f>
        <v/>
      </c>
      <c r="D42" s="30" t="str">
        <f aca="false">IF(TopRAID[[#This Row],[_Task]]="","",INDEX(raid_Owner,TopRAID[[#This Row],[_Task]])&amp;"")</f>
        <v/>
      </c>
      <c r="E42" s="39" t="str">
        <f aca="false">IF(TopRAID[[#This Row],[_Task]]="","",IF(N(INDEX(raid_Due,TopRAID[[#This Row],[_Task]]))=0,"",INDEX(raid_Due,TopRAID[[#This Row],[_Task]])))</f>
        <v/>
      </c>
      <c r="F42" s="51" t="str">
        <f aca="false">IF(TopRAID[[#This Row],[_Task]]="","",INDEX(raid_Score,TopRAID[[#This Row],[_Task]]))</f>
        <v/>
      </c>
      <c r="G42" s="30" t="str">
        <f aca="false">IF(TopRAID[[#This Row],[_Task]]="","",INDEX(raid_Rating,TopRAID[[#This Row],[_Task]])&amp;"")</f>
        <v/>
      </c>
      <c r="H42" s="30" t="str">
        <f aca="false">IF(TopRAID[[#This Row],[_Task]]="","",INDEX(raid_Task,TopRAID[[#This Row],[_Task]])&amp;"")</f>
        <v/>
      </c>
    </row>
    <row r="44" customFormat="false" ht="15" hidden="false" customHeight="false" outlineLevel="0" collapsed="false">
      <c r="B44" s="36" t="s">
        <v>228</v>
      </c>
    </row>
    <row r="45" customFormat="false" ht="15" hidden="false" customHeight="false" outlineLevel="0" collapsed="false">
      <c r="B45" s="15" t="s">
        <v>171</v>
      </c>
      <c r="C45" s="15" t="s">
        <v>229</v>
      </c>
      <c r="D45" s="15" t="s">
        <v>119</v>
      </c>
    </row>
    <row r="46" customFormat="false" ht="15" hidden="false" customHeight="false" outlineLevel="0" collapsed="false">
      <c r="B46" s="30" t="s">
        <v>148</v>
      </c>
      <c r="C46" s="30" t="s">
        <v>230</v>
      </c>
      <c r="D46" s="61" t="n">
        <f aca="false">COUNTIF(chg_Status,"Submitted")+COUNTIF(chg_Status,"Under Review")</f>
        <v>0</v>
      </c>
    </row>
    <row r="47" customFormat="false" ht="15" hidden="false" customHeight="false" outlineLevel="0" collapsed="false">
      <c r="B47" s="30" t="s">
        <v>231</v>
      </c>
      <c r="C47" s="30" t="s">
        <v>230</v>
      </c>
      <c r="D47" s="61" t="n">
        <f aca="false">COUNTIF(chg_Status,"Approved")+COUNTIF(chg_Status,"Implemented")</f>
        <v>0</v>
      </c>
    </row>
    <row r="48" customFormat="false" ht="15" hidden="false" customHeight="false" outlineLevel="0" collapsed="false">
      <c r="B48" s="30" t="s">
        <v>232</v>
      </c>
      <c r="C48" s="30" t="s">
        <v>230</v>
      </c>
      <c r="D48" s="62" t="n">
        <f aca="false">SUMIFS(chg_Days,chg_Status,"Approved")+SUMIFS(chg_Days,chg_Status,"Implemented")</f>
        <v>0</v>
      </c>
    </row>
    <row r="49" customFormat="false" ht="15" hidden="false" customHeight="false" outlineLevel="0" collapsed="false">
      <c r="B49" s="30" t="s">
        <v>233</v>
      </c>
      <c r="C49" s="30" t="s">
        <v>230</v>
      </c>
      <c r="D49" s="58" t="n">
        <f aca="false">SUMIFS(chg_Cost,chg_Status,"Approved")+SUMIFS(chg_Cost,chg_Status,"Implemented")</f>
        <v>0</v>
      </c>
    </row>
    <row r="50" customFormat="false" ht="15" hidden="false" customHeight="false" outlineLevel="0" collapsed="false">
      <c r="B50" s="30" t="s">
        <v>234</v>
      </c>
      <c r="C50" s="30" t="s">
        <v>230</v>
      </c>
      <c r="D50" s="58" t="n">
        <f aca="false">SUMIFS(chg_Cost,chg_Status,"Submitted")+SUMIFS(chg_Cost,chg_Status,"Under Review")</f>
        <v>0</v>
      </c>
    </row>
    <row r="51" customFormat="false" ht="15" hidden="false" customHeight="false" outlineLevel="0" collapsed="false">
      <c r="B51" s="30" t="s">
        <v>235</v>
      </c>
      <c r="C51" s="30" t="s">
        <v>236</v>
      </c>
      <c r="D51" s="61" t="n">
        <f aca="false">COUNTIF(dec_Status,"Proposed")</f>
        <v>0</v>
      </c>
    </row>
    <row r="52" customFormat="false" ht="15" hidden="false" customHeight="false" outlineLevel="0" collapsed="false">
      <c r="B52" s="30" t="s">
        <v>237</v>
      </c>
      <c r="C52" s="30" t="s">
        <v>187</v>
      </c>
      <c r="D52" s="61" t="n">
        <f aca="false">COUNTIF(raid_Overdue,"Overdue")</f>
        <v>0</v>
      </c>
    </row>
    <row r="54" customFormat="false" ht="15" hidden="false" customHeight="false" outlineLevel="0" collapsed="false">
      <c r="B54" s="36" t="s">
        <v>238</v>
      </c>
    </row>
    <row r="55" customFormat="false" ht="15" hidden="false" customHeight="false" outlineLevel="0" collapsed="false">
      <c r="B55" s="15" t="s">
        <v>239</v>
      </c>
      <c r="C55" s="50" t="s">
        <v>240</v>
      </c>
    </row>
    <row r="56" customFormat="false" ht="36" hidden="false" customHeight="true" outlineLevel="0" collapsed="false">
      <c r="B56" s="63" t="s">
        <v>241</v>
      </c>
      <c r="C56" s="64"/>
    </row>
    <row r="57" customFormat="false" ht="36" hidden="false" customHeight="true" outlineLevel="0" collapsed="false">
      <c r="B57" s="63" t="s">
        <v>242</v>
      </c>
      <c r="C57" s="64"/>
    </row>
    <row r="58" customFormat="false" ht="36" hidden="false" customHeight="true" outlineLevel="0" collapsed="false">
      <c r="B58" s="63" t="s">
        <v>243</v>
      </c>
      <c r="C58" s="64"/>
    </row>
    <row r="59" customFormat="false" ht="36" hidden="false" customHeight="true" outlineLevel="0" collapsed="false">
      <c r="B59" s="63" t="s">
        <v>244</v>
      </c>
      <c r="C59" s="64"/>
    </row>
    <row r="60" customFormat="false" ht="36" hidden="false" customHeight="true" outlineLevel="0" collapsed="false">
      <c r="B60" s="63" t="s">
        <v>245</v>
      </c>
      <c r="C60" s="64"/>
    </row>
    <row r="61" customFormat="false" ht="36" hidden="false" customHeight="true" outlineLevel="0" collapsed="false">
      <c r="B61" s="63" t="s">
        <v>246</v>
      </c>
      <c r="C61" s="64"/>
    </row>
  </sheetData>
  <conditionalFormatting sqref="E5:G14">
    <cfRule type="expression" priority="2" aboveAverage="0" equalAverage="0" bottom="0" percent="0" rank="0" text="" dxfId="14">
      <formula>E5="Green"</formula>
    </cfRule>
    <cfRule type="expression" priority="3" aboveAverage="0" equalAverage="0" bottom="0" percent="0" rank="0" text="" dxfId="15">
      <formula>E5="Amber"</formula>
    </cfRule>
    <cfRule type="expression" priority="4" aboveAverage="0" equalAverage="0" bottom="0" percent="0" rank="0" text="" dxfId="16">
      <formula>E5="Red"</formula>
    </cfRule>
  </conditionalFormatting>
  <conditionalFormatting sqref="G35:G42">
    <cfRule type="expression" priority="5" aboveAverage="0" equalAverage="0" bottom="0" percent="0" rank="0" text="" dxfId="14">
      <formula>G35="Green"</formula>
    </cfRule>
    <cfRule type="expression" priority="6" aboveAverage="0" equalAverage="0" bottom="0" percent="0" rank="0" text="" dxfId="15">
      <formula>G35="Amber"</formula>
    </cfRule>
    <cfRule type="expression" priority="7" aboveAverage="0" equalAverage="0" bottom="0" percent="0" rank="0" text="" dxfId="16">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32" t="str">
        <f aca="false">ProjectName&amp;"  -  Schedule Report"</f>
        <v>New Project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31-Dec-1899   Forecast finish Sat 30-Dec-1899 (-1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0</v>
      </c>
    </row>
    <row r="5" customFormat="false" ht="23.85" hidden="false" customHeight="false" outlineLevel="0" collapsed="false">
      <c r="B5" s="37" t="s">
        <v>151</v>
      </c>
      <c r="C5" s="15" t="s">
        <v>152</v>
      </c>
      <c r="D5" s="15" t="s">
        <v>153</v>
      </c>
      <c r="E5" s="15" t="s">
        <v>155</v>
      </c>
      <c r="F5" s="15" t="s">
        <v>247</v>
      </c>
      <c r="G5" s="15" t="s">
        <v>158</v>
      </c>
      <c r="H5" s="15" t="s">
        <v>24</v>
      </c>
      <c r="I5" s="15" t="s">
        <v>248</v>
      </c>
      <c r="J5" s="15" t="s">
        <v>249</v>
      </c>
      <c r="K5" s="15" t="s">
        <v>250</v>
      </c>
      <c r="L5" s="15" t="s">
        <v>251</v>
      </c>
      <c r="M5" s="15" t="s">
        <v>252</v>
      </c>
      <c r="N5" s="15" t="s">
        <v>253</v>
      </c>
      <c r="O5" s="15" t="s">
        <v>254</v>
      </c>
      <c r="P5" s="15" t="s">
        <v>174</v>
      </c>
    </row>
    <row r="6" customFormat="false" ht="15" hidden="false" customHeight="false" outlineLevel="0" collapsed="false">
      <c r="B6" s="38" t="str">
        <f aca="false">IFERROR(MATCH(SMALL(tsk_PhaseKey,ROW()-ROW(PhaseSummary[[#Headers],[_Task]])),tsk_PhaseKey,0),"")</f>
        <v/>
      </c>
      <c r="C6" s="30" t="str">
        <f aca="false">IF(PhaseSummary[[#This Row],[_Task]]="","",INDEX(tsk_WBS,PhaseSummary[[#This Row],[_Task]])&amp;"")</f>
        <v/>
      </c>
      <c r="D6" s="30" t="str">
        <f aca="false">IF(PhaseSummary[[#This Row],[_Task]]="","",INDEX(tsk_Name,PhaseSummary[[#This Row],[_Task]])&amp;"")</f>
        <v/>
      </c>
      <c r="E6" s="65" t="str">
        <f aca="false">IF(PhaseSummary[[#This Row],[_Task]]="","",IF(N(INDEX(tsk_PlanFinish,PhaseSummary[[#This Row],[_Task]]))=0,"",INDEX(tsk_PlanFinish,PhaseSummary[[#This Row],[_Task]])))</f>
        <v/>
      </c>
      <c r="F6" s="65" t="str">
        <f aca="false">IF(PhaseSummary[[#This Row],[_Task]]="","",IF(N(INDEX(tsk_FcFinish,PhaseSummary[[#This Row],[_Task]]))=0,"",INDEX(tsk_FcFinish,PhaseSummary[[#This Row],[_Task]])))</f>
        <v/>
      </c>
      <c r="G6" s="41" t="str">
        <f aca="false">IF(PhaseSummary[[#This Row],[_Task]]="","",INDEX(tsk_Variance,PhaseSummary[[#This Row],[_Task]]))</f>
        <v/>
      </c>
      <c r="H6" s="40" t="str">
        <f aca="false">IF(PhaseSummary[[#This Row],[_Task]]="","",INDEX(tsk_Progress,PhaseSummary[[#This Row],[_Task]]))</f>
        <v/>
      </c>
      <c r="I6" s="66" t="str">
        <f aca="false">IF(PhaseSummary[[#This Row],[_Task]]="","",INDEX(tsk_Budget,PhaseSummary[[#This Row],[_Task]]))</f>
        <v/>
      </c>
      <c r="J6" s="66" t="str">
        <f aca="false">IF(PhaseSummary[[#This Row],[_Task]]="","",INDEX(tsk_PV,PhaseSummary[[#This Row],[_Task]]))</f>
        <v/>
      </c>
      <c r="K6" s="66" t="str">
        <f aca="false">IF(PhaseSummary[[#This Row],[_Task]]="","",INDEX(tsk_EV,PhaseSummary[[#This Row],[_Task]]))</f>
        <v/>
      </c>
      <c r="L6" s="66" t="str">
        <f aca="false">IF(PhaseSummary[[#This Row],[_Task]]="","",INDEX(tsk_AC,PhaseSummary[[#This Row],[_Task]]))</f>
        <v/>
      </c>
      <c r="M6" s="67" t="str">
        <f aca="false">IF(PhaseSummary[[#This Row],[_Task]]="","",IF(N(PhaseSummary[[#This Row],[PV]])&gt;0,PhaseSummary[[#This Row],[EV]]/PhaseSummary[[#This Row],[PV]],""))</f>
        <v/>
      </c>
      <c r="N6" s="67" t="str">
        <f aca="false">IF(PhaseSummary[[#This Row],[_Task]]="","",IF(N(PhaseSummary[[#This Row],[AC]])&gt;0,PhaseSummary[[#This Row],[EV]]/PhaseSummary[[#This Row],[AC]],""))</f>
        <v/>
      </c>
      <c r="O6" s="68" t="str">
        <f aca="false">IF(PhaseSummary[[#This Row],[_Task]]="","",COUNTIFS(tsk_Phase,PhaseSummary[[#This Row],[WBS]],tsk_Critical,"Yes",tsk_IsLeaf,1))</f>
        <v/>
      </c>
      <c r="P6"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7" customFormat="false" ht="15" hidden="false" customHeight="false" outlineLevel="0" collapsed="false">
      <c r="B7" s="38" t="str">
        <f aca="false">IFERROR(MATCH(SMALL(tsk_PhaseKey,ROW()-ROW(PhaseSummary[[#Headers],[_Task]])),tsk_PhaseKey,0),"")</f>
        <v/>
      </c>
      <c r="C7" s="30" t="str">
        <f aca="false">IF(PhaseSummary[[#This Row],[_Task]]="","",INDEX(tsk_WBS,PhaseSummary[[#This Row],[_Task]])&amp;"")</f>
        <v/>
      </c>
      <c r="D7" s="30" t="str">
        <f aca="false">IF(PhaseSummary[[#This Row],[_Task]]="","",INDEX(tsk_Name,PhaseSummary[[#This Row],[_Task]])&amp;"")</f>
        <v/>
      </c>
      <c r="E7" s="65" t="str">
        <f aca="false">IF(PhaseSummary[[#This Row],[_Task]]="","",IF(N(INDEX(tsk_PlanFinish,PhaseSummary[[#This Row],[_Task]]))=0,"",INDEX(tsk_PlanFinish,PhaseSummary[[#This Row],[_Task]])))</f>
        <v/>
      </c>
      <c r="F7" s="65" t="str">
        <f aca="false">IF(PhaseSummary[[#This Row],[_Task]]="","",IF(N(INDEX(tsk_FcFinish,PhaseSummary[[#This Row],[_Task]]))=0,"",INDEX(tsk_FcFinish,PhaseSummary[[#This Row],[_Task]])))</f>
        <v/>
      </c>
      <c r="G7" s="41" t="str">
        <f aca="false">IF(PhaseSummary[[#This Row],[_Task]]="","",INDEX(tsk_Variance,PhaseSummary[[#This Row],[_Task]]))</f>
        <v/>
      </c>
      <c r="H7" s="40" t="str">
        <f aca="false">IF(PhaseSummary[[#This Row],[_Task]]="","",INDEX(tsk_Progress,PhaseSummary[[#This Row],[_Task]]))</f>
        <v/>
      </c>
      <c r="I7" s="66" t="str">
        <f aca="false">IF(PhaseSummary[[#This Row],[_Task]]="","",INDEX(tsk_Budget,PhaseSummary[[#This Row],[_Task]]))</f>
        <v/>
      </c>
      <c r="J7" s="66" t="str">
        <f aca="false">IF(PhaseSummary[[#This Row],[_Task]]="","",INDEX(tsk_PV,PhaseSummary[[#This Row],[_Task]]))</f>
        <v/>
      </c>
      <c r="K7" s="66" t="str">
        <f aca="false">IF(PhaseSummary[[#This Row],[_Task]]="","",INDEX(tsk_EV,PhaseSummary[[#This Row],[_Task]]))</f>
        <v/>
      </c>
      <c r="L7" s="66" t="str">
        <f aca="false">IF(PhaseSummary[[#This Row],[_Task]]="","",INDEX(tsk_AC,PhaseSummary[[#This Row],[_Task]]))</f>
        <v/>
      </c>
      <c r="M7" s="67" t="str">
        <f aca="false">IF(PhaseSummary[[#This Row],[_Task]]="","",IF(N(PhaseSummary[[#This Row],[PV]])&gt;0,PhaseSummary[[#This Row],[EV]]/PhaseSummary[[#This Row],[PV]],""))</f>
        <v/>
      </c>
      <c r="N7" s="67" t="str">
        <f aca="false">IF(PhaseSummary[[#This Row],[_Task]]="","",IF(N(PhaseSummary[[#This Row],[AC]])&gt;0,PhaseSummary[[#This Row],[EV]]/PhaseSummary[[#This Row],[AC]],""))</f>
        <v/>
      </c>
      <c r="O7" s="68" t="str">
        <f aca="false">IF(PhaseSummary[[#This Row],[_Task]]="","",COUNTIFS(tsk_Phase,PhaseSummary[[#This Row],[WBS]],tsk_Critical,"Yes",tsk_IsLeaf,1))</f>
        <v/>
      </c>
      <c r="P7"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8" customFormat="false" ht="15" hidden="false" customHeight="false" outlineLevel="0" collapsed="false">
      <c r="B8" s="38" t="str">
        <f aca="false">IFERROR(MATCH(SMALL(tsk_PhaseKey,ROW()-ROW(PhaseSummary[[#Headers],[_Task]])),tsk_PhaseKey,0),"")</f>
        <v/>
      </c>
      <c r="C8" s="30" t="str">
        <f aca="false">IF(PhaseSummary[[#This Row],[_Task]]="","",INDEX(tsk_WBS,PhaseSummary[[#This Row],[_Task]])&amp;"")</f>
        <v/>
      </c>
      <c r="D8" s="30" t="str">
        <f aca="false">IF(PhaseSummary[[#This Row],[_Task]]="","",INDEX(tsk_Name,PhaseSummary[[#This Row],[_Task]])&amp;"")</f>
        <v/>
      </c>
      <c r="E8" s="65" t="str">
        <f aca="false">IF(PhaseSummary[[#This Row],[_Task]]="","",IF(N(INDEX(tsk_PlanFinish,PhaseSummary[[#This Row],[_Task]]))=0,"",INDEX(tsk_PlanFinish,PhaseSummary[[#This Row],[_Task]])))</f>
        <v/>
      </c>
      <c r="F8" s="65" t="str">
        <f aca="false">IF(PhaseSummary[[#This Row],[_Task]]="","",IF(N(INDEX(tsk_FcFinish,PhaseSummary[[#This Row],[_Task]]))=0,"",INDEX(tsk_FcFinish,PhaseSummary[[#This Row],[_Task]])))</f>
        <v/>
      </c>
      <c r="G8" s="41" t="str">
        <f aca="false">IF(PhaseSummary[[#This Row],[_Task]]="","",INDEX(tsk_Variance,PhaseSummary[[#This Row],[_Task]]))</f>
        <v/>
      </c>
      <c r="H8" s="40" t="str">
        <f aca="false">IF(PhaseSummary[[#This Row],[_Task]]="","",INDEX(tsk_Progress,PhaseSummary[[#This Row],[_Task]]))</f>
        <v/>
      </c>
      <c r="I8" s="66" t="str">
        <f aca="false">IF(PhaseSummary[[#This Row],[_Task]]="","",INDEX(tsk_Budget,PhaseSummary[[#This Row],[_Task]]))</f>
        <v/>
      </c>
      <c r="J8" s="66" t="str">
        <f aca="false">IF(PhaseSummary[[#This Row],[_Task]]="","",INDEX(tsk_PV,PhaseSummary[[#This Row],[_Task]]))</f>
        <v/>
      </c>
      <c r="K8" s="66" t="str">
        <f aca="false">IF(PhaseSummary[[#This Row],[_Task]]="","",INDEX(tsk_EV,PhaseSummary[[#This Row],[_Task]]))</f>
        <v/>
      </c>
      <c r="L8" s="66" t="str">
        <f aca="false">IF(PhaseSummary[[#This Row],[_Task]]="","",INDEX(tsk_AC,PhaseSummary[[#This Row],[_Task]]))</f>
        <v/>
      </c>
      <c r="M8" s="67" t="str">
        <f aca="false">IF(PhaseSummary[[#This Row],[_Task]]="","",IF(N(PhaseSummary[[#This Row],[PV]])&gt;0,PhaseSummary[[#This Row],[EV]]/PhaseSummary[[#This Row],[PV]],""))</f>
        <v/>
      </c>
      <c r="N8" s="67" t="str">
        <f aca="false">IF(PhaseSummary[[#This Row],[_Task]]="","",IF(N(PhaseSummary[[#This Row],[AC]])&gt;0,PhaseSummary[[#This Row],[EV]]/PhaseSummary[[#This Row],[AC]],""))</f>
        <v/>
      </c>
      <c r="O8" s="68" t="str">
        <f aca="false">IF(PhaseSummary[[#This Row],[_Task]]="","",COUNTIFS(tsk_Phase,PhaseSummary[[#This Row],[WBS]],tsk_Critical,"Yes",tsk_IsLeaf,1))</f>
        <v/>
      </c>
      <c r="P8"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9" customFormat="false" ht="15" hidden="false" customHeight="false" outlineLevel="0" collapsed="false">
      <c r="B9" s="38" t="str">
        <f aca="false">IFERROR(MATCH(SMALL(tsk_PhaseKey,ROW()-ROW(PhaseSummary[[#Headers],[_Task]])),tsk_PhaseKey,0),"")</f>
        <v/>
      </c>
      <c r="C9" s="30" t="str">
        <f aca="false">IF(PhaseSummary[[#This Row],[_Task]]="","",INDEX(tsk_WBS,PhaseSummary[[#This Row],[_Task]])&amp;"")</f>
        <v/>
      </c>
      <c r="D9" s="30" t="str">
        <f aca="false">IF(PhaseSummary[[#This Row],[_Task]]="","",INDEX(tsk_Name,PhaseSummary[[#This Row],[_Task]])&amp;"")</f>
        <v/>
      </c>
      <c r="E9" s="65" t="str">
        <f aca="false">IF(PhaseSummary[[#This Row],[_Task]]="","",IF(N(INDEX(tsk_PlanFinish,PhaseSummary[[#This Row],[_Task]]))=0,"",INDEX(tsk_PlanFinish,PhaseSummary[[#This Row],[_Task]])))</f>
        <v/>
      </c>
      <c r="F9" s="65" t="str">
        <f aca="false">IF(PhaseSummary[[#This Row],[_Task]]="","",IF(N(INDEX(tsk_FcFinish,PhaseSummary[[#This Row],[_Task]]))=0,"",INDEX(tsk_FcFinish,PhaseSummary[[#This Row],[_Task]])))</f>
        <v/>
      </c>
      <c r="G9" s="41" t="str">
        <f aca="false">IF(PhaseSummary[[#This Row],[_Task]]="","",INDEX(tsk_Variance,PhaseSummary[[#This Row],[_Task]]))</f>
        <v/>
      </c>
      <c r="H9" s="40" t="str">
        <f aca="false">IF(PhaseSummary[[#This Row],[_Task]]="","",INDEX(tsk_Progress,PhaseSummary[[#This Row],[_Task]]))</f>
        <v/>
      </c>
      <c r="I9" s="66" t="str">
        <f aca="false">IF(PhaseSummary[[#This Row],[_Task]]="","",INDEX(tsk_Budget,PhaseSummary[[#This Row],[_Task]]))</f>
        <v/>
      </c>
      <c r="J9" s="66" t="str">
        <f aca="false">IF(PhaseSummary[[#This Row],[_Task]]="","",INDEX(tsk_PV,PhaseSummary[[#This Row],[_Task]]))</f>
        <v/>
      </c>
      <c r="K9" s="66" t="str">
        <f aca="false">IF(PhaseSummary[[#This Row],[_Task]]="","",INDEX(tsk_EV,PhaseSummary[[#This Row],[_Task]]))</f>
        <v/>
      </c>
      <c r="L9" s="66" t="str">
        <f aca="false">IF(PhaseSummary[[#This Row],[_Task]]="","",INDEX(tsk_AC,PhaseSummary[[#This Row],[_Task]]))</f>
        <v/>
      </c>
      <c r="M9" s="67" t="str">
        <f aca="false">IF(PhaseSummary[[#This Row],[_Task]]="","",IF(N(PhaseSummary[[#This Row],[PV]])&gt;0,PhaseSummary[[#This Row],[EV]]/PhaseSummary[[#This Row],[PV]],""))</f>
        <v/>
      </c>
      <c r="N9" s="67" t="str">
        <f aca="false">IF(PhaseSummary[[#This Row],[_Task]]="","",IF(N(PhaseSummary[[#This Row],[AC]])&gt;0,PhaseSummary[[#This Row],[EV]]/PhaseSummary[[#This Row],[AC]],""))</f>
        <v/>
      </c>
      <c r="O9" s="68" t="str">
        <f aca="false">IF(PhaseSummary[[#This Row],[_Task]]="","",COUNTIFS(tsk_Phase,PhaseSummary[[#This Row],[WBS]],tsk_Critical,"Yes",tsk_IsLeaf,1))</f>
        <v/>
      </c>
      <c r="P9"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0" customFormat="false" ht="15" hidden="false" customHeight="false" outlineLevel="0" collapsed="false">
      <c r="B10" s="38" t="str">
        <f aca="false">IFERROR(MATCH(SMALL(tsk_PhaseKey,ROW()-ROW(PhaseSummary[[#Headers],[_Task]])),tsk_PhaseKey,0),"")</f>
        <v/>
      </c>
      <c r="C10" s="30" t="str">
        <f aca="false">IF(PhaseSummary[[#This Row],[_Task]]="","",INDEX(tsk_WBS,PhaseSummary[[#This Row],[_Task]])&amp;"")</f>
        <v/>
      </c>
      <c r="D10" s="30" t="str">
        <f aca="false">IF(PhaseSummary[[#This Row],[_Task]]="","",INDEX(tsk_Name,PhaseSummary[[#This Row],[_Task]])&amp;"")</f>
        <v/>
      </c>
      <c r="E10" s="65" t="str">
        <f aca="false">IF(PhaseSummary[[#This Row],[_Task]]="","",IF(N(INDEX(tsk_PlanFinish,PhaseSummary[[#This Row],[_Task]]))=0,"",INDEX(tsk_PlanFinish,PhaseSummary[[#This Row],[_Task]])))</f>
        <v/>
      </c>
      <c r="F10" s="65" t="str">
        <f aca="false">IF(PhaseSummary[[#This Row],[_Task]]="","",IF(N(INDEX(tsk_FcFinish,PhaseSummary[[#This Row],[_Task]]))=0,"",INDEX(tsk_FcFinish,PhaseSummary[[#This Row],[_Task]])))</f>
        <v/>
      </c>
      <c r="G10" s="41" t="str">
        <f aca="false">IF(PhaseSummary[[#This Row],[_Task]]="","",INDEX(tsk_Variance,PhaseSummary[[#This Row],[_Task]]))</f>
        <v/>
      </c>
      <c r="H10" s="40" t="str">
        <f aca="false">IF(PhaseSummary[[#This Row],[_Task]]="","",INDEX(tsk_Progress,PhaseSummary[[#This Row],[_Task]]))</f>
        <v/>
      </c>
      <c r="I10" s="66" t="str">
        <f aca="false">IF(PhaseSummary[[#This Row],[_Task]]="","",INDEX(tsk_Budget,PhaseSummary[[#This Row],[_Task]]))</f>
        <v/>
      </c>
      <c r="J10" s="66" t="str">
        <f aca="false">IF(PhaseSummary[[#This Row],[_Task]]="","",INDEX(tsk_PV,PhaseSummary[[#This Row],[_Task]]))</f>
        <v/>
      </c>
      <c r="K10" s="66" t="str">
        <f aca="false">IF(PhaseSummary[[#This Row],[_Task]]="","",INDEX(tsk_EV,PhaseSummary[[#This Row],[_Task]]))</f>
        <v/>
      </c>
      <c r="L10" s="66" t="str">
        <f aca="false">IF(PhaseSummary[[#This Row],[_Task]]="","",INDEX(tsk_AC,PhaseSummary[[#This Row],[_Task]]))</f>
        <v/>
      </c>
      <c r="M10" s="67" t="str">
        <f aca="false">IF(PhaseSummary[[#This Row],[_Task]]="","",IF(N(PhaseSummary[[#This Row],[PV]])&gt;0,PhaseSummary[[#This Row],[EV]]/PhaseSummary[[#This Row],[PV]],""))</f>
        <v/>
      </c>
      <c r="N10" s="67" t="str">
        <f aca="false">IF(PhaseSummary[[#This Row],[_Task]]="","",IF(N(PhaseSummary[[#This Row],[AC]])&gt;0,PhaseSummary[[#This Row],[EV]]/PhaseSummary[[#This Row],[AC]],""))</f>
        <v/>
      </c>
      <c r="O10" s="68" t="str">
        <f aca="false">IF(PhaseSummary[[#This Row],[_Task]]="","",COUNTIFS(tsk_Phase,PhaseSummary[[#This Row],[WBS]],tsk_Critical,"Yes",tsk_IsLeaf,1))</f>
        <v/>
      </c>
      <c r="P10"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1" customFormat="false" ht="15" hidden="false" customHeight="false" outlineLevel="0" collapsed="false">
      <c r="B11" s="38" t="str">
        <f aca="false">IFERROR(MATCH(SMALL(tsk_PhaseKey,ROW()-ROW(PhaseSummary[[#Headers],[_Task]])),tsk_PhaseKey,0),"")</f>
        <v/>
      </c>
      <c r="C11" s="30" t="str">
        <f aca="false">IF(PhaseSummary[[#This Row],[_Task]]="","",INDEX(tsk_WBS,PhaseSummary[[#This Row],[_Task]])&amp;"")</f>
        <v/>
      </c>
      <c r="D11" s="30" t="str">
        <f aca="false">IF(PhaseSummary[[#This Row],[_Task]]="","",INDEX(tsk_Name,PhaseSummary[[#This Row],[_Task]])&amp;"")</f>
        <v/>
      </c>
      <c r="E11" s="65" t="str">
        <f aca="false">IF(PhaseSummary[[#This Row],[_Task]]="","",IF(N(INDEX(tsk_PlanFinish,PhaseSummary[[#This Row],[_Task]]))=0,"",INDEX(tsk_PlanFinish,PhaseSummary[[#This Row],[_Task]])))</f>
        <v/>
      </c>
      <c r="F11" s="65" t="str">
        <f aca="false">IF(PhaseSummary[[#This Row],[_Task]]="","",IF(N(INDEX(tsk_FcFinish,PhaseSummary[[#This Row],[_Task]]))=0,"",INDEX(tsk_FcFinish,PhaseSummary[[#This Row],[_Task]])))</f>
        <v/>
      </c>
      <c r="G11" s="41" t="str">
        <f aca="false">IF(PhaseSummary[[#This Row],[_Task]]="","",INDEX(tsk_Variance,PhaseSummary[[#This Row],[_Task]]))</f>
        <v/>
      </c>
      <c r="H11" s="40" t="str">
        <f aca="false">IF(PhaseSummary[[#This Row],[_Task]]="","",INDEX(tsk_Progress,PhaseSummary[[#This Row],[_Task]]))</f>
        <v/>
      </c>
      <c r="I11" s="66" t="str">
        <f aca="false">IF(PhaseSummary[[#This Row],[_Task]]="","",INDEX(tsk_Budget,PhaseSummary[[#This Row],[_Task]]))</f>
        <v/>
      </c>
      <c r="J11" s="66" t="str">
        <f aca="false">IF(PhaseSummary[[#This Row],[_Task]]="","",INDEX(tsk_PV,PhaseSummary[[#This Row],[_Task]]))</f>
        <v/>
      </c>
      <c r="K11" s="66" t="str">
        <f aca="false">IF(PhaseSummary[[#This Row],[_Task]]="","",INDEX(tsk_EV,PhaseSummary[[#This Row],[_Task]]))</f>
        <v/>
      </c>
      <c r="L11" s="66" t="str">
        <f aca="false">IF(PhaseSummary[[#This Row],[_Task]]="","",INDEX(tsk_AC,PhaseSummary[[#This Row],[_Task]]))</f>
        <v/>
      </c>
      <c r="M11" s="67" t="str">
        <f aca="false">IF(PhaseSummary[[#This Row],[_Task]]="","",IF(N(PhaseSummary[[#This Row],[PV]])&gt;0,PhaseSummary[[#This Row],[EV]]/PhaseSummary[[#This Row],[PV]],""))</f>
        <v/>
      </c>
      <c r="N11" s="67" t="str">
        <f aca="false">IF(PhaseSummary[[#This Row],[_Task]]="","",IF(N(PhaseSummary[[#This Row],[AC]])&gt;0,PhaseSummary[[#This Row],[EV]]/PhaseSummary[[#This Row],[AC]],""))</f>
        <v/>
      </c>
      <c r="O11" s="68" t="str">
        <f aca="false">IF(PhaseSummary[[#This Row],[_Task]]="","",COUNTIFS(tsk_Phase,PhaseSummary[[#This Row],[WBS]],tsk_Critical,"Yes",tsk_IsLeaf,1))</f>
        <v/>
      </c>
      <c r="P11"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38" t="str">
        <f aca="false">IFERROR(MATCH(SMALL(tsk_PhaseKey,ROW()-ROW(PhaseSummary[[#Headers],[_Task]])),tsk_PhaseKey,0),"")</f>
        <v/>
      </c>
      <c r="C12" s="30" t="str">
        <f aca="false">IF(PhaseSummary[[#This Row],[_Task]]="","",INDEX(tsk_WBS,PhaseSummary[[#This Row],[_Task]])&amp;"")</f>
        <v/>
      </c>
      <c r="D12" s="30" t="str">
        <f aca="false">IF(PhaseSummary[[#This Row],[_Task]]="","",INDEX(tsk_Name,PhaseSummary[[#This Row],[_Task]])&amp;"")</f>
        <v/>
      </c>
      <c r="E12" s="65" t="str">
        <f aca="false">IF(PhaseSummary[[#This Row],[_Task]]="","",IF(N(INDEX(tsk_PlanFinish,PhaseSummary[[#This Row],[_Task]]))=0,"",INDEX(tsk_PlanFinish,PhaseSummary[[#This Row],[_Task]])))</f>
        <v/>
      </c>
      <c r="F12" s="65" t="str">
        <f aca="false">IF(PhaseSummary[[#This Row],[_Task]]="","",IF(N(INDEX(tsk_FcFinish,PhaseSummary[[#This Row],[_Task]]))=0,"",INDEX(tsk_FcFinish,PhaseSummary[[#This Row],[_Task]])))</f>
        <v/>
      </c>
      <c r="G12" s="41" t="str">
        <f aca="false">IF(PhaseSummary[[#This Row],[_Task]]="","",INDEX(tsk_Variance,PhaseSummary[[#This Row],[_Task]]))</f>
        <v/>
      </c>
      <c r="H12" s="40" t="str">
        <f aca="false">IF(PhaseSummary[[#This Row],[_Task]]="","",INDEX(tsk_Progress,PhaseSummary[[#This Row],[_Task]]))</f>
        <v/>
      </c>
      <c r="I12" s="66" t="str">
        <f aca="false">IF(PhaseSummary[[#This Row],[_Task]]="","",INDEX(tsk_Budget,PhaseSummary[[#This Row],[_Task]]))</f>
        <v/>
      </c>
      <c r="J12" s="66" t="str">
        <f aca="false">IF(PhaseSummary[[#This Row],[_Task]]="","",INDEX(tsk_PV,PhaseSummary[[#This Row],[_Task]]))</f>
        <v/>
      </c>
      <c r="K12" s="66" t="str">
        <f aca="false">IF(PhaseSummary[[#This Row],[_Task]]="","",INDEX(tsk_EV,PhaseSummary[[#This Row],[_Task]]))</f>
        <v/>
      </c>
      <c r="L12" s="66" t="str">
        <f aca="false">IF(PhaseSummary[[#This Row],[_Task]]="","",INDEX(tsk_AC,PhaseSummary[[#This Row],[_Task]]))</f>
        <v/>
      </c>
      <c r="M12" s="67" t="str">
        <f aca="false">IF(PhaseSummary[[#This Row],[_Task]]="","",IF(N(PhaseSummary[[#This Row],[PV]])&gt;0,PhaseSummary[[#This Row],[EV]]/PhaseSummary[[#This Row],[PV]],""))</f>
        <v/>
      </c>
      <c r="N12" s="67" t="str">
        <f aca="false">IF(PhaseSummary[[#This Row],[_Task]]="","",IF(N(PhaseSummary[[#This Row],[AC]])&gt;0,PhaseSummary[[#This Row],[EV]]/PhaseSummary[[#This Row],[AC]],""))</f>
        <v/>
      </c>
      <c r="O12" s="68" t="str">
        <f aca="false">IF(PhaseSummary[[#This Row],[_Task]]="","",COUNTIFS(tsk_Phase,PhaseSummary[[#This Row],[WBS]],tsk_Critical,"Yes",tsk_IsLeaf,1))</f>
        <v/>
      </c>
      <c r="P12"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38" t="str">
        <f aca="false">IFERROR(MATCH(SMALL(tsk_PhaseKey,ROW()-ROW(PhaseSummary[[#Headers],[_Task]])),tsk_PhaseKey,0),"")</f>
        <v/>
      </c>
      <c r="C13" s="30" t="str">
        <f aca="false">IF(PhaseSummary[[#This Row],[_Task]]="","",INDEX(tsk_WBS,PhaseSummary[[#This Row],[_Task]])&amp;"")</f>
        <v/>
      </c>
      <c r="D13" s="30" t="str">
        <f aca="false">IF(PhaseSummary[[#This Row],[_Task]]="","",INDEX(tsk_Name,PhaseSummary[[#This Row],[_Task]])&amp;"")</f>
        <v/>
      </c>
      <c r="E13" s="65" t="str">
        <f aca="false">IF(PhaseSummary[[#This Row],[_Task]]="","",IF(N(INDEX(tsk_PlanFinish,PhaseSummary[[#This Row],[_Task]]))=0,"",INDEX(tsk_PlanFinish,PhaseSummary[[#This Row],[_Task]])))</f>
        <v/>
      </c>
      <c r="F13" s="65" t="str">
        <f aca="false">IF(PhaseSummary[[#This Row],[_Task]]="","",IF(N(INDEX(tsk_FcFinish,PhaseSummary[[#This Row],[_Task]]))=0,"",INDEX(tsk_FcFinish,PhaseSummary[[#This Row],[_Task]])))</f>
        <v/>
      </c>
      <c r="G13" s="41" t="str">
        <f aca="false">IF(PhaseSummary[[#This Row],[_Task]]="","",INDEX(tsk_Variance,PhaseSummary[[#This Row],[_Task]]))</f>
        <v/>
      </c>
      <c r="H13" s="40" t="str">
        <f aca="false">IF(PhaseSummary[[#This Row],[_Task]]="","",INDEX(tsk_Progress,PhaseSummary[[#This Row],[_Task]]))</f>
        <v/>
      </c>
      <c r="I13" s="66" t="str">
        <f aca="false">IF(PhaseSummary[[#This Row],[_Task]]="","",INDEX(tsk_Budget,PhaseSummary[[#This Row],[_Task]]))</f>
        <v/>
      </c>
      <c r="J13" s="66" t="str">
        <f aca="false">IF(PhaseSummary[[#This Row],[_Task]]="","",INDEX(tsk_PV,PhaseSummary[[#This Row],[_Task]]))</f>
        <v/>
      </c>
      <c r="K13" s="66" t="str">
        <f aca="false">IF(PhaseSummary[[#This Row],[_Task]]="","",INDEX(tsk_EV,PhaseSummary[[#This Row],[_Task]]))</f>
        <v/>
      </c>
      <c r="L13" s="66" t="str">
        <f aca="false">IF(PhaseSummary[[#This Row],[_Task]]="","",INDEX(tsk_AC,PhaseSummary[[#This Row],[_Task]]))</f>
        <v/>
      </c>
      <c r="M13" s="67" t="str">
        <f aca="false">IF(PhaseSummary[[#This Row],[_Task]]="","",IF(N(PhaseSummary[[#This Row],[PV]])&gt;0,PhaseSummary[[#This Row],[EV]]/PhaseSummary[[#This Row],[PV]],""))</f>
        <v/>
      </c>
      <c r="N13" s="67" t="str">
        <f aca="false">IF(PhaseSummary[[#This Row],[_Task]]="","",IF(N(PhaseSummary[[#This Row],[AC]])&gt;0,PhaseSummary[[#This Row],[EV]]/PhaseSummary[[#This Row],[AC]],""))</f>
        <v/>
      </c>
      <c r="O13" s="68" t="str">
        <f aca="false">IF(PhaseSummary[[#This Row],[_Task]]="","",COUNTIFS(tsk_Phase,PhaseSummary[[#This Row],[WBS]],tsk_Critical,"Yes",tsk_IsLeaf,1))</f>
        <v/>
      </c>
      <c r="P13"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38" t="str">
        <f aca="false">IFERROR(MATCH(SMALL(tsk_PhaseKey,ROW()-ROW(PhaseSummary[[#Headers],[_Task]])),tsk_PhaseKey,0),"")</f>
        <v/>
      </c>
      <c r="C14" s="30" t="str">
        <f aca="false">IF(PhaseSummary[[#This Row],[_Task]]="","",INDEX(tsk_WBS,PhaseSummary[[#This Row],[_Task]])&amp;"")</f>
        <v/>
      </c>
      <c r="D14" s="30" t="str">
        <f aca="false">IF(PhaseSummary[[#This Row],[_Task]]="","",INDEX(tsk_Name,PhaseSummary[[#This Row],[_Task]])&amp;"")</f>
        <v/>
      </c>
      <c r="E14" s="65" t="str">
        <f aca="false">IF(PhaseSummary[[#This Row],[_Task]]="","",IF(N(INDEX(tsk_PlanFinish,PhaseSummary[[#This Row],[_Task]]))=0,"",INDEX(tsk_PlanFinish,PhaseSummary[[#This Row],[_Task]])))</f>
        <v/>
      </c>
      <c r="F14" s="65" t="str">
        <f aca="false">IF(PhaseSummary[[#This Row],[_Task]]="","",IF(N(INDEX(tsk_FcFinish,PhaseSummary[[#This Row],[_Task]]))=0,"",INDEX(tsk_FcFinish,PhaseSummary[[#This Row],[_Task]])))</f>
        <v/>
      </c>
      <c r="G14" s="41" t="str">
        <f aca="false">IF(PhaseSummary[[#This Row],[_Task]]="","",INDEX(tsk_Variance,PhaseSummary[[#This Row],[_Task]]))</f>
        <v/>
      </c>
      <c r="H14" s="40" t="str">
        <f aca="false">IF(PhaseSummary[[#This Row],[_Task]]="","",INDEX(tsk_Progress,PhaseSummary[[#This Row],[_Task]]))</f>
        <v/>
      </c>
      <c r="I14" s="66" t="str">
        <f aca="false">IF(PhaseSummary[[#This Row],[_Task]]="","",INDEX(tsk_Budget,PhaseSummary[[#This Row],[_Task]]))</f>
        <v/>
      </c>
      <c r="J14" s="66" t="str">
        <f aca="false">IF(PhaseSummary[[#This Row],[_Task]]="","",INDEX(tsk_PV,PhaseSummary[[#This Row],[_Task]]))</f>
        <v/>
      </c>
      <c r="K14" s="66" t="str">
        <f aca="false">IF(PhaseSummary[[#This Row],[_Task]]="","",INDEX(tsk_EV,PhaseSummary[[#This Row],[_Task]]))</f>
        <v/>
      </c>
      <c r="L14" s="66" t="str">
        <f aca="false">IF(PhaseSummary[[#This Row],[_Task]]="","",INDEX(tsk_AC,PhaseSummary[[#This Row],[_Task]]))</f>
        <v/>
      </c>
      <c r="M14" s="67" t="str">
        <f aca="false">IF(PhaseSummary[[#This Row],[_Task]]="","",IF(N(PhaseSummary[[#This Row],[PV]])&gt;0,PhaseSummary[[#This Row],[EV]]/PhaseSummary[[#This Row],[PV]],""))</f>
        <v/>
      </c>
      <c r="N14" s="67" t="str">
        <f aca="false">IF(PhaseSummary[[#This Row],[_Task]]="","",IF(N(PhaseSummary[[#This Row],[AC]])&gt;0,PhaseSummary[[#This Row],[EV]]/PhaseSummary[[#This Row],[AC]],""))</f>
        <v/>
      </c>
      <c r="O14" s="68" t="str">
        <f aca="false">IF(PhaseSummary[[#This Row],[_Task]]="","",COUNTIFS(tsk_Phase,PhaseSummary[[#This Row],[WBS]],tsk_Critical,"Yes",tsk_IsLeaf,1))</f>
        <v/>
      </c>
      <c r="P14"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38" t="str">
        <f aca="false">IFERROR(MATCH(SMALL(tsk_PhaseKey,ROW()-ROW(PhaseSummary[[#Headers],[_Task]])),tsk_PhaseKey,0),"")</f>
        <v/>
      </c>
      <c r="C15" s="30" t="str">
        <f aca="false">IF(PhaseSummary[[#This Row],[_Task]]="","",INDEX(tsk_WBS,PhaseSummary[[#This Row],[_Task]])&amp;"")</f>
        <v/>
      </c>
      <c r="D15" s="30" t="str">
        <f aca="false">IF(PhaseSummary[[#This Row],[_Task]]="","",INDEX(tsk_Name,PhaseSummary[[#This Row],[_Task]])&amp;"")</f>
        <v/>
      </c>
      <c r="E15" s="65" t="str">
        <f aca="false">IF(PhaseSummary[[#This Row],[_Task]]="","",IF(N(INDEX(tsk_PlanFinish,PhaseSummary[[#This Row],[_Task]]))=0,"",INDEX(tsk_PlanFinish,PhaseSummary[[#This Row],[_Task]])))</f>
        <v/>
      </c>
      <c r="F15" s="65" t="str">
        <f aca="false">IF(PhaseSummary[[#This Row],[_Task]]="","",IF(N(INDEX(tsk_FcFinish,PhaseSummary[[#This Row],[_Task]]))=0,"",INDEX(tsk_FcFinish,PhaseSummary[[#This Row],[_Task]])))</f>
        <v/>
      </c>
      <c r="G15" s="41" t="str">
        <f aca="false">IF(PhaseSummary[[#This Row],[_Task]]="","",INDEX(tsk_Variance,PhaseSummary[[#This Row],[_Task]]))</f>
        <v/>
      </c>
      <c r="H15" s="40" t="str">
        <f aca="false">IF(PhaseSummary[[#This Row],[_Task]]="","",INDEX(tsk_Progress,PhaseSummary[[#This Row],[_Task]]))</f>
        <v/>
      </c>
      <c r="I15" s="66" t="str">
        <f aca="false">IF(PhaseSummary[[#This Row],[_Task]]="","",INDEX(tsk_Budget,PhaseSummary[[#This Row],[_Task]]))</f>
        <v/>
      </c>
      <c r="J15" s="66" t="str">
        <f aca="false">IF(PhaseSummary[[#This Row],[_Task]]="","",INDEX(tsk_PV,PhaseSummary[[#This Row],[_Task]]))</f>
        <v/>
      </c>
      <c r="K15" s="66" t="str">
        <f aca="false">IF(PhaseSummary[[#This Row],[_Task]]="","",INDEX(tsk_EV,PhaseSummary[[#This Row],[_Task]]))</f>
        <v/>
      </c>
      <c r="L15" s="66" t="str">
        <f aca="false">IF(PhaseSummary[[#This Row],[_Task]]="","",INDEX(tsk_AC,PhaseSummary[[#This Row],[_Task]]))</f>
        <v/>
      </c>
      <c r="M15" s="67" t="str">
        <f aca="false">IF(PhaseSummary[[#This Row],[_Task]]="","",IF(N(PhaseSummary[[#This Row],[PV]])&gt;0,PhaseSummary[[#This Row],[EV]]/PhaseSummary[[#This Row],[PV]],""))</f>
        <v/>
      </c>
      <c r="N15" s="67" t="str">
        <f aca="false">IF(PhaseSummary[[#This Row],[_Task]]="","",IF(N(PhaseSummary[[#This Row],[AC]])&gt;0,PhaseSummary[[#This Row],[EV]]/PhaseSummary[[#This Row],[AC]],""))</f>
        <v/>
      </c>
      <c r="O15" s="68" t="str">
        <f aca="false">IF(PhaseSummary[[#This Row],[_Task]]="","",COUNTIFS(tsk_Phase,PhaseSummary[[#This Row],[WBS]],tsk_Critical,"Yes",tsk_IsLeaf,1))</f>
        <v/>
      </c>
      <c r="P15"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0</v>
      </c>
    </row>
    <row r="18" customFormat="false" ht="23.85" hidden="false" customHeight="false" outlineLevel="0" collapsed="false">
      <c r="B18" s="37" t="s">
        <v>151</v>
      </c>
      <c r="C18" s="15" t="s">
        <v>152</v>
      </c>
      <c r="D18" s="15" t="s">
        <v>159</v>
      </c>
      <c r="E18" s="15" t="s">
        <v>160</v>
      </c>
      <c r="F18" s="15" t="s">
        <v>162</v>
      </c>
      <c r="G18" s="15" t="s">
        <v>158</v>
      </c>
      <c r="H18" s="15" t="s">
        <v>161</v>
      </c>
      <c r="I18" s="15" t="s">
        <v>163</v>
      </c>
      <c r="J18" s="15" t="s">
        <v>28</v>
      </c>
    </row>
    <row r="19" customFormat="false" ht="15" hidden="false" customHeight="false" outlineLevel="0" collapsed="false">
      <c r="B19" s="38" t="str">
        <f aca="false">IFERROR(MATCH(SMALL(tsk_MilestoneOrder,ROW()-ROW(MilestoneReport[[#Headers],[_Task]])),tsk_MilestoneOrder,0),"")</f>
        <v/>
      </c>
      <c r="C19" s="30" t="str">
        <f aca="false">IF(MilestoneReport[[#This Row],[_Task]]="","",INDEX(tsk_WBS,MilestoneReport[[#This Row],[_Task]])&amp;"")</f>
        <v/>
      </c>
      <c r="D19" s="30" t="str">
        <f aca="false">IF(MilestoneReport[[#This Row],[_Task]]="","",INDEX(tsk_Name,MilestoneReport[[#This Row],[_Task]])&amp;"")</f>
        <v/>
      </c>
      <c r="E19" s="65" t="str">
        <f aca="false">IF(MilestoneReport[[#This Row],[_Task]]="","",IF(N(INDEX(tsk_PlanFinish,MilestoneReport[[#This Row],[_Task]]))=0,"",INDEX(tsk_PlanFinish,MilestoneReport[[#This Row],[_Task]])))</f>
        <v/>
      </c>
      <c r="F19" s="65" t="str">
        <f aca="false">IF(MilestoneReport[[#This Row],[_Task]]="","",IF(N(INDEX(tsk_FcFinish,MilestoneReport[[#This Row],[_Task]]))=0,"",INDEX(tsk_FcFinish,MilestoneReport[[#This Row],[_Task]])))</f>
        <v/>
      </c>
      <c r="G19" s="41" t="str">
        <f aca="false">IF(MilestoneReport[[#This Row],[_Task]]="","",INDEX(tsk_Variance,MilestoneReport[[#This Row],[_Task]]))</f>
        <v/>
      </c>
      <c r="H19" s="65" t="str">
        <f aca="false">IF(MilestoneReport[[#This Row],[_Task]]="","",IF(N(INDEX(tsk_Deadline,MilestoneReport[[#This Row],[_Task]]))=0,"",INDEX(tsk_Deadline,MilestoneReport[[#This Row],[_Task]])))</f>
        <v/>
      </c>
      <c r="I19" s="30" t="str">
        <f aca="false">IF(MilestoneReport[[#This Row],[_Task]]="","",INDEX(tsk_DeadlineCheck,MilestoneReport[[#This Row],[_Task]])&amp;"")</f>
        <v/>
      </c>
      <c r="J19" s="30" t="str">
        <f aca="false">IF(MilestoneReport[[#This Row],[_Task]]="","",INDEX(tsk_Status,MilestoneReport[[#This Row],[_Task]])&amp;"")</f>
        <v/>
      </c>
    </row>
    <row r="20" customFormat="false" ht="15" hidden="false" customHeight="false" outlineLevel="0" collapsed="false">
      <c r="B20" s="38" t="str">
        <f aca="false">IFERROR(MATCH(SMALL(tsk_MilestoneOrder,ROW()-ROW(MilestoneReport[[#Headers],[_Task]])),tsk_MilestoneOrder,0),"")</f>
        <v/>
      </c>
      <c r="C20" s="30" t="str">
        <f aca="false">IF(MilestoneReport[[#This Row],[_Task]]="","",INDEX(tsk_WBS,MilestoneReport[[#This Row],[_Task]])&amp;"")</f>
        <v/>
      </c>
      <c r="D20" s="30" t="str">
        <f aca="false">IF(MilestoneReport[[#This Row],[_Task]]="","",INDEX(tsk_Name,MilestoneReport[[#This Row],[_Task]])&amp;"")</f>
        <v/>
      </c>
      <c r="E20" s="65" t="str">
        <f aca="false">IF(MilestoneReport[[#This Row],[_Task]]="","",IF(N(INDEX(tsk_PlanFinish,MilestoneReport[[#This Row],[_Task]]))=0,"",INDEX(tsk_PlanFinish,MilestoneReport[[#This Row],[_Task]])))</f>
        <v/>
      </c>
      <c r="F20" s="65" t="str">
        <f aca="false">IF(MilestoneReport[[#This Row],[_Task]]="","",IF(N(INDEX(tsk_FcFinish,MilestoneReport[[#This Row],[_Task]]))=0,"",INDEX(tsk_FcFinish,MilestoneReport[[#This Row],[_Task]])))</f>
        <v/>
      </c>
      <c r="G20" s="41" t="str">
        <f aca="false">IF(MilestoneReport[[#This Row],[_Task]]="","",INDEX(tsk_Variance,MilestoneReport[[#This Row],[_Task]]))</f>
        <v/>
      </c>
      <c r="H20" s="65" t="str">
        <f aca="false">IF(MilestoneReport[[#This Row],[_Task]]="","",IF(N(INDEX(tsk_Deadline,MilestoneReport[[#This Row],[_Task]]))=0,"",INDEX(tsk_Deadline,MilestoneReport[[#This Row],[_Task]])))</f>
        <v/>
      </c>
      <c r="I20" s="30" t="str">
        <f aca="false">IF(MilestoneReport[[#This Row],[_Task]]="","",INDEX(tsk_DeadlineCheck,MilestoneReport[[#This Row],[_Task]])&amp;"")</f>
        <v/>
      </c>
      <c r="J20" s="30" t="str">
        <f aca="false">IF(MilestoneReport[[#This Row],[_Task]]="","",INDEX(tsk_Status,MilestoneReport[[#This Row],[_Task]])&amp;"")</f>
        <v/>
      </c>
    </row>
    <row r="21" customFormat="false" ht="15" hidden="false" customHeight="false" outlineLevel="0" collapsed="false">
      <c r="B21" s="38" t="str">
        <f aca="false">IFERROR(MATCH(SMALL(tsk_MilestoneOrder,ROW()-ROW(MilestoneReport[[#Headers],[_Task]])),tsk_MilestoneOrder,0),"")</f>
        <v/>
      </c>
      <c r="C21" s="30" t="str">
        <f aca="false">IF(MilestoneReport[[#This Row],[_Task]]="","",INDEX(tsk_WBS,MilestoneReport[[#This Row],[_Task]])&amp;"")</f>
        <v/>
      </c>
      <c r="D21" s="30" t="str">
        <f aca="false">IF(MilestoneReport[[#This Row],[_Task]]="","",INDEX(tsk_Name,MilestoneReport[[#This Row],[_Task]])&amp;"")</f>
        <v/>
      </c>
      <c r="E21" s="65" t="str">
        <f aca="false">IF(MilestoneReport[[#This Row],[_Task]]="","",IF(N(INDEX(tsk_PlanFinish,MilestoneReport[[#This Row],[_Task]]))=0,"",INDEX(tsk_PlanFinish,MilestoneReport[[#This Row],[_Task]])))</f>
        <v/>
      </c>
      <c r="F21" s="65" t="str">
        <f aca="false">IF(MilestoneReport[[#This Row],[_Task]]="","",IF(N(INDEX(tsk_FcFinish,MilestoneReport[[#This Row],[_Task]]))=0,"",INDEX(tsk_FcFinish,MilestoneReport[[#This Row],[_Task]])))</f>
        <v/>
      </c>
      <c r="G21" s="41" t="str">
        <f aca="false">IF(MilestoneReport[[#This Row],[_Task]]="","",INDEX(tsk_Variance,MilestoneReport[[#This Row],[_Task]]))</f>
        <v/>
      </c>
      <c r="H21" s="65" t="str">
        <f aca="false">IF(MilestoneReport[[#This Row],[_Task]]="","",IF(N(INDEX(tsk_Deadline,MilestoneReport[[#This Row],[_Task]]))=0,"",INDEX(tsk_Deadline,MilestoneReport[[#This Row],[_Task]])))</f>
        <v/>
      </c>
      <c r="I21" s="30" t="str">
        <f aca="false">IF(MilestoneReport[[#This Row],[_Task]]="","",INDEX(tsk_DeadlineCheck,MilestoneReport[[#This Row],[_Task]])&amp;"")</f>
        <v/>
      </c>
      <c r="J21" s="30" t="str">
        <f aca="false">IF(MilestoneReport[[#This Row],[_Task]]="","",INDEX(tsk_Status,MilestoneReport[[#This Row],[_Task]])&amp;"")</f>
        <v/>
      </c>
    </row>
    <row r="22" customFormat="false" ht="15" hidden="false" customHeight="false" outlineLevel="0" collapsed="false">
      <c r="B22" s="38" t="str">
        <f aca="false">IFERROR(MATCH(SMALL(tsk_MilestoneOrder,ROW()-ROW(MilestoneReport[[#Headers],[_Task]])),tsk_MilestoneOrder,0),"")</f>
        <v/>
      </c>
      <c r="C22" s="30" t="str">
        <f aca="false">IF(MilestoneReport[[#This Row],[_Task]]="","",INDEX(tsk_WBS,MilestoneReport[[#This Row],[_Task]])&amp;"")</f>
        <v/>
      </c>
      <c r="D22" s="30" t="str">
        <f aca="false">IF(MilestoneReport[[#This Row],[_Task]]="","",INDEX(tsk_Name,MilestoneReport[[#This Row],[_Task]])&amp;"")</f>
        <v/>
      </c>
      <c r="E22" s="65" t="str">
        <f aca="false">IF(MilestoneReport[[#This Row],[_Task]]="","",IF(N(INDEX(tsk_PlanFinish,MilestoneReport[[#This Row],[_Task]]))=0,"",INDEX(tsk_PlanFinish,MilestoneReport[[#This Row],[_Task]])))</f>
        <v/>
      </c>
      <c r="F22" s="65" t="str">
        <f aca="false">IF(MilestoneReport[[#This Row],[_Task]]="","",IF(N(INDEX(tsk_FcFinish,MilestoneReport[[#This Row],[_Task]]))=0,"",INDEX(tsk_FcFinish,MilestoneReport[[#This Row],[_Task]])))</f>
        <v/>
      </c>
      <c r="G22" s="41" t="str">
        <f aca="false">IF(MilestoneReport[[#This Row],[_Task]]="","",INDEX(tsk_Variance,MilestoneReport[[#This Row],[_Task]]))</f>
        <v/>
      </c>
      <c r="H22" s="65" t="str">
        <f aca="false">IF(MilestoneReport[[#This Row],[_Task]]="","",IF(N(INDEX(tsk_Deadline,MilestoneReport[[#This Row],[_Task]]))=0,"",INDEX(tsk_Deadline,MilestoneReport[[#This Row],[_Task]])))</f>
        <v/>
      </c>
      <c r="I22" s="30" t="str">
        <f aca="false">IF(MilestoneReport[[#This Row],[_Task]]="","",INDEX(tsk_DeadlineCheck,MilestoneReport[[#This Row],[_Task]])&amp;"")</f>
        <v/>
      </c>
      <c r="J22" s="30" t="str">
        <f aca="false">IF(MilestoneReport[[#This Row],[_Task]]="","",INDEX(tsk_Status,MilestoneReport[[#This Row],[_Task]])&amp;"")</f>
        <v/>
      </c>
    </row>
    <row r="23" customFormat="false" ht="15" hidden="false" customHeight="false" outlineLevel="0" collapsed="false">
      <c r="B23" s="38" t="str">
        <f aca="false">IFERROR(MATCH(SMALL(tsk_MilestoneOrder,ROW()-ROW(MilestoneReport[[#Headers],[_Task]])),tsk_MilestoneOrder,0),"")</f>
        <v/>
      </c>
      <c r="C23" s="30" t="str">
        <f aca="false">IF(MilestoneReport[[#This Row],[_Task]]="","",INDEX(tsk_WBS,MilestoneReport[[#This Row],[_Task]])&amp;"")</f>
        <v/>
      </c>
      <c r="D23" s="30" t="str">
        <f aca="false">IF(MilestoneReport[[#This Row],[_Task]]="","",INDEX(tsk_Name,MilestoneReport[[#This Row],[_Task]])&amp;"")</f>
        <v/>
      </c>
      <c r="E23" s="65" t="str">
        <f aca="false">IF(MilestoneReport[[#This Row],[_Task]]="","",IF(N(INDEX(tsk_PlanFinish,MilestoneReport[[#This Row],[_Task]]))=0,"",INDEX(tsk_PlanFinish,MilestoneReport[[#This Row],[_Task]])))</f>
        <v/>
      </c>
      <c r="F23" s="65" t="str">
        <f aca="false">IF(MilestoneReport[[#This Row],[_Task]]="","",IF(N(INDEX(tsk_FcFinish,MilestoneReport[[#This Row],[_Task]]))=0,"",INDEX(tsk_FcFinish,MilestoneReport[[#This Row],[_Task]])))</f>
        <v/>
      </c>
      <c r="G23" s="41" t="str">
        <f aca="false">IF(MilestoneReport[[#This Row],[_Task]]="","",INDEX(tsk_Variance,MilestoneReport[[#This Row],[_Task]]))</f>
        <v/>
      </c>
      <c r="H23" s="65" t="str">
        <f aca="false">IF(MilestoneReport[[#This Row],[_Task]]="","",IF(N(INDEX(tsk_Deadline,MilestoneReport[[#This Row],[_Task]]))=0,"",INDEX(tsk_Deadline,MilestoneReport[[#This Row],[_Task]])))</f>
        <v/>
      </c>
      <c r="I23" s="30" t="str">
        <f aca="false">IF(MilestoneReport[[#This Row],[_Task]]="","",INDEX(tsk_DeadlineCheck,MilestoneReport[[#This Row],[_Task]])&amp;"")</f>
        <v/>
      </c>
      <c r="J23" s="30" t="str">
        <f aca="false">IF(MilestoneReport[[#This Row],[_Task]]="","",INDEX(tsk_Status,MilestoneReport[[#This Row],[_Task]])&amp;"")</f>
        <v/>
      </c>
    </row>
    <row r="24" customFormat="false" ht="15" hidden="false" customHeight="false" outlineLevel="0" collapsed="false">
      <c r="B24" s="38" t="str">
        <f aca="false">IFERROR(MATCH(SMALL(tsk_MilestoneOrder,ROW()-ROW(MilestoneReport[[#Headers],[_Task]])),tsk_MilestoneOrder,0),"")</f>
        <v/>
      </c>
      <c r="C24" s="30" t="str">
        <f aca="false">IF(MilestoneReport[[#This Row],[_Task]]="","",INDEX(tsk_WBS,MilestoneReport[[#This Row],[_Task]])&amp;"")</f>
        <v/>
      </c>
      <c r="D24" s="30" t="str">
        <f aca="false">IF(MilestoneReport[[#This Row],[_Task]]="","",INDEX(tsk_Name,MilestoneReport[[#This Row],[_Task]])&amp;"")</f>
        <v/>
      </c>
      <c r="E24" s="65" t="str">
        <f aca="false">IF(MilestoneReport[[#This Row],[_Task]]="","",IF(N(INDEX(tsk_PlanFinish,MilestoneReport[[#This Row],[_Task]]))=0,"",INDEX(tsk_PlanFinish,MilestoneReport[[#This Row],[_Task]])))</f>
        <v/>
      </c>
      <c r="F24" s="65" t="str">
        <f aca="false">IF(MilestoneReport[[#This Row],[_Task]]="","",IF(N(INDEX(tsk_FcFinish,MilestoneReport[[#This Row],[_Task]]))=0,"",INDEX(tsk_FcFinish,MilestoneReport[[#This Row],[_Task]])))</f>
        <v/>
      </c>
      <c r="G24" s="41" t="str">
        <f aca="false">IF(MilestoneReport[[#This Row],[_Task]]="","",INDEX(tsk_Variance,MilestoneReport[[#This Row],[_Task]]))</f>
        <v/>
      </c>
      <c r="H24" s="65" t="str">
        <f aca="false">IF(MilestoneReport[[#This Row],[_Task]]="","",IF(N(INDEX(tsk_Deadline,MilestoneReport[[#This Row],[_Task]]))=0,"",INDEX(tsk_Deadline,MilestoneReport[[#This Row],[_Task]])))</f>
        <v/>
      </c>
      <c r="I24" s="30" t="str">
        <f aca="false">IF(MilestoneReport[[#This Row],[_Task]]="","",INDEX(tsk_DeadlineCheck,MilestoneReport[[#This Row],[_Task]])&amp;"")</f>
        <v/>
      </c>
      <c r="J24" s="30" t="str">
        <f aca="false">IF(MilestoneReport[[#This Row],[_Task]]="","",INDEX(tsk_Status,MilestoneReport[[#This Row],[_Task]])&amp;"")</f>
        <v/>
      </c>
    </row>
    <row r="25" customFormat="false" ht="15" hidden="false" customHeight="false" outlineLevel="0" collapsed="false">
      <c r="B25" s="38" t="str">
        <f aca="false">IFERROR(MATCH(SMALL(tsk_MilestoneOrder,ROW()-ROW(MilestoneReport[[#Headers],[_Task]])),tsk_MilestoneOrder,0),"")</f>
        <v/>
      </c>
      <c r="C25" s="30" t="str">
        <f aca="false">IF(MilestoneReport[[#This Row],[_Task]]="","",INDEX(tsk_WBS,MilestoneReport[[#This Row],[_Task]])&amp;"")</f>
        <v/>
      </c>
      <c r="D25" s="30" t="str">
        <f aca="false">IF(MilestoneReport[[#This Row],[_Task]]="","",INDEX(tsk_Name,MilestoneReport[[#This Row],[_Task]])&amp;"")</f>
        <v/>
      </c>
      <c r="E25" s="65" t="str">
        <f aca="false">IF(MilestoneReport[[#This Row],[_Task]]="","",IF(N(INDEX(tsk_PlanFinish,MilestoneReport[[#This Row],[_Task]]))=0,"",INDEX(tsk_PlanFinish,MilestoneReport[[#This Row],[_Task]])))</f>
        <v/>
      </c>
      <c r="F25" s="65" t="str">
        <f aca="false">IF(MilestoneReport[[#This Row],[_Task]]="","",IF(N(INDEX(tsk_FcFinish,MilestoneReport[[#This Row],[_Task]]))=0,"",INDEX(tsk_FcFinish,MilestoneReport[[#This Row],[_Task]])))</f>
        <v/>
      </c>
      <c r="G25" s="41" t="str">
        <f aca="false">IF(MilestoneReport[[#This Row],[_Task]]="","",INDEX(tsk_Variance,MilestoneReport[[#This Row],[_Task]]))</f>
        <v/>
      </c>
      <c r="H25" s="65" t="str">
        <f aca="false">IF(MilestoneReport[[#This Row],[_Task]]="","",IF(N(INDEX(tsk_Deadline,MilestoneReport[[#This Row],[_Task]]))=0,"",INDEX(tsk_Deadline,MilestoneReport[[#This Row],[_Task]])))</f>
        <v/>
      </c>
      <c r="I25" s="30" t="str">
        <f aca="false">IF(MilestoneReport[[#This Row],[_Task]]="","",INDEX(tsk_DeadlineCheck,MilestoneReport[[#This Row],[_Task]])&amp;"")</f>
        <v/>
      </c>
      <c r="J25" s="30" t="str">
        <f aca="false">IF(MilestoneReport[[#This Row],[_Task]]="","",INDEX(tsk_Status,MilestoneReport[[#This Row],[_Task]])&amp;"")</f>
        <v/>
      </c>
    </row>
    <row r="26" customFormat="false" ht="15" hidden="false" customHeight="false" outlineLevel="0" collapsed="false">
      <c r="B26" s="38" t="str">
        <f aca="false">IFERROR(MATCH(SMALL(tsk_MilestoneOrder,ROW()-ROW(MilestoneReport[[#Headers],[_Task]])),tsk_MilestoneOrder,0),"")</f>
        <v/>
      </c>
      <c r="C26" s="30" t="str">
        <f aca="false">IF(MilestoneReport[[#This Row],[_Task]]="","",INDEX(tsk_WBS,MilestoneReport[[#This Row],[_Task]])&amp;"")</f>
        <v/>
      </c>
      <c r="D26" s="30" t="str">
        <f aca="false">IF(MilestoneReport[[#This Row],[_Task]]="","",INDEX(tsk_Name,MilestoneReport[[#This Row],[_Task]])&amp;"")</f>
        <v/>
      </c>
      <c r="E26" s="65" t="str">
        <f aca="false">IF(MilestoneReport[[#This Row],[_Task]]="","",IF(N(INDEX(tsk_PlanFinish,MilestoneReport[[#This Row],[_Task]]))=0,"",INDEX(tsk_PlanFinish,MilestoneReport[[#This Row],[_Task]])))</f>
        <v/>
      </c>
      <c r="F26" s="65" t="str">
        <f aca="false">IF(MilestoneReport[[#This Row],[_Task]]="","",IF(N(INDEX(tsk_FcFinish,MilestoneReport[[#This Row],[_Task]]))=0,"",INDEX(tsk_FcFinish,MilestoneReport[[#This Row],[_Task]])))</f>
        <v/>
      </c>
      <c r="G26" s="41" t="str">
        <f aca="false">IF(MilestoneReport[[#This Row],[_Task]]="","",INDEX(tsk_Variance,MilestoneReport[[#This Row],[_Task]]))</f>
        <v/>
      </c>
      <c r="H26" s="65" t="str">
        <f aca="false">IF(MilestoneReport[[#This Row],[_Task]]="","",IF(N(INDEX(tsk_Deadline,MilestoneReport[[#This Row],[_Task]]))=0,"",INDEX(tsk_Deadline,MilestoneReport[[#This Row],[_Task]])))</f>
        <v/>
      </c>
      <c r="I26" s="30" t="str">
        <f aca="false">IF(MilestoneReport[[#This Row],[_Task]]="","",INDEX(tsk_DeadlineCheck,MilestoneReport[[#This Row],[_Task]])&amp;"")</f>
        <v/>
      </c>
      <c r="J26" s="30" t="str">
        <f aca="false">IF(MilestoneReport[[#This Row],[_Task]]="","",INDEX(tsk_Status,MilestoneReport[[#This Row],[_Task]])&amp;"")</f>
        <v/>
      </c>
    </row>
    <row r="27" customFormat="false" ht="15" hidden="false" customHeight="false" outlineLevel="0" collapsed="false">
      <c r="B27" s="38" t="str">
        <f aca="false">IFERROR(MATCH(SMALL(tsk_MilestoneOrder,ROW()-ROW(MilestoneReport[[#Headers],[_Task]])),tsk_MilestoneOrder,0),"")</f>
        <v/>
      </c>
      <c r="C27" s="30" t="str">
        <f aca="false">IF(MilestoneReport[[#This Row],[_Task]]="","",INDEX(tsk_WBS,MilestoneReport[[#This Row],[_Task]])&amp;"")</f>
        <v/>
      </c>
      <c r="D27" s="30" t="str">
        <f aca="false">IF(MilestoneReport[[#This Row],[_Task]]="","",INDEX(tsk_Name,MilestoneReport[[#This Row],[_Task]])&amp;"")</f>
        <v/>
      </c>
      <c r="E27" s="65" t="str">
        <f aca="false">IF(MilestoneReport[[#This Row],[_Task]]="","",IF(N(INDEX(tsk_PlanFinish,MilestoneReport[[#This Row],[_Task]]))=0,"",INDEX(tsk_PlanFinish,MilestoneReport[[#This Row],[_Task]])))</f>
        <v/>
      </c>
      <c r="F27" s="65" t="str">
        <f aca="false">IF(MilestoneReport[[#This Row],[_Task]]="","",IF(N(INDEX(tsk_FcFinish,MilestoneReport[[#This Row],[_Task]]))=0,"",INDEX(tsk_FcFinish,MilestoneReport[[#This Row],[_Task]])))</f>
        <v/>
      </c>
      <c r="G27" s="41" t="str">
        <f aca="false">IF(MilestoneReport[[#This Row],[_Task]]="","",INDEX(tsk_Variance,MilestoneReport[[#This Row],[_Task]]))</f>
        <v/>
      </c>
      <c r="H27" s="65" t="str">
        <f aca="false">IF(MilestoneReport[[#This Row],[_Task]]="","",IF(N(INDEX(tsk_Deadline,MilestoneReport[[#This Row],[_Task]]))=0,"",INDEX(tsk_Deadline,MilestoneReport[[#This Row],[_Task]])))</f>
        <v/>
      </c>
      <c r="I27" s="30" t="str">
        <f aca="false">IF(MilestoneReport[[#This Row],[_Task]]="","",INDEX(tsk_DeadlineCheck,MilestoneReport[[#This Row],[_Task]])&amp;"")</f>
        <v/>
      </c>
      <c r="J27" s="30" t="str">
        <f aca="false">IF(MilestoneReport[[#This Row],[_Task]]="","",INDEX(tsk_Status,MilestoneReport[[#This Row],[_Task]])&amp;"")</f>
        <v/>
      </c>
    </row>
    <row r="28" customFormat="false" ht="15" hidden="false" customHeight="false" outlineLevel="0" collapsed="false">
      <c r="B28" s="38" t="str">
        <f aca="false">IFERROR(MATCH(SMALL(tsk_MilestoneOrder,ROW()-ROW(MilestoneReport[[#Headers],[_Task]])),tsk_MilestoneOrder,0),"")</f>
        <v/>
      </c>
      <c r="C28" s="30" t="str">
        <f aca="false">IF(MilestoneReport[[#This Row],[_Task]]="","",INDEX(tsk_WBS,MilestoneReport[[#This Row],[_Task]])&amp;"")</f>
        <v/>
      </c>
      <c r="D28" s="30" t="str">
        <f aca="false">IF(MilestoneReport[[#This Row],[_Task]]="","",INDEX(tsk_Name,MilestoneReport[[#This Row],[_Task]])&amp;"")</f>
        <v/>
      </c>
      <c r="E28" s="65" t="str">
        <f aca="false">IF(MilestoneReport[[#This Row],[_Task]]="","",IF(N(INDEX(tsk_PlanFinish,MilestoneReport[[#This Row],[_Task]]))=0,"",INDEX(tsk_PlanFinish,MilestoneReport[[#This Row],[_Task]])))</f>
        <v/>
      </c>
      <c r="F28" s="65" t="str">
        <f aca="false">IF(MilestoneReport[[#This Row],[_Task]]="","",IF(N(INDEX(tsk_FcFinish,MilestoneReport[[#This Row],[_Task]]))=0,"",INDEX(tsk_FcFinish,MilestoneReport[[#This Row],[_Task]])))</f>
        <v/>
      </c>
      <c r="G28" s="41" t="str">
        <f aca="false">IF(MilestoneReport[[#This Row],[_Task]]="","",INDEX(tsk_Variance,MilestoneReport[[#This Row],[_Task]]))</f>
        <v/>
      </c>
      <c r="H28" s="65" t="str">
        <f aca="false">IF(MilestoneReport[[#This Row],[_Task]]="","",IF(N(INDEX(tsk_Deadline,MilestoneReport[[#This Row],[_Task]]))=0,"",INDEX(tsk_Deadline,MilestoneReport[[#This Row],[_Task]])))</f>
        <v/>
      </c>
      <c r="I28" s="30" t="str">
        <f aca="false">IF(MilestoneReport[[#This Row],[_Task]]="","",INDEX(tsk_DeadlineCheck,MilestoneReport[[#This Row],[_Task]])&amp;"")</f>
        <v/>
      </c>
      <c r="J28" s="30" t="str">
        <f aca="false">IF(MilestoneReport[[#This Row],[_Task]]="","",INDEX(tsk_Status,MilestoneReport[[#This Row],[_Task]])&amp;"")</f>
        <v/>
      </c>
    </row>
    <row r="29" customFormat="false" ht="15" hidden="false" customHeight="false" outlineLevel="0" collapsed="false">
      <c r="B29" s="38" t="str">
        <f aca="false">IFERROR(MATCH(SMALL(tsk_MilestoneOrder,ROW()-ROW(MilestoneReport[[#Headers],[_Task]])),tsk_MilestoneOrder,0),"")</f>
        <v/>
      </c>
      <c r="C29" s="30" t="str">
        <f aca="false">IF(MilestoneReport[[#This Row],[_Task]]="","",INDEX(tsk_WBS,MilestoneReport[[#This Row],[_Task]])&amp;"")</f>
        <v/>
      </c>
      <c r="D29" s="30" t="str">
        <f aca="false">IF(MilestoneReport[[#This Row],[_Task]]="","",INDEX(tsk_Name,MilestoneReport[[#This Row],[_Task]])&amp;"")</f>
        <v/>
      </c>
      <c r="E29" s="65" t="str">
        <f aca="false">IF(MilestoneReport[[#This Row],[_Task]]="","",IF(N(INDEX(tsk_PlanFinish,MilestoneReport[[#This Row],[_Task]]))=0,"",INDEX(tsk_PlanFinish,MilestoneReport[[#This Row],[_Task]])))</f>
        <v/>
      </c>
      <c r="F29" s="65" t="str">
        <f aca="false">IF(MilestoneReport[[#This Row],[_Task]]="","",IF(N(INDEX(tsk_FcFinish,MilestoneReport[[#This Row],[_Task]]))=0,"",INDEX(tsk_FcFinish,MilestoneReport[[#This Row],[_Task]])))</f>
        <v/>
      </c>
      <c r="G29" s="41" t="str">
        <f aca="false">IF(MilestoneReport[[#This Row],[_Task]]="","",INDEX(tsk_Variance,MilestoneReport[[#This Row],[_Task]]))</f>
        <v/>
      </c>
      <c r="H29" s="65" t="str">
        <f aca="false">IF(MilestoneReport[[#This Row],[_Task]]="","",IF(N(INDEX(tsk_Deadline,MilestoneReport[[#This Row],[_Task]]))=0,"",INDEX(tsk_Deadline,MilestoneReport[[#This Row],[_Task]])))</f>
        <v/>
      </c>
      <c r="I29" s="30" t="str">
        <f aca="false">IF(MilestoneReport[[#This Row],[_Task]]="","",INDEX(tsk_DeadlineCheck,MilestoneReport[[#This Row],[_Task]])&amp;"")</f>
        <v/>
      </c>
      <c r="J29" s="30" t="str">
        <f aca="false">IF(MilestoneReport[[#This Row],[_Task]]="","",INDEX(tsk_Status,MilestoneReport[[#This Row],[_Task]])&amp;"")</f>
        <v/>
      </c>
    </row>
    <row r="30" customFormat="false" ht="15" hidden="false" customHeight="false" outlineLevel="0" collapsed="false">
      <c r="B30" s="38" t="str">
        <f aca="false">IFERROR(MATCH(SMALL(tsk_MilestoneOrder,ROW()-ROW(MilestoneReport[[#Headers],[_Task]])),tsk_MilestoneOrder,0),"")</f>
        <v/>
      </c>
      <c r="C30" s="30" t="str">
        <f aca="false">IF(MilestoneReport[[#This Row],[_Task]]="","",INDEX(tsk_WBS,MilestoneReport[[#This Row],[_Task]])&amp;"")</f>
        <v/>
      </c>
      <c r="D30" s="30" t="str">
        <f aca="false">IF(MilestoneReport[[#This Row],[_Task]]="","",INDEX(tsk_Name,MilestoneReport[[#This Row],[_Task]])&amp;"")</f>
        <v/>
      </c>
      <c r="E30" s="65" t="str">
        <f aca="false">IF(MilestoneReport[[#This Row],[_Task]]="","",IF(N(INDEX(tsk_PlanFinish,MilestoneReport[[#This Row],[_Task]]))=0,"",INDEX(tsk_PlanFinish,MilestoneReport[[#This Row],[_Task]])))</f>
        <v/>
      </c>
      <c r="F30" s="65" t="str">
        <f aca="false">IF(MilestoneReport[[#This Row],[_Task]]="","",IF(N(INDEX(tsk_FcFinish,MilestoneReport[[#This Row],[_Task]]))=0,"",INDEX(tsk_FcFinish,MilestoneReport[[#This Row],[_Task]])))</f>
        <v/>
      </c>
      <c r="G30" s="41" t="str">
        <f aca="false">IF(MilestoneReport[[#This Row],[_Task]]="","",INDEX(tsk_Variance,MilestoneReport[[#This Row],[_Task]]))</f>
        <v/>
      </c>
      <c r="H30" s="65" t="str">
        <f aca="false">IF(MilestoneReport[[#This Row],[_Task]]="","",IF(N(INDEX(tsk_Deadline,MilestoneReport[[#This Row],[_Task]]))=0,"",INDEX(tsk_Deadline,MilestoneReport[[#This Row],[_Task]])))</f>
        <v/>
      </c>
      <c r="I30" s="30" t="str">
        <f aca="false">IF(MilestoneReport[[#This Row],[_Task]]="","",INDEX(tsk_DeadlineCheck,MilestoneReport[[#This Row],[_Task]])&amp;"")</f>
        <v/>
      </c>
      <c r="J30" s="30" t="str">
        <f aca="false">IF(MilestoneReport[[#This Row],[_Task]]="","",INDEX(tsk_Status,MilestoneReport[[#This Row],[_Task]])&amp;"")</f>
        <v/>
      </c>
    </row>
    <row r="31" customFormat="false" ht="15" hidden="false" customHeight="false" outlineLevel="0" collapsed="false">
      <c r="B31" s="38" t="str">
        <f aca="false">IFERROR(MATCH(SMALL(tsk_MilestoneOrder,ROW()-ROW(MilestoneReport[[#Headers],[_Task]])),tsk_MilestoneOrder,0),"")</f>
        <v/>
      </c>
      <c r="C31" s="30" t="str">
        <f aca="false">IF(MilestoneReport[[#This Row],[_Task]]="","",INDEX(tsk_WBS,MilestoneReport[[#This Row],[_Task]])&amp;"")</f>
        <v/>
      </c>
      <c r="D31" s="30" t="str">
        <f aca="false">IF(MilestoneReport[[#This Row],[_Task]]="","",INDEX(tsk_Name,MilestoneReport[[#This Row],[_Task]])&amp;"")</f>
        <v/>
      </c>
      <c r="E31" s="65" t="str">
        <f aca="false">IF(MilestoneReport[[#This Row],[_Task]]="","",IF(N(INDEX(tsk_PlanFinish,MilestoneReport[[#This Row],[_Task]]))=0,"",INDEX(tsk_PlanFinish,MilestoneReport[[#This Row],[_Task]])))</f>
        <v/>
      </c>
      <c r="F31" s="65" t="str">
        <f aca="false">IF(MilestoneReport[[#This Row],[_Task]]="","",IF(N(INDEX(tsk_FcFinish,MilestoneReport[[#This Row],[_Task]]))=0,"",INDEX(tsk_FcFinish,MilestoneReport[[#This Row],[_Task]])))</f>
        <v/>
      </c>
      <c r="G31" s="41" t="str">
        <f aca="false">IF(MilestoneReport[[#This Row],[_Task]]="","",INDEX(tsk_Variance,MilestoneReport[[#This Row],[_Task]]))</f>
        <v/>
      </c>
      <c r="H31" s="65" t="str">
        <f aca="false">IF(MilestoneReport[[#This Row],[_Task]]="","",IF(N(INDEX(tsk_Deadline,MilestoneReport[[#This Row],[_Task]]))=0,"",INDEX(tsk_Deadline,MilestoneReport[[#This Row],[_Task]])))</f>
        <v/>
      </c>
      <c r="I31" s="30" t="str">
        <f aca="false">IF(MilestoneReport[[#This Row],[_Task]]="","",INDEX(tsk_DeadlineCheck,MilestoneReport[[#This Row],[_Task]])&amp;"")</f>
        <v/>
      </c>
      <c r="J31" s="30" t="str">
        <f aca="false">IF(MilestoneReport[[#This Row],[_Task]]="","",INDEX(tsk_Status,MilestoneReport[[#This Row],[_Task]])&amp;"")</f>
        <v/>
      </c>
    </row>
    <row r="32" customFormat="false" ht="15" hidden="false" customHeight="false" outlineLevel="0" collapsed="false">
      <c r="B32" s="38" t="str">
        <f aca="false">IFERROR(MATCH(SMALL(tsk_MilestoneOrder,ROW()-ROW(MilestoneReport[[#Headers],[_Task]])),tsk_MilestoneOrder,0),"")</f>
        <v/>
      </c>
      <c r="C32" s="30" t="str">
        <f aca="false">IF(MilestoneReport[[#This Row],[_Task]]="","",INDEX(tsk_WBS,MilestoneReport[[#This Row],[_Task]])&amp;"")</f>
        <v/>
      </c>
      <c r="D32" s="30" t="str">
        <f aca="false">IF(MilestoneReport[[#This Row],[_Task]]="","",INDEX(tsk_Name,MilestoneReport[[#This Row],[_Task]])&amp;"")</f>
        <v/>
      </c>
      <c r="E32" s="65" t="str">
        <f aca="false">IF(MilestoneReport[[#This Row],[_Task]]="","",IF(N(INDEX(tsk_PlanFinish,MilestoneReport[[#This Row],[_Task]]))=0,"",INDEX(tsk_PlanFinish,MilestoneReport[[#This Row],[_Task]])))</f>
        <v/>
      </c>
      <c r="F32" s="65" t="str">
        <f aca="false">IF(MilestoneReport[[#This Row],[_Task]]="","",IF(N(INDEX(tsk_FcFinish,MilestoneReport[[#This Row],[_Task]]))=0,"",INDEX(tsk_FcFinish,MilestoneReport[[#This Row],[_Task]])))</f>
        <v/>
      </c>
      <c r="G32" s="41" t="str">
        <f aca="false">IF(MilestoneReport[[#This Row],[_Task]]="","",INDEX(tsk_Variance,MilestoneReport[[#This Row],[_Task]]))</f>
        <v/>
      </c>
      <c r="H32" s="65" t="str">
        <f aca="false">IF(MilestoneReport[[#This Row],[_Task]]="","",IF(N(INDEX(tsk_Deadline,MilestoneReport[[#This Row],[_Task]]))=0,"",INDEX(tsk_Deadline,MilestoneReport[[#This Row],[_Task]])))</f>
        <v/>
      </c>
      <c r="I32" s="30" t="str">
        <f aca="false">IF(MilestoneReport[[#This Row],[_Task]]="","",INDEX(tsk_DeadlineCheck,MilestoneReport[[#This Row],[_Task]])&amp;"")</f>
        <v/>
      </c>
      <c r="J32" s="30" t="str">
        <f aca="false">IF(MilestoneReport[[#This Row],[_Task]]="","",INDEX(tsk_Status,MilestoneReport[[#This Row],[_Task]])&amp;"")</f>
        <v/>
      </c>
    </row>
    <row r="33" customFormat="false" ht="15" hidden="false" customHeight="false" outlineLevel="0" collapsed="false">
      <c r="B33" s="38" t="str">
        <f aca="false">IFERROR(MATCH(SMALL(tsk_MilestoneOrder,ROW()-ROW(MilestoneReport[[#Headers],[_Task]])),tsk_MilestoneOrder,0),"")</f>
        <v/>
      </c>
      <c r="C33" s="30" t="str">
        <f aca="false">IF(MilestoneReport[[#This Row],[_Task]]="","",INDEX(tsk_WBS,MilestoneReport[[#This Row],[_Task]])&amp;"")</f>
        <v/>
      </c>
      <c r="D33" s="30" t="str">
        <f aca="false">IF(MilestoneReport[[#This Row],[_Task]]="","",INDEX(tsk_Name,MilestoneReport[[#This Row],[_Task]])&amp;"")</f>
        <v/>
      </c>
      <c r="E33" s="65" t="str">
        <f aca="false">IF(MilestoneReport[[#This Row],[_Task]]="","",IF(N(INDEX(tsk_PlanFinish,MilestoneReport[[#This Row],[_Task]]))=0,"",INDEX(tsk_PlanFinish,MilestoneReport[[#This Row],[_Task]])))</f>
        <v/>
      </c>
      <c r="F33" s="65" t="str">
        <f aca="false">IF(MilestoneReport[[#This Row],[_Task]]="","",IF(N(INDEX(tsk_FcFinish,MilestoneReport[[#This Row],[_Task]]))=0,"",INDEX(tsk_FcFinish,MilestoneReport[[#This Row],[_Task]])))</f>
        <v/>
      </c>
      <c r="G33" s="41" t="str">
        <f aca="false">IF(MilestoneReport[[#This Row],[_Task]]="","",INDEX(tsk_Variance,MilestoneReport[[#This Row],[_Task]]))</f>
        <v/>
      </c>
      <c r="H33" s="65" t="str">
        <f aca="false">IF(MilestoneReport[[#This Row],[_Task]]="","",IF(N(INDEX(tsk_Deadline,MilestoneReport[[#This Row],[_Task]]))=0,"",INDEX(tsk_Deadline,MilestoneReport[[#This Row],[_Task]])))</f>
        <v/>
      </c>
      <c r="I33" s="30" t="str">
        <f aca="false">IF(MilestoneReport[[#This Row],[_Task]]="","",INDEX(tsk_DeadlineCheck,MilestoneReport[[#This Row],[_Task]])&amp;"")</f>
        <v/>
      </c>
      <c r="J33" s="30"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0</v>
      </c>
    </row>
    <row r="36" customFormat="false" ht="23.85" hidden="false" customHeight="false" outlineLevel="0" collapsed="false">
      <c r="B36" s="37" t="s">
        <v>151</v>
      </c>
      <c r="C36" s="15" t="s">
        <v>152</v>
      </c>
      <c r="D36" s="15" t="s">
        <v>227</v>
      </c>
      <c r="E36" s="15" t="s">
        <v>255</v>
      </c>
      <c r="F36" s="15" t="s">
        <v>155</v>
      </c>
      <c r="G36" s="15" t="s">
        <v>247</v>
      </c>
      <c r="H36" s="15" t="s">
        <v>158</v>
      </c>
      <c r="I36" s="15" t="s">
        <v>28</v>
      </c>
      <c r="J36" s="15" t="s">
        <v>256</v>
      </c>
    </row>
    <row r="37" customFormat="false" ht="15" hidden="false" customHeight="false" outlineLevel="0" collapsed="false">
      <c r="B37" s="38" t="str">
        <f aca="false">IFERROR(MATCH(LARGE(tsk_LateKey,ROW()-ROW(LateTasks[[#Headers],[_Task]])),tsk_LateKey,0),"")</f>
        <v/>
      </c>
      <c r="C37" s="30" t="str">
        <f aca="false">IF(LateTasks[[#This Row],[_Task]]="","",INDEX(tsk_WBS,LateTasks[[#This Row],[_Task]])&amp;"")</f>
        <v/>
      </c>
      <c r="D37" s="30" t="str">
        <f aca="false">IF(LateTasks[[#This Row],[_Task]]="","",INDEX(tsk_Name,LateTasks[[#This Row],[_Task]])&amp;"")</f>
        <v/>
      </c>
      <c r="E37" s="30" t="str">
        <f aca="false">IF(LateTasks[[#This Row],[_Task]]="","",INDEX(tsk_ResourceNames,LateTasks[[#This Row],[_Task]])&amp;"")</f>
        <v/>
      </c>
      <c r="F37" s="65" t="str">
        <f aca="false">IF(LateTasks[[#This Row],[_Task]]="","",IF(N(INDEX(tsk_PlanFinish,LateTasks[[#This Row],[_Task]]))=0,"",INDEX(tsk_PlanFinish,LateTasks[[#This Row],[_Task]])))</f>
        <v/>
      </c>
      <c r="G37" s="65" t="str">
        <f aca="false">IF(LateTasks[[#This Row],[_Task]]="","",IF(N(INDEX(tsk_FcFinish,LateTasks[[#This Row],[_Task]]))=0,"",INDEX(tsk_FcFinish,LateTasks[[#This Row],[_Task]])))</f>
        <v/>
      </c>
      <c r="H37" s="41" t="str">
        <f aca="false">IF(LateTasks[[#This Row],[_Task]]="","",INDEX(tsk_Variance,LateTasks[[#This Row],[_Task]]))</f>
        <v/>
      </c>
      <c r="I37" s="30" t="str">
        <f aca="false">IF(LateTasks[[#This Row],[_Task]]="","",INDEX(tsk_Status,LateTasks[[#This Row],[_Task]])&amp;"")</f>
        <v/>
      </c>
      <c r="J37" s="30" t="str">
        <f aca="false">IF(LateTasks[[#This Row],[_Task]]="","",INDEX(tsk_Critical,LateTasks[[#This Row],[_Task]])&amp;"")</f>
        <v/>
      </c>
    </row>
    <row r="38" customFormat="false" ht="15" hidden="false" customHeight="false" outlineLevel="0" collapsed="false">
      <c r="B38" s="38" t="str">
        <f aca="false">IFERROR(MATCH(LARGE(tsk_LateKey,ROW()-ROW(LateTasks[[#Headers],[_Task]])),tsk_LateKey,0),"")</f>
        <v/>
      </c>
      <c r="C38" s="30" t="str">
        <f aca="false">IF(LateTasks[[#This Row],[_Task]]="","",INDEX(tsk_WBS,LateTasks[[#This Row],[_Task]])&amp;"")</f>
        <v/>
      </c>
      <c r="D38" s="30" t="str">
        <f aca="false">IF(LateTasks[[#This Row],[_Task]]="","",INDEX(tsk_Name,LateTasks[[#This Row],[_Task]])&amp;"")</f>
        <v/>
      </c>
      <c r="E38" s="30" t="str">
        <f aca="false">IF(LateTasks[[#This Row],[_Task]]="","",INDEX(tsk_ResourceNames,LateTasks[[#This Row],[_Task]])&amp;"")</f>
        <v/>
      </c>
      <c r="F38" s="65" t="str">
        <f aca="false">IF(LateTasks[[#This Row],[_Task]]="","",IF(N(INDEX(tsk_PlanFinish,LateTasks[[#This Row],[_Task]]))=0,"",INDEX(tsk_PlanFinish,LateTasks[[#This Row],[_Task]])))</f>
        <v/>
      </c>
      <c r="G38" s="65" t="str">
        <f aca="false">IF(LateTasks[[#This Row],[_Task]]="","",IF(N(INDEX(tsk_FcFinish,LateTasks[[#This Row],[_Task]]))=0,"",INDEX(tsk_FcFinish,LateTasks[[#This Row],[_Task]])))</f>
        <v/>
      </c>
      <c r="H38" s="41" t="str">
        <f aca="false">IF(LateTasks[[#This Row],[_Task]]="","",INDEX(tsk_Variance,LateTasks[[#This Row],[_Task]]))</f>
        <v/>
      </c>
      <c r="I38" s="30" t="str">
        <f aca="false">IF(LateTasks[[#This Row],[_Task]]="","",INDEX(tsk_Status,LateTasks[[#This Row],[_Task]])&amp;"")</f>
        <v/>
      </c>
      <c r="J38" s="30" t="str">
        <f aca="false">IF(LateTasks[[#This Row],[_Task]]="","",INDEX(tsk_Critical,LateTasks[[#This Row],[_Task]])&amp;"")</f>
        <v/>
      </c>
    </row>
    <row r="39" customFormat="false" ht="15" hidden="false" customHeight="false" outlineLevel="0" collapsed="false">
      <c r="B39" s="38" t="str">
        <f aca="false">IFERROR(MATCH(LARGE(tsk_LateKey,ROW()-ROW(LateTasks[[#Headers],[_Task]])),tsk_LateKey,0),"")</f>
        <v/>
      </c>
      <c r="C39" s="30" t="str">
        <f aca="false">IF(LateTasks[[#This Row],[_Task]]="","",INDEX(tsk_WBS,LateTasks[[#This Row],[_Task]])&amp;"")</f>
        <v/>
      </c>
      <c r="D39" s="30" t="str">
        <f aca="false">IF(LateTasks[[#This Row],[_Task]]="","",INDEX(tsk_Name,LateTasks[[#This Row],[_Task]])&amp;"")</f>
        <v/>
      </c>
      <c r="E39" s="30" t="str">
        <f aca="false">IF(LateTasks[[#This Row],[_Task]]="","",INDEX(tsk_ResourceNames,LateTasks[[#This Row],[_Task]])&amp;"")</f>
        <v/>
      </c>
      <c r="F39" s="65" t="str">
        <f aca="false">IF(LateTasks[[#This Row],[_Task]]="","",IF(N(INDEX(tsk_PlanFinish,LateTasks[[#This Row],[_Task]]))=0,"",INDEX(tsk_PlanFinish,LateTasks[[#This Row],[_Task]])))</f>
        <v/>
      </c>
      <c r="G39" s="65" t="str">
        <f aca="false">IF(LateTasks[[#This Row],[_Task]]="","",IF(N(INDEX(tsk_FcFinish,LateTasks[[#This Row],[_Task]]))=0,"",INDEX(tsk_FcFinish,LateTasks[[#This Row],[_Task]])))</f>
        <v/>
      </c>
      <c r="H39" s="41" t="str">
        <f aca="false">IF(LateTasks[[#This Row],[_Task]]="","",INDEX(tsk_Variance,LateTasks[[#This Row],[_Task]]))</f>
        <v/>
      </c>
      <c r="I39" s="30" t="str">
        <f aca="false">IF(LateTasks[[#This Row],[_Task]]="","",INDEX(tsk_Status,LateTasks[[#This Row],[_Task]])&amp;"")</f>
        <v/>
      </c>
      <c r="J39" s="30" t="str">
        <f aca="false">IF(LateTasks[[#This Row],[_Task]]="","",INDEX(tsk_Critical,LateTasks[[#This Row],[_Task]])&amp;"")</f>
        <v/>
      </c>
    </row>
    <row r="40" customFormat="false" ht="15" hidden="false" customHeight="false" outlineLevel="0" collapsed="false">
      <c r="B40" s="38" t="str">
        <f aca="false">IFERROR(MATCH(LARGE(tsk_LateKey,ROW()-ROW(LateTasks[[#Headers],[_Task]])),tsk_LateKey,0),"")</f>
        <v/>
      </c>
      <c r="C40" s="30" t="str">
        <f aca="false">IF(LateTasks[[#This Row],[_Task]]="","",INDEX(tsk_WBS,LateTasks[[#This Row],[_Task]])&amp;"")</f>
        <v/>
      </c>
      <c r="D40" s="30" t="str">
        <f aca="false">IF(LateTasks[[#This Row],[_Task]]="","",INDEX(tsk_Name,LateTasks[[#This Row],[_Task]])&amp;"")</f>
        <v/>
      </c>
      <c r="E40" s="30" t="str">
        <f aca="false">IF(LateTasks[[#This Row],[_Task]]="","",INDEX(tsk_ResourceNames,LateTasks[[#This Row],[_Task]])&amp;"")</f>
        <v/>
      </c>
      <c r="F40" s="65" t="str">
        <f aca="false">IF(LateTasks[[#This Row],[_Task]]="","",IF(N(INDEX(tsk_PlanFinish,LateTasks[[#This Row],[_Task]]))=0,"",INDEX(tsk_PlanFinish,LateTasks[[#This Row],[_Task]])))</f>
        <v/>
      </c>
      <c r="G40" s="65" t="str">
        <f aca="false">IF(LateTasks[[#This Row],[_Task]]="","",IF(N(INDEX(tsk_FcFinish,LateTasks[[#This Row],[_Task]]))=0,"",INDEX(tsk_FcFinish,LateTasks[[#This Row],[_Task]])))</f>
        <v/>
      </c>
      <c r="H40" s="41" t="str">
        <f aca="false">IF(LateTasks[[#This Row],[_Task]]="","",INDEX(tsk_Variance,LateTasks[[#This Row],[_Task]]))</f>
        <v/>
      </c>
      <c r="I40" s="30" t="str">
        <f aca="false">IF(LateTasks[[#This Row],[_Task]]="","",INDEX(tsk_Status,LateTasks[[#This Row],[_Task]])&amp;"")</f>
        <v/>
      </c>
      <c r="J40" s="30" t="str">
        <f aca="false">IF(LateTasks[[#This Row],[_Task]]="","",INDEX(tsk_Critical,LateTasks[[#This Row],[_Task]])&amp;"")</f>
        <v/>
      </c>
    </row>
    <row r="41" customFormat="false" ht="15" hidden="false" customHeight="false" outlineLevel="0" collapsed="false">
      <c r="B41" s="38" t="str">
        <f aca="false">IFERROR(MATCH(LARGE(tsk_LateKey,ROW()-ROW(LateTasks[[#Headers],[_Task]])),tsk_LateKey,0),"")</f>
        <v/>
      </c>
      <c r="C41" s="30" t="str">
        <f aca="false">IF(LateTasks[[#This Row],[_Task]]="","",INDEX(tsk_WBS,LateTasks[[#This Row],[_Task]])&amp;"")</f>
        <v/>
      </c>
      <c r="D41" s="30" t="str">
        <f aca="false">IF(LateTasks[[#This Row],[_Task]]="","",INDEX(tsk_Name,LateTasks[[#This Row],[_Task]])&amp;"")</f>
        <v/>
      </c>
      <c r="E41" s="30" t="str">
        <f aca="false">IF(LateTasks[[#This Row],[_Task]]="","",INDEX(tsk_ResourceNames,LateTasks[[#This Row],[_Task]])&amp;"")</f>
        <v/>
      </c>
      <c r="F41" s="65" t="str">
        <f aca="false">IF(LateTasks[[#This Row],[_Task]]="","",IF(N(INDEX(tsk_PlanFinish,LateTasks[[#This Row],[_Task]]))=0,"",INDEX(tsk_PlanFinish,LateTasks[[#This Row],[_Task]])))</f>
        <v/>
      </c>
      <c r="G41" s="65" t="str">
        <f aca="false">IF(LateTasks[[#This Row],[_Task]]="","",IF(N(INDEX(tsk_FcFinish,LateTasks[[#This Row],[_Task]]))=0,"",INDEX(tsk_FcFinish,LateTasks[[#This Row],[_Task]])))</f>
        <v/>
      </c>
      <c r="H41" s="41" t="str">
        <f aca="false">IF(LateTasks[[#This Row],[_Task]]="","",INDEX(tsk_Variance,LateTasks[[#This Row],[_Task]]))</f>
        <v/>
      </c>
      <c r="I41" s="30" t="str">
        <f aca="false">IF(LateTasks[[#This Row],[_Task]]="","",INDEX(tsk_Status,LateTasks[[#This Row],[_Task]])&amp;"")</f>
        <v/>
      </c>
      <c r="J41" s="30" t="str">
        <f aca="false">IF(LateTasks[[#This Row],[_Task]]="","",INDEX(tsk_Critical,LateTasks[[#This Row],[_Task]])&amp;"")</f>
        <v/>
      </c>
    </row>
    <row r="42" customFormat="false" ht="15" hidden="false" customHeight="false" outlineLevel="0" collapsed="false">
      <c r="B42" s="38" t="str">
        <f aca="false">IFERROR(MATCH(LARGE(tsk_LateKey,ROW()-ROW(LateTasks[[#Headers],[_Task]])),tsk_LateKey,0),"")</f>
        <v/>
      </c>
      <c r="C42" s="30" t="str">
        <f aca="false">IF(LateTasks[[#This Row],[_Task]]="","",INDEX(tsk_WBS,LateTasks[[#This Row],[_Task]])&amp;"")</f>
        <v/>
      </c>
      <c r="D42" s="30" t="str">
        <f aca="false">IF(LateTasks[[#This Row],[_Task]]="","",INDEX(tsk_Name,LateTasks[[#This Row],[_Task]])&amp;"")</f>
        <v/>
      </c>
      <c r="E42" s="30" t="str">
        <f aca="false">IF(LateTasks[[#This Row],[_Task]]="","",INDEX(tsk_ResourceNames,LateTasks[[#This Row],[_Task]])&amp;"")</f>
        <v/>
      </c>
      <c r="F42" s="65" t="str">
        <f aca="false">IF(LateTasks[[#This Row],[_Task]]="","",IF(N(INDEX(tsk_PlanFinish,LateTasks[[#This Row],[_Task]]))=0,"",INDEX(tsk_PlanFinish,LateTasks[[#This Row],[_Task]])))</f>
        <v/>
      </c>
      <c r="G42" s="65" t="str">
        <f aca="false">IF(LateTasks[[#This Row],[_Task]]="","",IF(N(INDEX(tsk_FcFinish,LateTasks[[#This Row],[_Task]]))=0,"",INDEX(tsk_FcFinish,LateTasks[[#This Row],[_Task]])))</f>
        <v/>
      </c>
      <c r="H42" s="41" t="str">
        <f aca="false">IF(LateTasks[[#This Row],[_Task]]="","",INDEX(tsk_Variance,LateTasks[[#This Row],[_Task]]))</f>
        <v/>
      </c>
      <c r="I42" s="30" t="str">
        <f aca="false">IF(LateTasks[[#This Row],[_Task]]="","",INDEX(tsk_Status,LateTasks[[#This Row],[_Task]])&amp;"")</f>
        <v/>
      </c>
      <c r="J42" s="30" t="str">
        <f aca="false">IF(LateTasks[[#This Row],[_Task]]="","",INDEX(tsk_Critical,LateTasks[[#This Row],[_Task]])&amp;"")</f>
        <v/>
      </c>
    </row>
    <row r="43" customFormat="false" ht="15" hidden="false" customHeight="false" outlineLevel="0" collapsed="false">
      <c r="B43" s="38" t="str">
        <f aca="false">IFERROR(MATCH(LARGE(tsk_LateKey,ROW()-ROW(LateTasks[[#Headers],[_Task]])),tsk_LateKey,0),"")</f>
        <v/>
      </c>
      <c r="C43" s="30" t="str">
        <f aca="false">IF(LateTasks[[#This Row],[_Task]]="","",INDEX(tsk_WBS,LateTasks[[#This Row],[_Task]])&amp;"")</f>
        <v/>
      </c>
      <c r="D43" s="30" t="str">
        <f aca="false">IF(LateTasks[[#This Row],[_Task]]="","",INDEX(tsk_Name,LateTasks[[#This Row],[_Task]])&amp;"")</f>
        <v/>
      </c>
      <c r="E43" s="30" t="str">
        <f aca="false">IF(LateTasks[[#This Row],[_Task]]="","",INDEX(tsk_ResourceNames,LateTasks[[#This Row],[_Task]])&amp;"")</f>
        <v/>
      </c>
      <c r="F43" s="65" t="str">
        <f aca="false">IF(LateTasks[[#This Row],[_Task]]="","",IF(N(INDEX(tsk_PlanFinish,LateTasks[[#This Row],[_Task]]))=0,"",INDEX(tsk_PlanFinish,LateTasks[[#This Row],[_Task]])))</f>
        <v/>
      </c>
      <c r="G43" s="65" t="str">
        <f aca="false">IF(LateTasks[[#This Row],[_Task]]="","",IF(N(INDEX(tsk_FcFinish,LateTasks[[#This Row],[_Task]]))=0,"",INDEX(tsk_FcFinish,LateTasks[[#This Row],[_Task]])))</f>
        <v/>
      </c>
      <c r="H43" s="41" t="str">
        <f aca="false">IF(LateTasks[[#This Row],[_Task]]="","",INDEX(tsk_Variance,LateTasks[[#This Row],[_Task]]))</f>
        <v/>
      </c>
      <c r="I43" s="30" t="str">
        <f aca="false">IF(LateTasks[[#This Row],[_Task]]="","",INDEX(tsk_Status,LateTasks[[#This Row],[_Task]])&amp;"")</f>
        <v/>
      </c>
      <c r="J43" s="30" t="str">
        <f aca="false">IF(LateTasks[[#This Row],[_Task]]="","",INDEX(tsk_Critical,LateTasks[[#This Row],[_Task]])&amp;"")</f>
        <v/>
      </c>
    </row>
    <row r="44" customFormat="false" ht="15" hidden="false" customHeight="false" outlineLevel="0" collapsed="false">
      <c r="B44" s="38" t="str">
        <f aca="false">IFERROR(MATCH(LARGE(tsk_LateKey,ROW()-ROW(LateTasks[[#Headers],[_Task]])),tsk_LateKey,0),"")</f>
        <v/>
      </c>
      <c r="C44" s="30" t="str">
        <f aca="false">IF(LateTasks[[#This Row],[_Task]]="","",INDEX(tsk_WBS,LateTasks[[#This Row],[_Task]])&amp;"")</f>
        <v/>
      </c>
      <c r="D44" s="30" t="str">
        <f aca="false">IF(LateTasks[[#This Row],[_Task]]="","",INDEX(tsk_Name,LateTasks[[#This Row],[_Task]])&amp;"")</f>
        <v/>
      </c>
      <c r="E44" s="30" t="str">
        <f aca="false">IF(LateTasks[[#This Row],[_Task]]="","",INDEX(tsk_ResourceNames,LateTasks[[#This Row],[_Task]])&amp;"")</f>
        <v/>
      </c>
      <c r="F44" s="65" t="str">
        <f aca="false">IF(LateTasks[[#This Row],[_Task]]="","",IF(N(INDEX(tsk_PlanFinish,LateTasks[[#This Row],[_Task]]))=0,"",INDEX(tsk_PlanFinish,LateTasks[[#This Row],[_Task]])))</f>
        <v/>
      </c>
      <c r="G44" s="65" t="str">
        <f aca="false">IF(LateTasks[[#This Row],[_Task]]="","",IF(N(INDEX(tsk_FcFinish,LateTasks[[#This Row],[_Task]]))=0,"",INDEX(tsk_FcFinish,LateTasks[[#This Row],[_Task]])))</f>
        <v/>
      </c>
      <c r="H44" s="41" t="str">
        <f aca="false">IF(LateTasks[[#This Row],[_Task]]="","",INDEX(tsk_Variance,LateTasks[[#This Row],[_Task]]))</f>
        <v/>
      </c>
      <c r="I44" s="30" t="str">
        <f aca="false">IF(LateTasks[[#This Row],[_Task]]="","",INDEX(tsk_Status,LateTasks[[#This Row],[_Task]])&amp;"")</f>
        <v/>
      </c>
      <c r="J44" s="30" t="str">
        <f aca="false">IF(LateTasks[[#This Row],[_Task]]="","",INDEX(tsk_Critical,LateTasks[[#This Row],[_Task]])&amp;"")</f>
        <v/>
      </c>
    </row>
    <row r="45" customFormat="false" ht="15" hidden="false" customHeight="false" outlineLevel="0" collapsed="false">
      <c r="B45" s="38" t="str">
        <f aca="false">IFERROR(MATCH(LARGE(tsk_LateKey,ROW()-ROW(LateTasks[[#Headers],[_Task]])),tsk_LateKey,0),"")</f>
        <v/>
      </c>
      <c r="C45" s="30" t="str">
        <f aca="false">IF(LateTasks[[#This Row],[_Task]]="","",INDEX(tsk_WBS,LateTasks[[#This Row],[_Task]])&amp;"")</f>
        <v/>
      </c>
      <c r="D45" s="30" t="str">
        <f aca="false">IF(LateTasks[[#This Row],[_Task]]="","",INDEX(tsk_Name,LateTasks[[#This Row],[_Task]])&amp;"")</f>
        <v/>
      </c>
      <c r="E45" s="30" t="str">
        <f aca="false">IF(LateTasks[[#This Row],[_Task]]="","",INDEX(tsk_ResourceNames,LateTasks[[#This Row],[_Task]])&amp;"")</f>
        <v/>
      </c>
      <c r="F45" s="65" t="str">
        <f aca="false">IF(LateTasks[[#This Row],[_Task]]="","",IF(N(INDEX(tsk_PlanFinish,LateTasks[[#This Row],[_Task]]))=0,"",INDEX(tsk_PlanFinish,LateTasks[[#This Row],[_Task]])))</f>
        <v/>
      </c>
      <c r="G45" s="65" t="str">
        <f aca="false">IF(LateTasks[[#This Row],[_Task]]="","",IF(N(INDEX(tsk_FcFinish,LateTasks[[#This Row],[_Task]]))=0,"",INDEX(tsk_FcFinish,LateTasks[[#This Row],[_Task]])))</f>
        <v/>
      </c>
      <c r="H45" s="41" t="str">
        <f aca="false">IF(LateTasks[[#This Row],[_Task]]="","",INDEX(tsk_Variance,LateTasks[[#This Row],[_Task]]))</f>
        <v/>
      </c>
      <c r="I45" s="30" t="str">
        <f aca="false">IF(LateTasks[[#This Row],[_Task]]="","",INDEX(tsk_Status,LateTasks[[#This Row],[_Task]])&amp;"")</f>
        <v/>
      </c>
      <c r="J45" s="30" t="str">
        <f aca="false">IF(LateTasks[[#This Row],[_Task]]="","",INDEX(tsk_Critical,LateTasks[[#This Row],[_Task]])&amp;"")</f>
        <v/>
      </c>
    </row>
    <row r="46" customFormat="false" ht="15" hidden="false" customHeight="false" outlineLevel="0" collapsed="false">
      <c r="B46" s="38" t="str">
        <f aca="false">IFERROR(MATCH(LARGE(tsk_LateKey,ROW()-ROW(LateTasks[[#Headers],[_Task]])),tsk_LateKey,0),"")</f>
        <v/>
      </c>
      <c r="C46" s="30" t="str">
        <f aca="false">IF(LateTasks[[#This Row],[_Task]]="","",INDEX(tsk_WBS,LateTasks[[#This Row],[_Task]])&amp;"")</f>
        <v/>
      </c>
      <c r="D46" s="30" t="str">
        <f aca="false">IF(LateTasks[[#This Row],[_Task]]="","",INDEX(tsk_Name,LateTasks[[#This Row],[_Task]])&amp;"")</f>
        <v/>
      </c>
      <c r="E46" s="30" t="str">
        <f aca="false">IF(LateTasks[[#This Row],[_Task]]="","",INDEX(tsk_ResourceNames,LateTasks[[#This Row],[_Task]])&amp;"")</f>
        <v/>
      </c>
      <c r="F46" s="65" t="str">
        <f aca="false">IF(LateTasks[[#This Row],[_Task]]="","",IF(N(INDEX(tsk_PlanFinish,LateTasks[[#This Row],[_Task]]))=0,"",INDEX(tsk_PlanFinish,LateTasks[[#This Row],[_Task]])))</f>
        <v/>
      </c>
      <c r="G46" s="65" t="str">
        <f aca="false">IF(LateTasks[[#This Row],[_Task]]="","",IF(N(INDEX(tsk_FcFinish,LateTasks[[#This Row],[_Task]]))=0,"",INDEX(tsk_FcFinish,LateTasks[[#This Row],[_Task]])))</f>
        <v/>
      </c>
      <c r="H46" s="41" t="str">
        <f aca="false">IF(LateTasks[[#This Row],[_Task]]="","",INDEX(tsk_Variance,LateTasks[[#This Row],[_Task]]))</f>
        <v/>
      </c>
      <c r="I46" s="30" t="str">
        <f aca="false">IF(LateTasks[[#This Row],[_Task]]="","",INDEX(tsk_Status,LateTasks[[#This Row],[_Task]])&amp;"")</f>
        <v/>
      </c>
      <c r="J46" s="30" t="str">
        <f aca="false">IF(LateTasks[[#This Row],[_Task]]="","",INDEX(tsk_Critical,LateTasks[[#This Row],[_Task]])&amp;"")</f>
        <v/>
      </c>
    </row>
    <row r="47" customFormat="false" ht="15" hidden="false" customHeight="false" outlineLevel="0" collapsed="false">
      <c r="B47" s="38" t="str">
        <f aca="false">IFERROR(MATCH(LARGE(tsk_LateKey,ROW()-ROW(LateTasks[[#Headers],[_Task]])),tsk_LateKey,0),"")</f>
        <v/>
      </c>
      <c r="C47" s="30" t="str">
        <f aca="false">IF(LateTasks[[#This Row],[_Task]]="","",INDEX(tsk_WBS,LateTasks[[#This Row],[_Task]])&amp;"")</f>
        <v/>
      </c>
      <c r="D47" s="30" t="str">
        <f aca="false">IF(LateTasks[[#This Row],[_Task]]="","",INDEX(tsk_Name,LateTasks[[#This Row],[_Task]])&amp;"")</f>
        <v/>
      </c>
      <c r="E47" s="30" t="str">
        <f aca="false">IF(LateTasks[[#This Row],[_Task]]="","",INDEX(tsk_ResourceNames,LateTasks[[#This Row],[_Task]])&amp;"")</f>
        <v/>
      </c>
      <c r="F47" s="65" t="str">
        <f aca="false">IF(LateTasks[[#This Row],[_Task]]="","",IF(N(INDEX(tsk_PlanFinish,LateTasks[[#This Row],[_Task]]))=0,"",INDEX(tsk_PlanFinish,LateTasks[[#This Row],[_Task]])))</f>
        <v/>
      </c>
      <c r="G47" s="65" t="str">
        <f aca="false">IF(LateTasks[[#This Row],[_Task]]="","",IF(N(INDEX(tsk_FcFinish,LateTasks[[#This Row],[_Task]]))=0,"",INDEX(tsk_FcFinish,LateTasks[[#This Row],[_Task]])))</f>
        <v/>
      </c>
      <c r="H47" s="41" t="str">
        <f aca="false">IF(LateTasks[[#This Row],[_Task]]="","",INDEX(tsk_Variance,LateTasks[[#This Row],[_Task]]))</f>
        <v/>
      </c>
      <c r="I47" s="30" t="str">
        <f aca="false">IF(LateTasks[[#This Row],[_Task]]="","",INDEX(tsk_Status,LateTasks[[#This Row],[_Task]])&amp;"")</f>
        <v/>
      </c>
      <c r="J47" s="30" t="str">
        <f aca="false">IF(LateTasks[[#This Row],[_Task]]="","",INDEX(tsk_Critical,LateTasks[[#This Row],[_Task]])&amp;"")</f>
        <v/>
      </c>
    </row>
    <row r="48" customFormat="false" ht="15" hidden="false" customHeight="false" outlineLevel="0" collapsed="false">
      <c r="B48" s="38" t="str">
        <f aca="false">IFERROR(MATCH(LARGE(tsk_LateKey,ROW()-ROW(LateTasks[[#Headers],[_Task]])),tsk_LateKey,0),"")</f>
        <v/>
      </c>
      <c r="C48" s="30" t="str">
        <f aca="false">IF(LateTasks[[#This Row],[_Task]]="","",INDEX(tsk_WBS,LateTasks[[#This Row],[_Task]])&amp;"")</f>
        <v/>
      </c>
      <c r="D48" s="30" t="str">
        <f aca="false">IF(LateTasks[[#This Row],[_Task]]="","",INDEX(tsk_Name,LateTasks[[#This Row],[_Task]])&amp;"")</f>
        <v/>
      </c>
      <c r="E48" s="30" t="str">
        <f aca="false">IF(LateTasks[[#This Row],[_Task]]="","",INDEX(tsk_ResourceNames,LateTasks[[#This Row],[_Task]])&amp;"")</f>
        <v/>
      </c>
      <c r="F48" s="65" t="str">
        <f aca="false">IF(LateTasks[[#This Row],[_Task]]="","",IF(N(INDEX(tsk_PlanFinish,LateTasks[[#This Row],[_Task]]))=0,"",INDEX(tsk_PlanFinish,LateTasks[[#This Row],[_Task]])))</f>
        <v/>
      </c>
      <c r="G48" s="65" t="str">
        <f aca="false">IF(LateTasks[[#This Row],[_Task]]="","",IF(N(INDEX(tsk_FcFinish,LateTasks[[#This Row],[_Task]]))=0,"",INDEX(tsk_FcFinish,LateTasks[[#This Row],[_Task]])))</f>
        <v/>
      </c>
      <c r="H48" s="41" t="str">
        <f aca="false">IF(LateTasks[[#This Row],[_Task]]="","",INDEX(tsk_Variance,LateTasks[[#This Row],[_Task]]))</f>
        <v/>
      </c>
      <c r="I48" s="30" t="str">
        <f aca="false">IF(LateTasks[[#This Row],[_Task]]="","",INDEX(tsk_Status,LateTasks[[#This Row],[_Task]])&amp;"")</f>
        <v/>
      </c>
      <c r="J48" s="30" t="str">
        <f aca="false">IF(LateTasks[[#This Row],[_Task]]="","",INDEX(tsk_Critical,LateTasks[[#This Row],[_Task]])&amp;"")</f>
        <v/>
      </c>
    </row>
    <row r="49" customFormat="false" ht="15" hidden="false" customHeight="false" outlineLevel="0" collapsed="false">
      <c r="B49" s="38" t="str">
        <f aca="false">IFERROR(MATCH(LARGE(tsk_LateKey,ROW()-ROW(LateTasks[[#Headers],[_Task]])),tsk_LateKey,0),"")</f>
        <v/>
      </c>
      <c r="C49" s="30" t="str">
        <f aca="false">IF(LateTasks[[#This Row],[_Task]]="","",INDEX(tsk_WBS,LateTasks[[#This Row],[_Task]])&amp;"")</f>
        <v/>
      </c>
      <c r="D49" s="30" t="str">
        <f aca="false">IF(LateTasks[[#This Row],[_Task]]="","",INDEX(tsk_Name,LateTasks[[#This Row],[_Task]])&amp;"")</f>
        <v/>
      </c>
      <c r="E49" s="30" t="str">
        <f aca="false">IF(LateTasks[[#This Row],[_Task]]="","",INDEX(tsk_ResourceNames,LateTasks[[#This Row],[_Task]])&amp;"")</f>
        <v/>
      </c>
      <c r="F49" s="65" t="str">
        <f aca="false">IF(LateTasks[[#This Row],[_Task]]="","",IF(N(INDEX(tsk_PlanFinish,LateTasks[[#This Row],[_Task]]))=0,"",INDEX(tsk_PlanFinish,LateTasks[[#This Row],[_Task]])))</f>
        <v/>
      </c>
      <c r="G49" s="65" t="str">
        <f aca="false">IF(LateTasks[[#This Row],[_Task]]="","",IF(N(INDEX(tsk_FcFinish,LateTasks[[#This Row],[_Task]]))=0,"",INDEX(tsk_FcFinish,LateTasks[[#This Row],[_Task]])))</f>
        <v/>
      </c>
      <c r="H49" s="41" t="str">
        <f aca="false">IF(LateTasks[[#This Row],[_Task]]="","",INDEX(tsk_Variance,LateTasks[[#This Row],[_Task]]))</f>
        <v/>
      </c>
      <c r="I49" s="30" t="str">
        <f aca="false">IF(LateTasks[[#This Row],[_Task]]="","",INDEX(tsk_Status,LateTasks[[#This Row],[_Task]])&amp;"")</f>
        <v/>
      </c>
      <c r="J49" s="30" t="str">
        <f aca="false">IF(LateTasks[[#This Row],[_Task]]="","",INDEX(tsk_Critical,LateTasks[[#This Row],[_Task]])&amp;"")</f>
        <v/>
      </c>
    </row>
    <row r="50" customFormat="false" ht="15" hidden="false" customHeight="false" outlineLevel="0" collapsed="false">
      <c r="B50" s="38" t="str">
        <f aca="false">IFERROR(MATCH(LARGE(tsk_LateKey,ROW()-ROW(LateTasks[[#Headers],[_Task]])),tsk_LateKey,0),"")</f>
        <v/>
      </c>
      <c r="C50" s="30" t="str">
        <f aca="false">IF(LateTasks[[#This Row],[_Task]]="","",INDEX(tsk_WBS,LateTasks[[#This Row],[_Task]])&amp;"")</f>
        <v/>
      </c>
      <c r="D50" s="30" t="str">
        <f aca="false">IF(LateTasks[[#This Row],[_Task]]="","",INDEX(tsk_Name,LateTasks[[#This Row],[_Task]])&amp;"")</f>
        <v/>
      </c>
      <c r="E50" s="30" t="str">
        <f aca="false">IF(LateTasks[[#This Row],[_Task]]="","",INDEX(tsk_ResourceNames,LateTasks[[#This Row],[_Task]])&amp;"")</f>
        <v/>
      </c>
      <c r="F50" s="65" t="str">
        <f aca="false">IF(LateTasks[[#This Row],[_Task]]="","",IF(N(INDEX(tsk_PlanFinish,LateTasks[[#This Row],[_Task]]))=0,"",INDEX(tsk_PlanFinish,LateTasks[[#This Row],[_Task]])))</f>
        <v/>
      </c>
      <c r="G50" s="65" t="str">
        <f aca="false">IF(LateTasks[[#This Row],[_Task]]="","",IF(N(INDEX(tsk_FcFinish,LateTasks[[#This Row],[_Task]]))=0,"",INDEX(tsk_FcFinish,LateTasks[[#This Row],[_Task]])))</f>
        <v/>
      </c>
      <c r="H50" s="41" t="str">
        <f aca="false">IF(LateTasks[[#This Row],[_Task]]="","",INDEX(tsk_Variance,LateTasks[[#This Row],[_Task]]))</f>
        <v/>
      </c>
      <c r="I50" s="30" t="str">
        <f aca="false">IF(LateTasks[[#This Row],[_Task]]="","",INDEX(tsk_Status,LateTasks[[#This Row],[_Task]])&amp;"")</f>
        <v/>
      </c>
      <c r="J50" s="30" t="str">
        <f aca="false">IF(LateTasks[[#This Row],[_Task]]="","",INDEX(tsk_Critical,LateTasks[[#This Row],[_Task]])&amp;"")</f>
        <v/>
      </c>
    </row>
    <row r="51" customFormat="false" ht="15" hidden="false" customHeight="false" outlineLevel="0" collapsed="false">
      <c r="B51" s="38" t="str">
        <f aca="false">IFERROR(MATCH(LARGE(tsk_LateKey,ROW()-ROW(LateTasks[[#Headers],[_Task]])),tsk_LateKey,0),"")</f>
        <v/>
      </c>
      <c r="C51" s="30" t="str">
        <f aca="false">IF(LateTasks[[#This Row],[_Task]]="","",INDEX(tsk_WBS,LateTasks[[#This Row],[_Task]])&amp;"")</f>
        <v/>
      </c>
      <c r="D51" s="30" t="str">
        <f aca="false">IF(LateTasks[[#This Row],[_Task]]="","",INDEX(tsk_Name,LateTasks[[#This Row],[_Task]])&amp;"")</f>
        <v/>
      </c>
      <c r="E51" s="30" t="str">
        <f aca="false">IF(LateTasks[[#This Row],[_Task]]="","",INDEX(tsk_ResourceNames,LateTasks[[#This Row],[_Task]])&amp;"")</f>
        <v/>
      </c>
      <c r="F51" s="65" t="str">
        <f aca="false">IF(LateTasks[[#This Row],[_Task]]="","",IF(N(INDEX(tsk_PlanFinish,LateTasks[[#This Row],[_Task]]))=0,"",INDEX(tsk_PlanFinish,LateTasks[[#This Row],[_Task]])))</f>
        <v/>
      </c>
      <c r="G51" s="65" t="str">
        <f aca="false">IF(LateTasks[[#This Row],[_Task]]="","",IF(N(INDEX(tsk_FcFinish,LateTasks[[#This Row],[_Task]]))=0,"",INDEX(tsk_FcFinish,LateTasks[[#This Row],[_Task]])))</f>
        <v/>
      </c>
      <c r="H51" s="41" t="str">
        <f aca="false">IF(LateTasks[[#This Row],[_Task]]="","",INDEX(tsk_Variance,LateTasks[[#This Row],[_Task]]))</f>
        <v/>
      </c>
      <c r="I51" s="30" t="str">
        <f aca="false">IF(LateTasks[[#This Row],[_Task]]="","",INDEX(tsk_Status,LateTasks[[#This Row],[_Task]])&amp;"")</f>
        <v/>
      </c>
      <c r="J51" s="30"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12-Jan (look-ahead 10 working days): 0</v>
      </c>
    </row>
    <row r="54" customFormat="false" ht="23.85" hidden="false" customHeight="false" outlineLevel="0" collapsed="false">
      <c r="B54" s="37" t="s">
        <v>151</v>
      </c>
      <c r="C54" s="15" t="s">
        <v>152</v>
      </c>
      <c r="D54" s="15" t="s">
        <v>227</v>
      </c>
      <c r="E54" s="15" t="s">
        <v>255</v>
      </c>
      <c r="F54" s="15" t="s">
        <v>257</v>
      </c>
      <c r="G54" s="15" t="s">
        <v>247</v>
      </c>
      <c r="H54" s="15" t="s">
        <v>258</v>
      </c>
      <c r="I54" s="15" t="s">
        <v>88</v>
      </c>
      <c r="J54" s="15" t="s">
        <v>256</v>
      </c>
    </row>
    <row r="55" customFormat="false" ht="15" hidden="false" customHeight="false" outlineLevel="0" collapsed="false">
      <c r="B55" s="38" t="str">
        <f aca="false">IFERROR(MATCH(SMALL(tsk_StartSoonKey,ROW()-ROW(StartingSoon[[#Headers],[_Task]])),tsk_StartSoonKey,0),"")</f>
        <v/>
      </c>
      <c r="C55" s="30" t="str">
        <f aca="false">IF(StartingSoon[[#This Row],[_Task]]="","",INDEX(tsk_WBS,StartingSoon[[#This Row],[_Task]])&amp;"")</f>
        <v/>
      </c>
      <c r="D55" s="30" t="str">
        <f aca="false">IF(StartingSoon[[#This Row],[_Task]]="","",INDEX(tsk_Name,StartingSoon[[#This Row],[_Task]])&amp;"")</f>
        <v/>
      </c>
      <c r="E55" s="30" t="str">
        <f aca="false">IF(StartingSoon[[#This Row],[_Task]]="","",INDEX(tsk_ResourceNames,StartingSoon[[#This Row],[_Task]])&amp;"")</f>
        <v/>
      </c>
      <c r="F55" s="65" t="str">
        <f aca="false">IF(StartingSoon[[#This Row],[_Task]]="","",IF(N(INDEX(tsk_FcStart,StartingSoon[[#This Row],[_Task]]))=0,"",INDEX(tsk_FcStart,StartingSoon[[#This Row],[_Task]])))</f>
        <v/>
      </c>
      <c r="G55" s="65" t="str">
        <f aca="false">IF(StartingSoon[[#This Row],[_Task]]="","",IF(N(INDEX(tsk_FcFinish,StartingSoon[[#This Row],[_Task]]))=0,"",INDEX(tsk_FcFinish,StartingSoon[[#This Row],[_Task]])))</f>
        <v/>
      </c>
      <c r="H55" s="51" t="str">
        <f aca="false">IF(StartingSoon[[#This Row],[_Task]]="","",INDEX(tsk_Duration,StartingSoon[[#This Row],[_Task]]))</f>
        <v/>
      </c>
      <c r="I55" s="30" t="str">
        <f aca="false">IF(StartingSoon[[#This Row],[_Task]]="","",INDEX(tsk_Predecessors,StartingSoon[[#This Row],[_Task]])&amp;"")</f>
        <v/>
      </c>
      <c r="J55" s="30" t="str">
        <f aca="false">IF(StartingSoon[[#This Row],[_Task]]="","",INDEX(tsk_Critical,StartingSoon[[#This Row],[_Task]])&amp;"")</f>
        <v/>
      </c>
    </row>
    <row r="56" customFormat="false" ht="15" hidden="false" customHeight="false" outlineLevel="0" collapsed="false">
      <c r="B56" s="38" t="str">
        <f aca="false">IFERROR(MATCH(SMALL(tsk_StartSoonKey,ROW()-ROW(StartingSoon[[#Headers],[_Task]])),tsk_StartSoonKey,0),"")</f>
        <v/>
      </c>
      <c r="C56" s="30" t="str">
        <f aca="false">IF(StartingSoon[[#This Row],[_Task]]="","",INDEX(tsk_WBS,StartingSoon[[#This Row],[_Task]])&amp;"")</f>
        <v/>
      </c>
      <c r="D56" s="30" t="str">
        <f aca="false">IF(StartingSoon[[#This Row],[_Task]]="","",INDEX(tsk_Name,StartingSoon[[#This Row],[_Task]])&amp;"")</f>
        <v/>
      </c>
      <c r="E56" s="30" t="str">
        <f aca="false">IF(StartingSoon[[#This Row],[_Task]]="","",INDEX(tsk_ResourceNames,StartingSoon[[#This Row],[_Task]])&amp;"")</f>
        <v/>
      </c>
      <c r="F56" s="65" t="str">
        <f aca="false">IF(StartingSoon[[#This Row],[_Task]]="","",IF(N(INDEX(tsk_FcStart,StartingSoon[[#This Row],[_Task]]))=0,"",INDEX(tsk_FcStart,StartingSoon[[#This Row],[_Task]])))</f>
        <v/>
      </c>
      <c r="G56" s="65" t="str">
        <f aca="false">IF(StartingSoon[[#This Row],[_Task]]="","",IF(N(INDEX(tsk_FcFinish,StartingSoon[[#This Row],[_Task]]))=0,"",INDEX(tsk_FcFinish,StartingSoon[[#This Row],[_Task]])))</f>
        <v/>
      </c>
      <c r="H56" s="51" t="str">
        <f aca="false">IF(StartingSoon[[#This Row],[_Task]]="","",INDEX(tsk_Duration,StartingSoon[[#This Row],[_Task]]))</f>
        <v/>
      </c>
      <c r="I56" s="30" t="str">
        <f aca="false">IF(StartingSoon[[#This Row],[_Task]]="","",INDEX(tsk_Predecessors,StartingSoon[[#This Row],[_Task]])&amp;"")</f>
        <v/>
      </c>
      <c r="J56" s="30" t="str">
        <f aca="false">IF(StartingSoon[[#This Row],[_Task]]="","",INDEX(tsk_Critical,StartingSoon[[#This Row],[_Task]])&amp;"")</f>
        <v/>
      </c>
    </row>
    <row r="57" customFormat="false" ht="15" hidden="false" customHeight="false" outlineLevel="0" collapsed="false">
      <c r="B57" s="38" t="str">
        <f aca="false">IFERROR(MATCH(SMALL(tsk_StartSoonKey,ROW()-ROW(StartingSoon[[#Headers],[_Task]])),tsk_StartSoonKey,0),"")</f>
        <v/>
      </c>
      <c r="C57" s="30" t="str">
        <f aca="false">IF(StartingSoon[[#This Row],[_Task]]="","",INDEX(tsk_WBS,StartingSoon[[#This Row],[_Task]])&amp;"")</f>
        <v/>
      </c>
      <c r="D57" s="30" t="str">
        <f aca="false">IF(StartingSoon[[#This Row],[_Task]]="","",INDEX(tsk_Name,StartingSoon[[#This Row],[_Task]])&amp;"")</f>
        <v/>
      </c>
      <c r="E57" s="30" t="str">
        <f aca="false">IF(StartingSoon[[#This Row],[_Task]]="","",INDEX(tsk_ResourceNames,StartingSoon[[#This Row],[_Task]])&amp;"")</f>
        <v/>
      </c>
      <c r="F57" s="65" t="str">
        <f aca="false">IF(StartingSoon[[#This Row],[_Task]]="","",IF(N(INDEX(tsk_FcStart,StartingSoon[[#This Row],[_Task]]))=0,"",INDEX(tsk_FcStart,StartingSoon[[#This Row],[_Task]])))</f>
        <v/>
      </c>
      <c r="G57" s="65" t="str">
        <f aca="false">IF(StartingSoon[[#This Row],[_Task]]="","",IF(N(INDEX(tsk_FcFinish,StartingSoon[[#This Row],[_Task]]))=0,"",INDEX(tsk_FcFinish,StartingSoon[[#This Row],[_Task]])))</f>
        <v/>
      </c>
      <c r="H57" s="51" t="str">
        <f aca="false">IF(StartingSoon[[#This Row],[_Task]]="","",INDEX(tsk_Duration,StartingSoon[[#This Row],[_Task]]))</f>
        <v/>
      </c>
      <c r="I57" s="30" t="str">
        <f aca="false">IF(StartingSoon[[#This Row],[_Task]]="","",INDEX(tsk_Predecessors,StartingSoon[[#This Row],[_Task]])&amp;"")</f>
        <v/>
      </c>
      <c r="J57" s="30" t="str">
        <f aca="false">IF(StartingSoon[[#This Row],[_Task]]="","",INDEX(tsk_Critical,StartingSoon[[#This Row],[_Task]])&amp;"")</f>
        <v/>
      </c>
    </row>
    <row r="58" customFormat="false" ht="15" hidden="false" customHeight="false" outlineLevel="0" collapsed="false">
      <c r="B58" s="38" t="str">
        <f aca="false">IFERROR(MATCH(SMALL(tsk_StartSoonKey,ROW()-ROW(StartingSoon[[#Headers],[_Task]])),tsk_StartSoonKey,0),"")</f>
        <v/>
      </c>
      <c r="C58" s="30" t="str">
        <f aca="false">IF(StartingSoon[[#This Row],[_Task]]="","",INDEX(tsk_WBS,StartingSoon[[#This Row],[_Task]])&amp;"")</f>
        <v/>
      </c>
      <c r="D58" s="30" t="str">
        <f aca="false">IF(StartingSoon[[#This Row],[_Task]]="","",INDEX(tsk_Name,StartingSoon[[#This Row],[_Task]])&amp;"")</f>
        <v/>
      </c>
      <c r="E58" s="30" t="str">
        <f aca="false">IF(StartingSoon[[#This Row],[_Task]]="","",INDEX(tsk_ResourceNames,StartingSoon[[#This Row],[_Task]])&amp;"")</f>
        <v/>
      </c>
      <c r="F58" s="65" t="str">
        <f aca="false">IF(StartingSoon[[#This Row],[_Task]]="","",IF(N(INDEX(tsk_FcStart,StartingSoon[[#This Row],[_Task]]))=0,"",INDEX(tsk_FcStart,StartingSoon[[#This Row],[_Task]])))</f>
        <v/>
      </c>
      <c r="G58" s="65" t="str">
        <f aca="false">IF(StartingSoon[[#This Row],[_Task]]="","",IF(N(INDEX(tsk_FcFinish,StartingSoon[[#This Row],[_Task]]))=0,"",INDEX(tsk_FcFinish,StartingSoon[[#This Row],[_Task]])))</f>
        <v/>
      </c>
      <c r="H58" s="51" t="str">
        <f aca="false">IF(StartingSoon[[#This Row],[_Task]]="","",INDEX(tsk_Duration,StartingSoon[[#This Row],[_Task]]))</f>
        <v/>
      </c>
      <c r="I58" s="30" t="str">
        <f aca="false">IF(StartingSoon[[#This Row],[_Task]]="","",INDEX(tsk_Predecessors,StartingSoon[[#This Row],[_Task]])&amp;"")</f>
        <v/>
      </c>
      <c r="J58" s="30" t="str">
        <f aca="false">IF(StartingSoon[[#This Row],[_Task]]="","",INDEX(tsk_Critical,StartingSoon[[#This Row],[_Task]])&amp;"")</f>
        <v/>
      </c>
    </row>
    <row r="59" customFormat="false" ht="15" hidden="false" customHeight="false" outlineLevel="0" collapsed="false">
      <c r="B59" s="38" t="str">
        <f aca="false">IFERROR(MATCH(SMALL(tsk_StartSoonKey,ROW()-ROW(StartingSoon[[#Headers],[_Task]])),tsk_StartSoonKey,0),"")</f>
        <v/>
      </c>
      <c r="C59" s="30" t="str">
        <f aca="false">IF(StartingSoon[[#This Row],[_Task]]="","",INDEX(tsk_WBS,StartingSoon[[#This Row],[_Task]])&amp;"")</f>
        <v/>
      </c>
      <c r="D59" s="30" t="str">
        <f aca="false">IF(StartingSoon[[#This Row],[_Task]]="","",INDEX(tsk_Name,StartingSoon[[#This Row],[_Task]])&amp;"")</f>
        <v/>
      </c>
      <c r="E59" s="30" t="str">
        <f aca="false">IF(StartingSoon[[#This Row],[_Task]]="","",INDEX(tsk_ResourceNames,StartingSoon[[#This Row],[_Task]])&amp;"")</f>
        <v/>
      </c>
      <c r="F59" s="65" t="str">
        <f aca="false">IF(StartingSoon[[#This Row],[_Task]]="","",IF(N(INDEX(tsk_FcStart,StartingSoon[[#This Row],[_Task]]))=0,"",INDEX(tsk_FcStart,StartingSoon[[#This Row],[_Task]])))</f>
        <v/>
      </c>
      <c r="G59" s="65" t="str">
        <f aca="false">IF(StartingSoon[[#This Row],[_Task]]="","",IF(N(INDEX(tsk_FcFinish,StartingSoon[[#This Row],[_Task]]))=0,"",INDEX(tsk_FcFinish,StartingSoon[[#This Row],[_Task]])))</f>
        <v/>
      </c>
      <c r="H59" s="51" t="str">
        <f aca="false">IF(StartingSoon[[#This Row],[_Task]]="","",INDEX(tsk_Duration,StartingSoon[[#This Row],[_Task]]))</f>
        <v/>
      </c>
      <c r="I59" s="30" t="str">
        <f aca="false">IF(StartingSoon[[#This Row],[_Task]]="","",INDEX(tsk_Predecessors,StartingSoon[[#This Row],[_Task]])&amp;"")</f>
        <v/>
      </c>
      <c r="J59" s="30" t="str">
        <f aca="false">IF(StartingSoon[[#This Row],[_Task]]="","",INDEX(tsk_Critical,StartingSoon[[#This Row],[_Task]])&amp;"")</f>
        <v/>
      </c>
    </row>
    <row r="60" customFormat="false" ht="15" hidden="false" customHeight="false" outlineLevel="0" collapsed="false">
      <c r="B60" s="38" t="str">
        <f aca="false">IFERROR(MATCH(SMALL(tsk_StartSoonKey,ROW()-ROW(StartingSoon[[#Headers],[_Task]])),tsk_StartSoonKey,0),"")</f>
        <v/>
      </c>
      <c r="C60" s="30" t="str">
        <f aca="false">IF(StartingSoon[[#This Row],[_Task]]="","",INDEX(tsk_WBS,StartingSoon[[#This Row],[_Task]])&amp;"")</f>
        <v/>
      </c>
      <c r="D60" s="30" t="str">
        <f aca="false">IF(StartingSoon[[#This Row],[_Task]]="","",INDEX(tsk_Name,StartingSoon[[#This Row],[_Task]])&amp;"")</f>
        <v/>
      </c>
      <c r="E60" s="30" t="str">
        <f aca="false">IF(StartingSoon[[#This Row],[_Task]]="","",INDEX(tsk_ResourceNames,StartingSoon[[#This Row],[_Task]])&amp;"")</f>
        <v/>
      </c>
      <c r="F60" s="65" t="str">
        <f aca="false">IF(StartingSoon[[#This Row],[_Task]]="","",IF(N(INDEX(tsk_FcStart,StartingSoon[[#This Row],[_Task]]))=0,"",INDEX(tsk_FcStart,StartingSoon[[#This Row],[_Task]])))</f>
        <v/>
      </c>
      <c r="G60" s="65" t="str">
        <f aca="false">IF(StartingSoon[[#This Row],[_Task]]="","",IF(N(INDEX(tsk_FcFinish,StartingSoon[[#This Row],[_Task]]))=0,"",INDEX(tsk_FcFinish,StartingSoon[[#This Row],[_Task]])))</f>
        <v/>
      </c>
      <c r="H60" s="51" t="str">
        <f aca="false">IF(StartingSoon[[#This Row],[_Task]]="","",INDEX(tsk_Duration,StartingSoon[[#This Row],[_Task]]))</f>
        <v/>
      </c>
      <c r="I60" s="30" t="str">
        <f aca="false">IF(StartingSoon[[#This Row],[_Task]]="","",INDEX(tsk_Predecessors,StartingSoon[[#This Row],[_Task]])&amp;"")</f>
        <v/>
      </c>
      <c r="J60" s="30" t="str">
        <f aca="false">IF(StartingSoon[[#This Row],[_Task]]="","",INDEX(tsk_Critical,StartingSoon[[#This Row],[_Task]])&amp;"")</f>
        <v/>
      </c>
    </row>
    <row r="61" customFormat="false" ht="15" hidden="false" customHeight="false" outlineLevel="0" collapsed="false">
      <c r="B61" s="38" t="str">
        <f aca="false">IFERROR(MATCH(SMALL(tsk_StartSoonKey,ROW()-ROW(StartingSoon[[#Headers],[_Task]])),tsk_StartSoonKey,0),"")</f>
        <v/>
      </c>
      <c r="C61" s="30" t="str">
        <f aca="false">IF(StartingSoon[[#This Row],[_Task]]="","",INDEX(tsk_WBS,StartingSoon[[#This Row],[_Task]])&amp;"")</f>
        <v/>
      </c>
      <c r="D61" s="30" t="str">
        <f aca="false">IF(StartingSoon[[#This Row],[_Task]]="","",INDEX(tsk_Name,StartingSoon[[#This Row],[_Task]])&amp;"")</f>
        <v/>
      </c>
      <c r="E61" s="30" t="str">
        <f aca="false">IF(StartingSoon[[#This Row],[_Task]]="","",INDEX(tsk_ResourceNames,StartingSoon[[#This Row],[_Task]])&amp;"")</f>
        <v/>
      </c>
      <c r="F61" s="65" t="str">
        <f aca="false">IF(StartingSoon[[#This Row],[_Task]]="","",IF(N(INDEX(tsk_FcStart,StartingSoon[[#This Row],[_Task]]))=0,"",INDEX(tsk_FcStart,StartingSoon[[#This Row],[_Task]])))</f>
        <v/>
      </c>
      <c r="G61" s="65" t="str">
        <f aca="false">IF(StartingSoon[[#This Row],[_Task]]="","",IF(N(INDEX(tsk_FcFinish,StartingSoon[[#This Row],[_Task]]))=0,"",INDEX(tsk_FcFinish,StartingSoon[[#This Row],[_Task]])))</f>
        <v/>
      </c>
      <c r="H61" s="51" t="str">
        <f aca="false">IF(StartingSoon[[#This Row],[_Task]]="","",INDEX(tsk_Duration,StartingSoon[[#This Row],[_Task]]))</f>
        <v/>
      </c>
      <c r="I61" s="30" t="str">
        <f aca="false">IF(StartingSoon[[#This Row],[_Task]]="","",INDEX(tsk_Predecessors,StartingSoon[[#This Row],[_Task]])&amp;"")</f>
        <v/>
      </c>
      <c r="J61" s="30" t="str">
        <f aca="false">IF(StartingSoon[[#This Row],[_Task]]="","",INDEX(tsk_Critical,StartingSoon[[#This Row],[_Task]])&amp;"")</f>
        <v/>
      </c>
    </row>
    <row r="62" customFormat="false" ht="15" hidden="false" customHeight="false" outlineLevel="0" collapsed="false">
      <c r="B62" s="38" t="str">
        <f aca="false">IFERROR(MATCH(SMALL(tsk_StartSoonKey,ROW()-ROW(StartingSoon[[#Headers],[_Task]])),tsk_StartSoonKey,0),"")</f>
        <v/>
      </c>
      <c r="C62" s="30" t="str">
        <f aca="false">IF(StartingSoon[[#This Row],[_Task]]="","",INDEX(tsk_WBS,StartingSoon[[#This Row],[_Task]])&amp;"")</f>
        <v/>
      </c>
      <c r="D62" s="30" t="str">
        <f aca="false">IF(StartingSoon[[#This Row],[_Task]]="","",INDEX(tsk_Name,StartingSoon[[#This Row],[_Task]])&amp;"")</f>
        <v/>
      </c>
      <c r="E62" s="30" t="str">
        <f aca="false">IF(StartingSoon[[#This Row],[_Task]]="","",INDEX(tsk_ResourceNames,StartingSoon[[#This Row],[_Task]])&amp;"")</f>
        <v/>
      </c>
      <c r="F62" s="65" t="str">
        <f aca="false">IF(StartingSoon[[#This Row],[_Task]]="","",IF(N(INDEX(tsk_FcStart,StartingSoon[[#This Row],[_Task]]))=0,"",INDEX(tsk_FcStart,StartingSoon[[#This Row],[_Task]])))</f>
        <v/>
      </c>
      <c r="G62" s="65" t="str">
        <f aca="false">IF(StartingSoon[[#This Row],[_Task]]="","",IF(N(INDEX(tsk_FcFinish,StartingSoon[[#This Row],[_Task]]))=0,"",INDEX(tsk_FcFinish,StartingSoon[[#This Row],[_Task]])))</f>
        <v/>
      </c>
      <c r="H62" s="51" t="str">
        <f aca="false">IF(StartingSoon[[#This Row],[_Task]]="","",INDEX(tsk_Duration,StartingSoon[[#This Row],[_Task]]))</f>
        <v/>
      </c>
      <c r="I62" s="30" t="str">
        <f aca="false">IF(StartingSoon[[#This Row],[_Task]]="","",INDEX(tsk_Predecessors,StartingSoon[[#This Row],[_Task]])&amp;"")</f>
        <v/>
      </c>
      <c r="J62" s="30" t="str">
        <f aca="false">IF(StartingSoon[[#This Row],[_Task]]="","",INDEX(tsk_Critical,StartingSoon[[#This Row],[_Task]])&amp;"")</f>
        <v/>
      </c>
    </row>
    <row r="63" customFormat="false" ht="15" hidden="false" customHeight="false" outlineLevel="0" collapsed="false">
      <c r="B63" s="38" t="str">
        <f aca="false">IFERROR(MATCH(SMALL(tsk_StartSoonKey,ROW()-ROW(StartingSoon[[#Headers],[_Task]])),tsk_StartSoonKey,0),"")</f>
        <v/>
      </c>
      <c r="C63" s="30" t="str">
        <f aca="false">IF(StartingSoon[[#This Row],[_Task]]="","",INDEX(tsk_WBS,StartingSoon[[#This Row],[_Task]])&amp;"")</f>
        <v/>
      </c>
      <c r="D63" s="30" t="str">
        <f aca="false">IF(StartingSoon[[#This Row],[_Task]]="","",INDEX(tsk_Name,StartingSoon[[#This Row],[_Task]])&amp;"")</f>
        <v/>
      </c>
      <c r="E63" s="30" t="str">
        <f aca="false">IF(StartingSoon[[#This Row],[_Task]]="","",INDEX(tsk_ResourceNames,StartingSoon[[#This Row],[_Task]])&amp;"")</f>
        <v/>
      </c>
      <c r="F63" s="65" t="str">
        <f aca="false">IF(StartingSoon[[#This Row],[_Task]]="","",IF(N(INDEX(tsk_FcStart,StartingSoon[[#This Row],[_Task]]))=0,"",INDEX(tsk_FcStart,StartingSoon[[#This Row],[_Task]])))</f>
        <v/>
      </c>
      <c r="G63" s="65" t="str">
        <f aca="false">IF(StartingSoon[[#This Row],[_Task]]="","",IF(N(INDEX(tsk_FcFinish,StartingSoon[[#This Row],[_Task]]))=0,"",INDEX(tsk_FcFinish,StartingSoon[[#This Row],[_Task]])))</f>
        <v/>
      </c>
      <c r="H63" s="51" t="str">
        <f aca="false">IF(StartingSoon[[#This Row],[_Task]]="","",INDEX(tsk_Duration,StartingSoon[[#This Row],[_Task]]))</f>
        <v/>
      </c>
      <c r="I63" s="30" t="str">
        <f aca="false">IF(StartingSoon[[#This Row],[_Task]]="","",INDEX(tsk_Predecessors,StartingSoon[[#This Row],[_Task]])&amp;"")</f>
        <v/>
      </c>
      <c r="J63" s="30" t="str">
        <f aca="false">IF(StartingSoon[[#This Row],[_Task]]="","",INDEX(tsk_Critical,StartingSoon[[#This Row],[_Task]])&amp;"")</f>
        <v/>
      </c>
    </row>
    <row r="64" customFormat="false" ht="15" hidden="false" customHeight="false" outlineLevel="0" collapsed="false">
      <c r="B64" s="38" t="str">
        <f aca="false">IFERROR(MATCH(SMALL(tsk_StartSoonKey,ROW()-ROW(StartingSoon[[#Headers],[_Task]])),tsk_StartSoonKey,0),"")</f>
        <v/>
      </c>
      <c r="C64" s="30" t="str">
        <f aca="false">IF(StartingSoon[[#This Row],[_Task]]="","",INDEX(tsk_WBS,StartingSoon[[#This Row],[_Task]])&amp;"")</f>
        <v/>
      </c>
      <c r="D64" s="30" t="str">
        <f aca="false">IF(StartingSoon[[#This Row],[_Task]]="","",INDEX(tsk_Name,StartingSoon[[#This Row],[_Task]])&amp;"")</f>
        <v/>
      </c>
      <c r="E64" s="30" t="str">
        <f aca="false">IF(StartingSoon[[#This Row],[_Task]]="","",INDEX(tsk_ResourceNames,StartingSoon[[#This Row],[_Task]])&amp;"")</f>
        <v/>
      </c>
      <c r="F64" s="65" t="str">
        <f aca="false">IF(StartingSoon[[#This Row],[_Task]]="","",IF(N(INDEX(tsk_FcStart,StartingSoon[[#This Row],[_Task]]))=0,"",INDEX(tsk_FcStart,StartingSoon[[#This Row],[_Task]])))</f>
        <v/>
      </c>
      <c r="G64" s="65" t="str">
        <f aca="false">IF(StartingSoon[[#This Row],[_Task]]="","",IF(N(INDEX(tsk_FcFinish,StartingSoon[[#This Row],[_Task]]))=0,"",INDEX(tsk_FcFinish,StartingSoon[[#This Row],[_Task]])))</f>
        <v/>
      </c>
      <c r="H64" s="51" t="str">
        <f aca="false">IF(StartingSoon[[#This Row],[_Task]]="","",INDEX(tsk_Duration,StartingSoon[[#This Row],[_Task]]))</f>
        <v/>
      </c>
      <c r="I64" s="30" t="str">
        <f aca="false">IF(StartingSoon[[#This Row],[_Task]]="","",INDEX(tsk_Predecessors,StartingSoon[[#This Row],[_Task]])&amp;"")</f>
        <v/>
      </c>
      <c r="J64" s="30" t="str">
        <f aca="false">IF(StartingSoon[[#This Row],[_Task]]="","",INDEX(tsk_Critical,StartingSoon[[#This Row],[_Task]])&amp;"")</f>
        <v/>
      </c>
    </row>
    <row r="65" customFormat="false" ht="15" hidden="false" customHeight="false" outlineLevel="0" collapsed="false">
      <c r="B65" s="38" t="str">
        <f aca="false">IFERROR(MATCH(SMALL(tsk_StartSoonKey,ROW()-ROW(StartingSoon[[#Headers],[_Task]])),tsk_StartSoonKey,0),"")</f>
        <v/>
      </c>
      <c r="C65" s="30" t="str">
        <f aca="false">IF(StartingSoon[[#This Row],[_Task]]="","",INDEX(tsk_WBS,StartingSoon[[#This Row],[_Task]])&amp;"")</f>
        <v/>
      </c>
      <c r="D65" s="30" t="str">
        <f aca="false">IF(StartingSoon[[#This Row],[_Task]]="","",INDEX(tsk_Name,StartingSoon[[#This Row],[_Task]])&amp;"")</f>
        <v/>
      </c>
      <c r="E65" s="30" t="str">
        <f aca="false">IF(StartingSoon[[#This Row],[_Task]]="","",INDEX(tsk_ResourceNames,StartingSoon[[#This Row],[_Task]])&amp;"")</f>
        <v/>
      </c>
      <c r="F65" s="65" t="str">
        <f aca="false">IF(StartingSoon[[#This Row],[_Task]]="","",IF(N(INDEX(tsk_FcStart,StartingSoon[[#This Row],[_Task]]))=0,"",INDEX(tsk_FcStart,StartingSoon[[#This Row],[_Task]])))</f>
        <v/>
      </c>
      <c r="G65" s="65" t="str">
        <f aca="false">IF(StartingSoon[[#This Row],[_Task]]="","",IF(N(INDEX(tsk_FcFinish,StartingSoon[[#This Row],[_Task]]))=0,"",INDEX(tsk_FcFinish,StartingSoon[[#This Row],[_Task]])))</f>
        <v/>
      </c>
      <c r="H65" s="51" t="str">
        <f aca="false">IF(StartingSoon[[#This Row],[_Task]]="","",INDEX(tsk_Duration,StartingSoon[[#This Row],[_Task]]))</f>
        <v/>
      </c>
      <c r="I65" s="30" t="str">
        <f aca="false">IF(StartingSoon[[#This Row],[_Task]]="","",INDEX(tsk_Predecessors,StartingSoon[[#This Row],[_Task]])&amp;"")</f>
        <v/>
      </c>
      <c r="J65" s="30" t="str">
        <f aca="false">IF(StartingSoon[[#This Row],[_Task]]="","",INDEX(tsk_Critical,StartingSoon[[#This Row],[_Task]])&amp;"")</f>
        <v/>
      </c>
    </row>
    <row r="66" customFormat="false" ht="15" hidden="false" customHeight="false" outlineLevel="0" collapsed="false">
      <c r="B66" s="38" t="str">
        <f aca="false">IFERROR(MATCH(SMALL(tsk_StartSoonKey,ROW()-ROW(StartingSoon[[#Headers],[_Task]])),tsk_StartSoonKey,0),"")</f>
        <v/>
      </c>
      <c r="C66" s="30" t="str">
        <f aca="false">IF(StartingSoon[[#This Row],[_Task]]="","",INDEX(tsk_WBS,StartingSoon[[#This Row],[_Task]])&amp;"")</f>
        <v/>
      </c>
      <c r="D66" s="30" t="str">
        <f aca="false">IF(StartingSoon[[#This Row],[_Task]]="","",INDEX(tsk_Name,StartingSoon[[#This Row],[_Task]])&amp;"")</f>
        <v/>
      </c>
      <c r="E66" s="30" t="str">
        <f aca="false">IF(StartingSoon[[#This Row],[_Task]]="","",INDEX(tsk_ResourceNames,StartingSoon[[#This Row],[_Task]])&amp;"")</f>
        <v/>
      </c>
      <c r="F66" s="65" t="str">
        <f aca="false">IF(StartingSoon[[#This Row],[_Task]]="","",IF(N(INDEX(tsk_FcStart,StartingSoon[[#This Row],[_Task]]))=0,"",INDEX(tsk_FcStart,StartingSoon[[#This Row],[_Task]])))</f>
        <v/>
      </c>
      <c r="G66" s="65" t="str">
        <f aca="false">IF(StartingSoon[[#This Row],[_Task]]="","",IF(N(INDEX(tsk_FcFinish,StartingSoon[[#This Row],[_Task]]))=0,"",INDEX(tsk_FcFinish,StartingSoon[[#This Row],[_Task]])))</f>
        <v/>
      </c>
      <c r="H66" s="51" t="str">
        <f aca="false">IF(StartingSoon[[#This Row],[_Task]]="","",INDEX(tsk_Duration,StartingSoon[[#This Row],[_Task]]))</f>
        <v/>
      </c>
      <c r="I66" s="30" t="str">
        <f aca="false">IF(StartingSoon[[#This Row],[_Task]]="","",INDEX(tsk_Predecessors,StartingSoon[[#This Row],[_Task]])&amp;"")</f>
        <v/>
      </c>
      <c r="J66" s="30" t="str">
        <f aca="false">IF(StartingSoon[[#This Row],[_Task]]="","",INDEX(tsk_Critical,StartingSoon[[#This Row],[_Task]])&amp;"")</f>
        <v/>
      </c>
    </row>
    <row r="67" customFormat="false" ht="15" hidden="false" customHeight="false" outlineLevel="0" collapsed="false">
      <c r="B67" s="38" t="str">
        <f aca="false">IFERROR(MATCH(SMALL(tsk_StartSoonKey,ROW()-ROW(StartingSoon[[#Headers],[_Task]])),tsk_StartSoonKey,0),"")</f>
        <v/>
      </c>
      <c r="C67" s="30" t="str">
        <f aca="false">IF(StartingSoon[[#This Row],[_Task]]="","",INDEX(tsk_WBS,StartingSoon[[#This Row],[_Task]])&amp;"")</f>
        <v/>
      </c>
      <c r="D67" s="30" t="str">
        <f aca="false">IF(StartingSoon[[#This Row],[_Task]]="","",INDEX(tsk_Name,StartingSoon[[#This Row],[_Task]])&amp;"")</f>
        <v/>
      </c>
      <c r="E67" s="30" t="str">
        <f aca="false">IF(StartingSoon[[#This Row],[_Task]]="","",INDEX(tsk_ResourceNames,StartingSoon[[#This Row],[_Task]])&amp;"")</f>
        <v/>
      </c>
      <c r="F67" s="65" t="str">
        <f aca="false">IF(StartingSoon[[#This Row],[_Task]]="","",IF(N(INDEX(tsk_FcStart,StartingSoon[[#This Row],[_Task]]))=0,"",INDEX(tsk_FcStart,StartingSoon[[#This Row],[_Task]])))</f>
        <v/>
      </c>
      <c r="G67" s="65" t="str">
        <f aca="false">IF(StartingSoon[[#This Row],[_Task]]="","",IF(N(INDEX(tsk_FcFinish,StartingSoon[[#This Row],[_Task]]))=0,"",INDEX(tsk_FcFinish,StartingSoon[[#This Row],[_Task]])))</f>
        <v/>
      </c>
      <c r="H67" s="51" t="str">
        <f aca="false">IF(StartingSoon[[#This Row],[_Task]]="","",INDEX(tsk_Duration,StartingSoon[[#This Row],[_Task]]))</f>
        <v/>
      </c>
      <c r="I67" s="30" t="str">
        <f aca="false">IF(StartingSoon[[#This Row],[_Task]]="","",INDEX(tsk_Predecessors,StartingSoon[[#This Row],[_Task]])&amp;"")</f>
        <v/>
      </c>
      <c r="J67" s="30" t="str">
        <f aca="false">IF(StartingSoon[[#This Row],[_Task]]="","",INDEX(tsk_Critical,StartingSoon[[#This Row],[_Task]])&amp;"")</f>
        <v/>
      </c>
    </row>
    <row r="68" customFormat="false" ht="15" hidden="false" customHeight="false" outlineLevel="0" collapsed="false">
      <c r="B68" s="38" t="str">
        <f aca="false">IFERROR(MATCH(SMALL(tsk_StartSoonKey,ROW()-ROW(StartingSoon[[#Headers],[_Task]])),tsk_StartSoonKey,0),"")</f>
        <v/>
      </c>
      <c r="C68" s="30" t="str">
        <f aca="false">IF(StartingSoon[[#This Row],[_Task]]="","",INDEX(tsk_WBS,StartingSoon[[#This Row],[_Task]])&amp;"")</f>
        <v/>
      </c>
      <c r="D68" s="30" t="str">
        <f aca="false">IF(StartingSoon[[#This Row],[_Task]]="","",INDEX(tsk_Name,StartingSoon[[#This Row],[_Task]])&amp;"")</f>
        <v/>
      </c>
      <c r="E68" s="30" t="str">
        <f aca="false">IF(StartingSoon[[#This Row],[_Task]]="","",INDEX(tsk_ResourceNames,StartingSoon[[#This Row],[_Task]])&amp;"")</f>
        <v/>
      </c>
      <c r="F68" s="65" t="str">
        <f aca="false">IF(StartingSoon[[#This Row],[_Task]]="","",IF(N(INDEX(tsk_FcStart,StartingSoon[[#This Row],[_Task]]))=0,"",INDEX(tsk_FcStart,StartingSoon[[#This Row],[_Task]])))</f>
        <v/>
      </c>
      <c r="G68" s="65" t="str">
        <f aca="false">IF(StartingSoon[[#This Row],[_Task]]="","",IF(N(INDEX(tsk_FcFinish,StartingSoon[[#This Row],[_Task]]))=0,"",INDEX(tsk_FcFinish,StartingSoon[[#This Row],[_Task]])))</f>
        <v/>
      </c>
      <c r="H68" s="51" t="str">
        <f aca="false">IF(StartingSoon[[#This Row],[_Task]]="","",INDEX(tsk_Duration,StartingSoon[[#This Row],[_Task]]))</f>
        <v/>
      </c>
      <c r="I68" s="30" t="str">
        <f aca="false">IF(StartingSoon[[#This Row],[_Task]]="","",INDEX(tsk_Predecessors,StartingSoon[[#This Row],[_Task]])&amp;"")</f>
        <v/>
      </c>
      <c r="J68" s="30" t="str">
        <f aca="false">IF(StartingSoon[[#This Row],[_Task]]="","",INDEX(tsk_Critical,StartingSoon[[#This Row],[_Task]])&amp;"")</f>
        <v/>
      </c>
    </row>
    <row r="69" customFormat="false" ht="15" hidden="false" customHeight="false" outlineLevel="0" collapsed="false">
      <c r="B69" s="38" t="str">
        <f aca="false">IFERROR(MATCH(SMALL(tsk_StartSoonKey,ROW()-ROW(StartingSoon[[#Headers],[_Task]])),tsk_StartSoonKey,0),"")</f>
        <v/>
      </c>
      <c r="C69" s="30" t="str">
        <f aca="false">IF(StartingSoon[[#This Row],[_Task]]="","",INDEX(tsk_WBS,StartingSoon[[#This Row],[_Task]])&amp;"")</f>
        <v/>
      </c>
      <c r="D69" s="30" t="str">
        <f aca="false">IF(StartingSoon[[#This Row],[_Task]]="","",INDEX(tsk_Name,StartingSoon[[#This Row],[_Task]])&amp;"")</f>
        <v/>
      </c>
      <c r="E69" s="30" t="str">
        <f aca="false">IF(StartingSoon[[#This Row],[_Task]]="","",INDEX(tsk_ResourceNames,StartingSoon[[#This Row],[_Task]])&amp;"")</f>
        <v/>
      </c>
      <c r="F69" s="65" t="str">
        <f aca="false">IF(StartingSoon[[#This Row],[_Task]]="","",IF(N(INDEX(tsk_FcStart,StartingSoon[[#This Row],[_Task]]))=0,"",INDEX(tsk_FcStart,StartingSoon[[#This Row],[_Task]])))</f>
        <v/>
      </c>
      <c r="G69" s="65" t="str">
        <f aca="false">IF(StartingSoon[[#This Row],[_Task]]="","",IF(N(INDEX(tsk_FcFinish,StartingSoon[[#This Row],[_Task]]))=0,"",INDEX(tsk_FcFinish,StartingSoon[[#This Row],[_Task]])))</f>
        <v/>
      </c>
      <c r="H69" s="51" t="str">
        <f aca="false">IF(StartingSoon[[#This Row],[_Task]]="","",INDEX(tsk_Duration,StartingSoon[[#This Row],[_Task]]))</f>
        <v/>
      </c>
      <c r="I69" s="30" t="str">
        <f aca="false">IF(StartingSoon[[#This Row],[_Task]]="","",INDEX(tsk_Predecessors,StartingSoon[[#This Row],[_Task]])&amp;"")</f>
        <v/>
      </c>
      <c r="J69" s="30"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12-Jan: 0</v>
      </c>
    </row>
    <row r="72" customFormat="false" ht="23.85" hidden="false" customHeight="false" outlineLevel="0" collapsed="false">
      <c r="B72" s="37" t="s">
        <v>151</v>
      </c>
      <c r="C72" s="15" t="s">
        <v>152</v>
      </c>
      <c r="D72" s="15" t="s">
        <v>227</v>
      </c>
      <c r="E72" s="15" t="s">
        <v>255</v>
      </c>
      <c r="F72" s="15" t="s">
        <v>247</v>
      </c>
      <c r="G72" s="15" t="s">
        <v>24</v>
      </c>
      <c r="H72" s="15" t="s">
        <v>163</v>
      </c>
      <c r="I72" s="15" t="s">
        <v>28</v>
      </c>
      <c r="J72" s="15" t="s">
        <v>256</v>
      </c>
    </row>
    <row r="73" customFormat="false" ht="15" hidden="false" customHeight="false" outlineLevel="0" collapsed="false">
      <c r="B73" s="38" t="str">
        <f aca="false">IFERROR(MATCH(SMALL(tsk_DueSoonKey,ROW()-ROW(DueSoon[[#Headers],[_Task]])),tsk_DueSoonKey,0),"")</f>
        <v/>
      </c>
      <c r="C73" s="30" t="str">
        <f aca="false">IF(DueSoon[[#This Row],[_Task]]="","",INDEX(tsk_WBS,DueSoon[[#This Row],[_Task]])&amp;"")</f>
        <v/>
      </c>
      <c r="D73" s="30" t="str">
        <f aca="false">IF(DueSoon[[#This Row],[_Task]]="","",INDEX(tsk_Name,DueSoon[[#This Row],[_Task]])&amp;"")</f>
        <v/>
      </c>
      <c r="E73" s="30" t="str">
        <f aca="false">IF(DueSoon[[#This Row],[_Task]]="","",INDEX(tsk_ResourceNames,DueSoon[[#This Row],[_Task]])&amp;"")</f>
        <v/>
      </c>
      <c r="F73" s="65" t="str">
        <f aca="false">IF(DueSoon[[#This Row],[_Task]]="","",IF(N(INDEX(tsk_FcFinish,DueSoon[[#This Row],[_Task]]))=0,"",INDEX(tsk_FcFinish,DueSoon[[#This Row],[_Task]])))</f>
        <v/>
      </c>
      <c r="G73" s="40" t="str">
        <f aca="false">IF(DueSoon[[#This Row],[_Task]]="","",INDEX(tsk_Progress,DueSoon[[#This Row],[_Task]]))</f>
        <v/>
      </c>
      <c r="H73" s="30" t="str">
        <f aca="false">IF(DueSoon[[#This Row],[_Task]]="","",INDEX(tsk_DeadlineCheck,DueSoon[[#This Row],[_Task]])&amp;"")</f>
        <v/>
      </c>
      <c r="I73" s="30" t="str">
        <f aca="false">IF(DueSoon[[#This Row],[_Task]]="","",INDEX(tsk_Status,DueSoon[[#This Row],[_Task]])&amp;"")</f>
        <v/>
      </c>
      <c r="J73" s="30" t="str">
        <f aca="false">IF(DueSoon[[#This Row],[_Task]]="","",INDEX(tsk_Critical,DueSoon[[#This Row],[_Task]])&amp;"")</f>
        <v/>
      </c>
    </row>
    <row r="74" customFormat="false" ht="15" hidden="false" customHeight="false" outlineLevel="0" collapsed="false">
      <c r="B74" s="38" t="str">
        <f aca="false">IFERROR(MATCH(SMALL(tsk_DueSoonKey,ROW()-ROW(DueSoon[[#Headers],[_Task]])),tsk_DueSoonKey,0),"")</f>
        <v/>
      </c>
      <c r="C74" s="30" t="str">
        <f aca="false">IF(DueSoon[[#This Row],[_Task]]="","",INDEX(tsk_WBS,DueSoon[[#This Row],[_Task]])&amp;"")</f>
        <v/>
      </c>
      <c r="D74" s="30" t="str">
        <f aca="false">IF(DueSoon[[#This Row],[_Task]]="","",INDEX(tsk_Name,DueSoon[[#This Row],[_Task]])&amp;"")</f>
        <v/>
      </c>
      <c r="E74" s="30" t="str">
        <f aca="false">IF(DueSoon[[#This Row],[_Task]]="","",INDEX(tsk_ResourceNames,DueSoon[[#This Row],[_Task]])&amp;"")</f>
        <v/>
      </c>
      <c r="F74" s="65" t="str">
        <f aca="false">IF(DueSoon[[#This Row],[_Task]]="","",IF(N(INDEX(tsk_FcFinish,DueSoon[[#This Row],[_Task]]))=0,"",INDEX(tsk_FcFinish,DueSoon[[#This Row],[_Task]])))</f>
        <v/>
      </c>
      <c r="G74" s="40" t="str">
        <f aca="false">IF(DueSoon[[#This Row],[_Task]]="","",INDEX(tsk_Progress,DueSoon[[#This Row],[_Task]]))</f>
        <v/>
      </c>
      <c r="H74" s="30" t="str">
        <f aca="false">IF(DueSoon[[#This Row],[_Task]]="","",INDEX(tsk_DeadlineCheck,DueSoon[[#This Row],[_Task]])&amp;"")</f>
        <v/>
      </c>
      <c r="I74" s="30" t="str">
        <f aca="false">IF(DueSoon[[#This Row],[_Task]]="","",INDEX(tsk_Status,DueSoon[[#This Row],[_Task]])&amp;"")</f>
        <v/>
      </c>
      <c r="J74" s="30" t="str">
        <f aca="false">IF(DueSoon[[#This Row],[_Task]]="","",INDEX(tsk_Critical,DueSoon[[#This Row],[_Task]])&amp;"")</f>
        <v/>
      </c>
    </row>
    <row r="75" customFormat="false" ht="15" hidden="false" customHeight="false" outlineLevel="0" collapsed="false">
      <c r="B75" s="38" t="str">
        <f aca="false">IFERROR(MATCH(SMALL(tsk_DueSoonKey,ROW()-ROW(DueSoon[[#Headers],[_Task]])),tsk_DueSoonKey,0),"")</f>
        <v/>
      </c>
      <c r="C75" s="30" t="str">
        <f aca="false">IF(DueSoon[[#This Row],[_Task]]="","",INDEX(tsk_WBS,DueSoon[[#This Row],[_Task]])&amp;"")</f>
        <v/>
      </c>
      <c r="D75" s="30" t="str">
        <f aca="false">IF(DueSoon[[#This Row],[_Task]]="","",INDEX(tsk_Name,DueSoon[[#This Row],[_Task]])&amp;"")</f>
        <v/>
      </c>
      <c r="E75" s="30" t="str">
        <f aca="false">IF(DueSoon[[#This Row],[_Task]]="","",INDEX(tsk_ResourceNames,DueSoon[[#This Row],[_Task]])&amp;"")</f>
        <v/>
      </c>
      <c r="F75" s="65" t="str">
        <f aca="false">IF(DueSoon[[#This Row],[_Task]]="","",IF(N(INDEX(tsk_FcFinish,DueSoon[[#This Row],[_Task]]))=0,"",INDEX(tsk_FcFinish,DueSoon[[#This Row],[_Task]])))</f>
        <v/>
      </c>
      <c r="G75" s="40" t="str">
        <f aca="false">IF(DueSoon[[#This Row],[_Task]]="","",INDEX(tsk_Progress,DueSoon[[#This Row],[_Task]]))</f>
        <v/>
      </c>
      <c r="H75" s="30" t="str">
        <f aca="false">IF(DueSoon[[#This Row],[_Task]]="","",INDEX(tsk_DeadlineCheck,DueSoon[[#This Row],[_Task]])&amp;"")</f>
        <v/>
      </c>
      <c r="I75" s="30" t="str">
        <f aca="false">IF(DueSoon[[#This Row],[_Task]]="","",INDEX(tsk_Status,DueSoon[[#This Row],[_Task]])&amp;"")</f>
        <v/>
      </c>
      <c r="J75" s="30" t="str">
        <f aca="false">IF(DueSoon[[#This Row],[_Task]]="","",INDEX(tsk_Critical,DueSoon[[#This Row],[_Task]])&amp;"")</f>
        <v/>
      </c>
    </row>
    <row r="76" customFormat="false" ht="15" hidden="false" customHeight="false" outlineLevel="0" collapsed="false">
      <c r="B76" s="38" t="str">
        <f aca="false">IFERROR(MATCH(SMALL(tsk_DueSoonKey,ROW()-ROW(DueSoon[[#Headers],[_Task]])),tsk_DueSoonKey,0),"")</f>
        <v/>
      </c>
      <c r="C76" s="30" t="str">
        <f aca="false">IF(DueSoon[[#This Row],[_Task]]="","",INDEX(tsk_WBS,DueSoon[[#This Row],[_Task]])&amp;"")</f>
        <v/>
      </c>
      <c r="D76" s="30" t="str">
        <f aca="false">IF(DueSoon[[#This Row],[_Task]]="","",INDEX(tsk_Name,DueSoon[[#This Row],[_Task]])&amp;"")</f>
        <v/>
      </c>
      <c r="E76" s="30" t="str">
        <f aca="false">IF(DueSoon[[#This Row],[_Task]]="","",INDEX(tsk_ResourceNames,DueSoon[[#This Row],[_Task]])&amp;"")</f>
        <v/>
      </c>
      <c r="F76" s="65" t="str">
        <f aca="false">IF(DueSoon[[#This Row],[_Task]]="","",IF(N(INDEX(tsk_FcFinish,DueSoon[[#This Row],[_Task]]))=0,"",INDEX(tsk_FcFinish,DueSoon[[#This Row],[_Task]])))</f>
        <v/>
      </c>
      <c r="G76" s="40" t="str">
        <f aca="false">IF(DueSoon[[#This Row],[_Task]]="","",INDEX(tsk_Progress,DueSoon[[#This Row],[_Task]]))</f>
        <v/>
      </c>
      <c r="H76" s="30" t="str">
        <f aca="false">IF(DueSoon[[#This Row],[_Task]]="","",INDEX(tsk_DeadlineCheck,DueSoon[[#This Row],[_Task]])&amp;"")</f>
        <v/>
      </c>
      <c r="I76" s="30" t="str">
        <f aca="false">IF(DueSoon[[#This Row],[_Task]]="","",INDEX(tsk_Status,DueSoon[[#This Row],[_Task]])&amp;"")</f>
        <v/>
      </c>
      <c r="J76" s="30" t="str">
        <f aca="false">IF(DueSoon[[#This Row],[_Task]]="","",INDEX(tsk_Critical,DueSoon[[#This Row],[_Task]])&amp;"")</f>
        <v/>
      </c>
    </row>
    <row r="77" customFormat="false" ht="15" hidden="false" customHeight="false" outlineLevel="0" collapsed="false">
      <c r="B77" s="38" t="str">
        <f aca="false">IFERROR(MATCH(SMALL(tsk_DueSoonKey,ROW()-ROW(DueSoon[[#Headers],[_Task]])),tsk_DueSoonKey,0),"")</f>
        <v/>
      </c>
      <c r="C77" s="30" t="str">
        <f aca="false">IF(DueSoon[[#This Row],[_Task]]="","",INDEX(tsk_WBS,DueSoon[[#This Row],[_Task]])&amp;"")</f>
        <v/>
      </c>
      <c r="D77" s="30" t="str">
        <f aca="false">IF(DueSoon[[#This Row],[_Task]]="","",INDEX(tsk_Name,DueSoon[[#This Row],[_Task]])&amp;"")</f>
        <v/>
      </c>
      <c r="E77" s="30" t="str">
        <f aca="false">IF(DueSoon[[#This Row],[_Task]]="","",INDEX(tsk_ResourceNames,DueSoon[[#This Row],[_Task]])&amp;"")</f>
        <v/>
      </c>
      <c r="F77" s="65" t="str">
        <f aca="false">IF(DueSoon[[#This Row],[_Task]]="","",IF(N(INDEX(tsk_FcFinish,DueSoon[[#This Row],[_Task]]))=0,"",INDEX(tsk_FcFinish,DueSoon[[#This Row],[_Task]])))</f>
        <v/>
      </c>
      <c r="G77" s="40" t="str">
        <f aca="false">IF(DueSoon[[#This Row],[_Task]]="","",INDEX(tsk_Progress,DueSoon[[#This Row],[_Task]]))</f>
        <v/>
      </c>
      <c r="H77" s="30" t="str">
        <f aca="false">IF(DueSoon[[#This Row],[_Task]]="","",INDEX(tsk_DeadlineCheck,DueSoon[[#This Row],[_Task]])&amp;"")</f>
        <v/>
      </c>
      <c r="I77" s="30" t="str">
        <f aca="false">IF(DueSoon[[#This Row],[_Task]]="","",INDEX(tsk_Status,DueSoon[[#This Row],[_Task]])&amp;"")</f>
        <v/>
      </c>
      <c r="J77" s="30" t="str">
        <f aca="false">IF(DueSoon[[#This Row],[_Task]]="","",INDEX(tsk_Critical,DueSoon[[#This Row],[_Task]])&amp;"")</f>
        <v/>
      </c>
    </row>
    <row r="78" customFormat="false" ht="15" hidden="false" customHeight="false" outlineLevel="0" collapsed="false">
      <c r="B78" s="38" t="str">
        <f aca="false">IFERROR(MATCH(SMALL(tsk_DueSoonKey,ROW()-ROW(DueSoon[[#Headers],[_Task]])),tsk_DueSoonKey,0),"")</f>
        <v/>
      </c>
      <c r="C78" s="30" t="str">
        <f aca="false">IF(DueSoon[[#This Row],[_Task]]="","",INDEX(tsk_WBS,DueSoon[[#This Row],[_Task]])&amp;"")</f>
        <v/>
      </c>
      <c r="D78" s="30" t="str">
        <f aca="false">IF(DueSoon[[#This Row],[_Task]]="","",INDEX(tsk_Name,DueSoon[[#This Row],[_Task]])&amp;"")</f>
        <v/>
      </c>
      <c r="E78" s="30" t="str">
        <f aca="false">IF(DueSoon[[#This Row],[_Task]]="","",INDEX(tsk_ResourceNames,DueSoon[[#This Row],[_Task]])&amp;"")</f>
        <v/>
      </c>
      <c r="F78" s="65" t="str">
        <f aca="false">IF(DueSoon[[#This Row],[_Task]]="","",IF(N(INDEX(tsk_FcFinish,DueSoon[[#This Row],[_Task]]))=0,"",INDEX(tsk_FcFinish,DueSoon[[#This Row],[_Task]])))</f>
        <v/>
      </c>
      <c r="G78" s="40" t="str">
        <f aca="false">IF(DueSoon[[#This Row],[_Task]]="","",INDEX(tsk_Progress,DueSoon[[#This Row],[_Task]]))</f>
        <v/>
      </c>
      <c r="H78" s="30" t="str">
        <f aca="false">IF(DueSoon[[#This Row],[_Task]]="","",INDEX(tsk_DeadlineCheck,DueSoon[[#This Row],[_Task]])&amp;"")</f>
        <v/>
      </c>
      <c r="I78" s="30" t="str">
        <f aca="false">IF(DueSoon[[#This Row],[_Task]]="","",INDEX(tsk_Status,DueSoon[[#This Row],[_Task]])&amp;"")</f>
        <v/>
      </c>
      <c r="J78" s="30" t="str">
        <f aca="false">IF(DueSoon[[#This Row],[_Task]]="","",INDEX(tsk_Critical,DueSoon[[#This Row],[_Task]])&amp;"")</f>
        <v/>
      </c>
    </row>
    <row r="79" customFormat="false" ht="15" hidden="false" customHeight="false" outlineLevel="0" collapsed="false">
      <c r="B79" s="38" t="str">
        <f aca="false">IFERROR(MATCH(SMALL(tsk_DueSoonKey,ROW()-ROW(DueSoon[[#Headers],[_Task]])),tsk_DueSoonKey,0),"")</f>
        <v/>
      </c>
      <c r="C79" s="30" t="str">
        <f aca="false">IF(DueSoon[[#This Row],[_Task]]="","",INDEX(tsk_WBS,DueSoon[[#This Row],[_Task]])&amp;"")</f>
        <v/>
      </c>
      <c r="D79" s="30" t="str">
        <f aca="false">IF(DueSoon[[#This Row],[_Task]]="","",INDEX(tsk_Name,DueSoon[[#This Row],[_Task]])&amp;"")</f>
        <v/>
      </c>
      <c r="E79" s="30" t="str">
        <f aca="false">IF(DueSoon[[#This Row],[_Task]]="","",INDEX(tsk_ResourceNames,DueSoon[[#This Row],[_Task]])&amp;"")</f>
        <v/>
      </c>
      <c r="F79" s="65" t="str">
        <f aca="false">IF(DueSoon[[#This Row],[_Task]]="","",IF(N(INDEX(tsk_FcFinish,DueSoon[[#This Row],[_Task]]))=0,"",INDEX(tsk_FcFinish,DueSoon[[#This Row],[_Task]])))</f>
        <v/>
      </c>
      <c r="G79" s="40" t="str">
        <f aca="false">IF(DueSoon[[#This Row],[_Task]]="","",INDEX(tsk_Progress,DueSoon[[#This Row],[_Task]]))</f>
        <v/>
      </c>
      <c r="H79" s="30" t="str">
        <f aca="false">IF(DueSoon[[#This Row],[_Task]]="","",INDEX(tsk_DeadlineCheck,DueSoon[[#This Row],[_Task]])&amp;"")</f>
        <v/>
      </c>
      <c r="I79" s="30" t="str">
        <f aca="false">IF(DueSoon[[#This Row],[_Task]]="","",INDEX(tsk_Status,DueSoon[[#This Row],[_Task]])&amp;"")</f>
        <v/>
      </c>
      <c r="J79" s="30" t="str">
        <f aca="false">IF(DueSoon[[#This Row],[_Task]]="","",INDEX(tsk_Critical,DueSoon[[#This Row],[_Task]])&amp;"")</f>
        <v/>
      </c>
    </row>
    <row r="80" customFormat="false" ht="15" hidden="false" customHeight="false" outlineLevel="0" collapsed="false">
      <c r="B80" s="38" t="str">
        <f aca="false">IFERROR(MATCH(SMALL(tsk_DueSoonKey,ROW()-ROW(DueSoon[[#Headers],[_Task]])),tsk_DueSoonKey,0),"")</f>
        <v/>
      </c>
      <c r="C80" s="30" t="str">
        <f aca="false">IF(DueSoon[[#This Row],[_Task]]="","",INDEX(tsk_WBS,DueSoon[[#This Row],[_Task]])&amp;"")</f>
        <v/>
      </c>
      <c r="D80" s="30" t="str">
        <f aca="false">IF(DueSoon[[#This Row],[_Task]]="","",INDEX(tsk_Name,DueSoon[[#This Row],[_Task]])&amp;"")</f>
        <v/>
      </c>
      <c r="E80" s="30" t="str">
        <f aca="false">IF(DueSoon[[#This Row],[_Task]]="","",INDEX(tsk_ResourceNames,DueSoon[[#This Row],[_Task]])&amp;"")</f>
        <v/>
      </c>
      <c r="F80" s="65" t="str">
        <f aca="false">IF(DueSoon[[#This Row],[_Task]]="","",IF(N(INDEX(tsk_FcFinish,DueSoon[[#This Row],[_Task]]))=0,"",INDEX(tsk_FcFinish,DueSoon[[#This Row],[_Task]])))</f>
        <v/>
      </c>
      <c r="G80" s="40" t="str">
        <f aca="false">IF(DueSoon[[#This Row],[_Task]]="","",INDEX(tsk_Progress,DueSoon[[#This Row],[_Task]]))</f>
        <v/>
      </c>
      <c r="H80" s="30" t="str">
        <f aca="false">IF(DueSoon[[#This Row],[_Task]]="","",INDEX(tsk_DeadlineCheck,DueSoon[[#This Row],[_Task]])&amp;"")</f>
        <v/>
      </c>
      <c r="I80" s="30" t="str">
        <f aca="false">IF(DueSoon[[#This Row],[_Task]]="","",INDEX(tsk_Status,DueSoon[[#This Row],[_Task]])&amp;"")</f>
        <v/>
      </c>
      <c r="J80" s="30" t="str">
        <f aca="false">IF(DueSoon[[#This Row],[_Task]]="","",INDEX(tsk_Critical,DueSoon[[#This Row],[_Task]])&amp;"")</f>
        <v/>
      </c>
    </row>
    <row r="81" customFormat="false" ht="15" hidden="false" customHeight="false" outlineLevel="0" collapsed="false">
      <c r="B81" s="38" t="str">
        <f aca="false">IFERROR(MATCH(SMALL(tsk_DueSoonKey,ROW()-ROW(DueSoon[[#Headers],[_Task]])),tsk_DueSoonKey,0),"")</f>
        <v/>
      </c>
      <c r="C81" s="30" t="str">
        <f aca="false">IF(DueSoon[[#This Row],[_Task]]="","",INDEX(tsk_WBS,DueSoon[[#This Row],[_Task]])&amp;"")</f>
        <v/>
      </c>
      <c r="D81" s="30" t="str">
        <f aca="false">IF(DueSoon[[#This Row],[_Task]]="","",INDEX(tsk_Name,DueSoon[[#This Row],[_Task]])&amp;"")</f>
        <v/>
      </c>
      <c r="E81" s="30" t="str">
        <f aca="false">IF(DueSoon[[#This Row],[_Task]]="","",INDEX(tsk_ResourceNames,DueSoon[[#This Row],[_Task]])&amp;"")</f>
        <v/>
      </c>
      <c r="F81" s="65" t="str">
        <f aca="false">IF(DueSoon[[#This Row],[_Task]]="","",IF(N(INDEX(tsk_FcFinish,DueSoon[[#This Row],[_Task]]))=0,"",INDEX(tsk_FcFinish,DueSoon[[#This Row],[_Task]])))</f>
        <v/>
      </c>
      <c r="G81" s="40" t="str">
        <f aca="false">IF(DueSoon[[#This Row],[_Task]]="","",INDEX(tsk_Progress,DueSoon[[#This Row],[_Task]]))</f>
        <v/>
      </c>
      <c r="H81" s="30" t="str">
        <f aca="false">IF(DueSoon[[#This Row],[_Task]]="","",INDEX(tsk_DeadlineCheck,DueSoon[[#This Row],[_Task]])&amp;"")</f>
        <v/>
      </c>
      <c r="I81" s="30" t="str">
        <f aca="false">IF(DueSoon[[#This Row],[_Task]]="","",INDEX(tsk_Status,DueSoon[[#This Row],[_Task]])&amp;"")</f>
        <v/>
      </c>
      <c r="J81" s="30" t="str">
        <f aca="false">IF(DueSoon[[#This Row],[_Task]]="","",INDEX(tsk_Critical,DueSoon[[#This Row],[_Task]])&amp;"")</f>
        <v/>
      </c>
    </row>
    <row r="82" customFormat="false" ht="15" hidden="false" customHeight="false" outlineLevel="0" collapsed="false">
      <c r="B82" s="38" t="str">
        <f aca="false">IFERROR(MATCH(SMALL(tsk_DueSoonKey,ROW()-ROW(DueSoon[[#Headers],[_Task]])),tsk_DueSoonKey,0),"")</f>
        <v/>
      </c>
      <c r="C82" s="30" t="str">
        <f aca="false">IF(DueSoon[[#This Row],[_Task]]="","",INDEX(tsk_WBS,DueSoon[[#This Row],[_Task]])&amp;"")</f>
        <v/>
      </c>
      <c r="D82" s="30" t="str">
        <f aca="false">IF(DueSoon[[#This Row],[_Task]]="","",INDEX(tsk_Name,DueSoon[[#This Row],[_Task]])&amp;"")</f>
        <v/>
      </c>
      <c r="E82" s="30" t="str">
        <f aca="false">IF(DueSoon[[#This Row],[_Task]]="","",INDEX(tsk_ResourceNames,DueSoon[[#This Row],[_Task]])&amp;"")</f>
        <v/>
      </c>
      <c r="F82" s="65" t="str">
        <f aca="false">IF(DueSoon[[#This Row],[_Task]]="","",IF(N(INDEX(tsk_FcFinish,DueSoon[[#This Row],[_Task]]))=0,"",INDEX(tsk_FcFinish,DueSoon[[#This Row],[_Task]])))</f>
        <v/>
      </c>
      <c r="G82" s="40" t="str">
        <f aca="false">IF(DueSoon[[#This Row],[_Task]]="","",INDEX(tsk_Progress,DueSoon[[#This Row],[_Task]]))</f>
        <v/>
      </c>
      <c r="H82" s="30" t="str">
        <f aca="false">IF(DueSoon[[#This Row],[_Task]]="","",INDEX(tsk_DeadlineCheck,DueSoon[[#This Row],[_Task]])&amp;"")</f>
        <v/>
      </c>
      <c r="I82" s="30" t="str">
        <f aca="false">IF(DueSoon[[#This Row],[_Task]]="","",INDEX(tsk_Status,DueSoon[[#This Row],[_Task]])&amp;"")</f>
        <v/>
      </c>
      <c r="J82" s="30" t="str">
        <f aca="false">IF(DueSoon[[#This Row],[_Task]]="","",INDEX(tsk_Critical,DueSoon[[#This Row],[_Task]])&amp;"")</f>
        <v/>
      </c>
    </row>
    <row r="83" customFormat="false" ht="15" hidden="false" customHeight="false" outlineLevel="0" collapsed="false">
      <c r="B83" s="38" t="str">
        <f aca="false">IFERROR(MATCH(SMALL(tsk_DueSoonKey,ROW()-ROW(DueSoon[[#Headers],[_Task]])),tsk_DueSoonKey,0),"")</f>
        <v/>
      </c>
      <c r="C83" s="30" t="str">
        <f aca="false">IF(DueSoon[[#This Row],[_Task]]="","",INDEX(tsk_WBS,DueSoon[[#This Row],[_Task]])&amp;"")</f>
        <v/>
      </c>
      <c r="D83" s="30" t="str">
        <f aca="false">IF(DueSoon[[#This Row],[_Task]]="","",INDEX(tsk_Name,DueSoon[[#This Row],[_Task]])&amp;"")</f>
        <v/>
      </c>
      <c r="E83" s="30" t="str">
        <f aca="false">IF(DueSoon[[#This Row],[_Task]]="","",INDEX(tsk_ResourceNames,DueSoon[[#This Row],[_Task]])&amp;"")</f>
        <v/>
      </c>
      <c r="F83" s="65" t="str">
        <f aca="false">IF(DueSoon[[#This Row],[_Task]]="","",IF(N(INDEX(tsk_FcFinish,DueSoon[[#This Row],[_Task]]))=0,"",INDEX(tsk_FcFinish,DueSoon[[#This Row],[_Task]])))</f>
        <v/>
      </c>
      <c r="G83" s="40" t="str">
        <f aca="false">IF(DueSoon[[#This Row],[_Task]]="","",INDEX(tsk_Progress,DueSoon[[#This Row],[_Task]]))</f>
        <v/>
      </c>
      <c r="H83" s="30" t="str">
        <f aca="false">IF(DueSoon[[#This Row],[_Task]]="","",INDEX(tsk_DeadlineCheck,DueSoon[[#This Row],[_Task]])&amp;"")</f>
        <v/>
      </c>
      <c r="I83" s="30" t="str">
        <f aca="false">IF(DueSoon[[#This Row],[_Task]]="","",INDEX(tsk_Status,DueSoon[[#This Row],[_Task]])&amp;"")</f>
        <v/>
      </c>
      <c r="J83" s="30" t="str">
        <f aca="false">IF(DueSoon[[#This Row],[_Task]]="","",INDEX(tsk_Critical,DueSoon[[#This Row],[_Task]])&amp;"")</f>
        <v/>
      </c>
    </row>
    <row r="84" customFormat="false" ht="15" hidden="false" customHeight="false" outlineLevel="0" collapsed="false">
      <c r="B84" s="38" t="str">
        <f aca="false">IFERROR(MATCH(SMALL(tsk_DueSoonKey,ROW()-ROW(DueSoon[[#Headers],[_Task]])),tsk_DueSoonKey,0),"")</f>
        <v/>
      </c>
      <c r="C84" s="30" t="str">
        <f aca="false">IF(DueSoon[[#This Row],[_Task]]="","",INDEX(tsk_WBS,DueSoon[[#This Row],[_Task]])&amp;"")</f>
        <v/>
      </c>
      <c r="D84" s="30" t="str">
        <f aca="false">IF(DueSoon[[#This Row],[_Task]]="","",INDEX(tsk_Name,DueSoon[[#This Row],[_Task]])&amp;"")</f>
        <v/>
      </c>
      <c r="E84" s="30" t="str">
        <f aca="false">IF(DueSoon[[#This Row],[_Task]]="","",INDEX(tsk_ResourceNames,DueSoon[[#This Row],[_Task]])&amp;"")</f>
        <v/>
      </c>
      <c r="F84" s="65" t="str">
        <f aca="false">IF(DueSoon[[#This Row],[_Task]]="","",IF(N(INDEX(tsk_FcFinish,DueSoon[[#This Row],[_Task]]))=0,"",INDEX(tsk_FcFinish,DueSoon[[#This Row],[_Task]])))</f>
        <v/>
      </c>
      <c r="G84" s="40" t="str">
        <f aca="false">IF(DueSoon[[#This Row],[_Task]]="","",INDEX(tsk_Progress,DueSoon[[#This Row],[_Task]]))</f>
        <v/>
      </c>
      <c r="H84" s="30" t="str">
        <f aca="false">IF(DueSoon[[#This Row],[_Task]]="","",INDEX(tsk_DeadlineCheck,DueSoon[[#This Row],[_Task]])&amp;"")</f>
        <v/>
      </c>
      <c r="I84" s="30" t="str">
        <f aca="false">IF(DueSoon[[#This Row],[_Task]]="","",INDEX(tsk_Status,DueSoon[[#This Row],[_Task]])&amp;"")</f>
        <v/>
      </c>
      <c r="J84" s="30" t="str">
        <f aca="false">IF(DueSoon[[#This Row],[_Task]]="","",INDEX(tsk_Critical,DueSoon[[#This Row],[_Task]])&amp;"")</f>
        <v/>
      </c>
    </row>
    <row r="85" customFormat="false" ht="15" hidden="false" customHeight="false" outlineLevel="0" collapsed="false">
      <c r="B85" s="38" t="str">
        <f aca="false">IFERROR(MATCH(SMALL(tsk_DueSoonKey,ROW()-ROW(DueSoon[[#Headers],[_Task]])),tsk_DueSoonKey,0),"")</f>
        <v/>
      </c>
      <c r="C85" s="30" t="str">
        <f aca="false">IF(DueSoon[[#This Row],[_Task]]="","",INDEX(tsk_WBS,DueSoon[[#This Row],[_Task]])&amp;"")</f>
        <v/>
      </c>
      <c r="D85" s="30" t="str">
        <f aca="false">IF(DueSoon[[#This Row],[_Task]]="","",INDEX(tsk_Name,DueSoon[[#This Row],[_Task]])&amp;"")</f>
        <v/>
      </c>
      <c r="E85" s="30" t="str">
        <f aca="false">IF(DueSoon[[#This Row],[_Task]]="","",INDEX(tsk_ResourceNames,DueSoon[[#This Row],[_Task]])&amp;"")</f>
        <v/>
      </c>
      <c r="F85" s="65" t="str">
        <f aca="false">IF(DueSoon[[#This Row],[_Task]]="","",IF(N(INDEX(tsk_FcFinish,DueSoon[[#This Row],[_Task]]))=0,"",INDEX(tsk_FcFinish,DueSoon[[#This Row],[_Task]])))</f>
        <v/>
      </c>
      <c r="G85" s="40" t="str">
        <f aca="false">IF(DueSoon[[#This Row],[_Task]]="","",INDEX(tsk_Progress,DueSoon[[#This Row],[_Task]]))</f>
        <v/>
      </c>
      <c r="H85" s="30" t="str">
        <f aca="false">IF(DueSoon[[#This Row],[_Task]]="","",INDEX(tsk_DeadlineCheck,DueSoon[[#This Row],[_Task]])&amp;"")</f>
        <v/>
      </c>
      <c r="I85" s="30" t="str">
        <f aca="false">IF(DueSoon[[#This Row],[_Task]]="","",INDEX(tsk_Status,DueSoon[[#This Row],[_Task]])&amp;"")</f>
        <v/>
      </c>
      <c r="J85" s="30" t="str">
        <f aca="false">IF(DueSoon[[#This Row],[_Task]]="","",INDEX(tsk_Critical,DueSoon[[#This Row],[_Task]])&amp;"")</f>
        <v/>
      </c>
    </row>
    <row r="86" customFormat="false" ht="15" hidden="false" customHeight="false" outlineLevel="0" collapsed="false">
      <c r="B86" s="38" t="str">
        <f aca="false">IFERROR(MATCH(SMALL(tsk_DueSoonKey,ROW()-ROW(DueSoon[[#Headers],[_Task]])),tsk_DueSoonKey,0),"")</f>
        <v/>
      </c>
      <c r="C86" s="30" t="str">
        <f aca="false">IF(DueSoon[[#This Row],[_Task]]="","",INDEX(tsk_WBS,DueSoon[[#This Row],[_Task]])&amp;"")</f>
        <v/>
      </c>
      <c r="D86" s="30" t="str">
        <f aca="false">IF(DueSoon[[#This Row],[_Task]]="","",INDEX(tsk_Name,DueSoon[[#This Row],[_Task]])&amp;"")</f>
        <v/>
      </c>
      <c r="E86" s="30" t="str">
        <f aca="false">IF(DueSoon[[#This Row],[_Task]]="","",INDEX(tsk_ResourceNames,DueSoon[[#This Row],[_Task]])&amp;"")</f>
        <v/>
      </c>
      <c r="F86" s="65" t="str">
        <f aca="false">IF(DueSoon[[#This Row],[_Task]]="","",IF(N(INDEX(tsk_FcFinish,DueSoon[[#This Row],[_Task]]))=0,"",INDEX(tsk_FcFinish,DueSoon[[#This Row],[_Task]])))</f>
        <v/>
      </c>
      <c r="G86" s="40" t="str">
        <f aca="false">IF(DueSoon[[#This Row],[_Task]]="","",INDEX(tsk_Progress,DueSoon[[#This Row],[_Task]]))</f>
        <v/>
      </c>
      <c r="H86" s="30" t="str">
        <f aca="false">IF(DueSoon[[#This Row],[_Task]]="","",INDEX(tsk_DeadlineCheck,DueSoon[[#This Row],[_Task]])&amp;"")</f>
        <v/>
      </c>
      <c r="I86" s="30" t="str">
        <f aca="false">IF(DueSoon[[#This Row],[_Task]]="","",INDEX(tsk_Status,DueSoon[[#This Row],[_Task]])&amp;"")</f>
        <v/>
      </c>
      <c r="J86" s="30" t="str">
        <f aca="false">IF(DueSoon[[#This Row],[_Task]]="","",INDEX(tsk_Critical,DueSoon[[#This Row],[_Task]])&amp;"")</f>
        <v/>
      </c>
    </row>
    <row r="87" customFormat="false" ht="15" hidden="false" customHeight="false" outlineLevel="0" collapsed="false">
      <c r="B87" s="38" t="str">
        <f aca="false">IFERROR(MATCH(SMALL(tsk_DueSoonKey,ROW()-ROW(DueSoon[[#Headers],[_Task]])),tsk_DueSoonKey,0),"")</f>
        <v/>
      </c>
      <c r="C87" s="30" t="str">
        <f aca="false">IF(DueSoon[[#This Row],[_Task]]="","",INDEX(tsk_WBS,DueSoon[[#This Row],[_Task]])&amp;"")</f>
        <v/>
      </c>
      <c r="D87" s="30" t="str">
        <f aca="false">IF(DueSoon[[#This Row],[_Task]]="","",INDEX(tsk_Name,DueSoon[[#This Row],[_Task]])&amp;"")</f>
        <v/>
      </c>
      <c r="E87" s="30" t="str">
        <f aca="false">IF(DueSoon[[#This Row],[_Task]]="","",INDEX(tsk_ResourceNames,DueSoon[[#This Row],[_Task]])&amp;"")</f>
        <v/>
      </c>
      <c r="F87" s="65" t="str">
        <f aca="false">IF(DueSoon[[#This Row],[_Task]]="","",IF(N(INDEX(tsk_FcFinish,DueSoon[[#This Row],[_Task]]))=0,"",INDEX(tsk_FcFinish,DueSoon[[#This Row],[_Task]])))</f>
        <v/>
      </c>
      <c r="G87" s="40" t="str">
        <f aca="false">IF(DueSoon[[#This Row],[_Task]]="","",INDEX(tsk_Progress,DueSoon[[#This Row],[_Task]]))</f>
        <v/>
      </c>
      <c r="H87" s="30" t="str">
        <f aca="false">IF(DueSoon[[#This Row],[_Task]]="","",INDEX(tsk_DeadlineCheck,DueSoon[[#This Row],[_Task]])&amp;"")</f>
        <v/>
      </c>
      <c r="I87" s="30" t="str">
        <f aca="false">IF(DueSoon[[#This Row],[_Task]]="","",INDEX(tsk_Status,DueSoon[[#This Row],[_Task]])&amp;"")</f>
        <v/>
      </c>
      <c r="J87" s="30"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0</v>
      </c>
    </row>
    <row r="90" customFormat="false" ht="23.85" hidden="false" customHeight="false" outlineLevel="0" collapsed="false">
      <c r="B90" s="37" t="s">
        <v>151</v>
      </c>
      <c r="C90" s="15" t="s">
        <v>152</v>
      </c>
      <c r="D90" s="15" t="s">
        <v>227</v>
      </c>
      <c r="E90" s="15" t="s">
        <v>255</v>
      </c>
      <c r="F90" s="15" t="s">
        <v>257</v>
      </c>
      <c r="G90" s="15" t="s">
        <v>247</v>
      </c>
      <c r="H90" s="15" t="s">
        <v>259</v>
      </c>
      <c r="I90" s="15" t="s">
        <v>163</v>
      </c>
      <c r="J90" s="15" t="s">
        <v>28</v>
      </c>
    </row>
    <row r="91" customFormat="false" ht="15" hidden="false" customHeight="false" outlineLevel="0" collapsed="false">
      <c r="B91" s="38" t="str">
        <f aca="false">IFERROR(MATCH(SMALL(tsk_CriticalKey,ROW()-ROW(CriticalTasks[[#Headers],[_Task]])),tsk_CriticalKey,0),"")</f>
        <v/>
      </c>
      <c r="C91" s="30" t="str">
        <f aca="false">IF(CriticalTasks[[#This Row],[_Task]]="","",INDEX(tsk_WBS,CriticalTasks[[#This Row],[_Task]])&amp;"")</f>
        <v/>
      </c>
      <c r="D91" s="30" t="str">
        <f aca="false">IF(CriticalTasks[[#This Row],[_Task]]="","",INDEX(tsk_Name,CriticalTasks[[#This Row],[_Task]])&amp;"")</f>
        <v/>
      </c>
      <c r="E91" s="30" t="str">
        <f aca="false">IF(CriticalTasks[[#This Row],[_Task]]="","",INDEX(tsk_ResourceNames,CriticalTasks[[#This Row],[_Task]])&amp;"")</f>
        <v/>
      </c>
      <c r="F91" s="65" t="str">
        <f aca="false">IF(CriticalTasks[[#This Row],[_Task]]="","",IF(N(INDEX(tsk_FcStart,CriticalTasks[[#This Row],[_Task]]))=0,"",INDEX(tsk_FcStart,CriticalTasks[[#This Row],[_Task]])))</f>
        <v/>
      </c>
      <c r="G91" s="65" t="str">
        <f aca="false">IF(CriticalTasks[[#This Row],[_Task]]="","",IF(N(INDEX(tsk_FcFinish,CriticalTasks[[#This Row],[_Task]]))=0,"",INDEX(tsk_FcFinish,CriticalTasks[[#This Row],[_Task]])))</f>
        <v/>
      </c>
      <c r="H91" s="51" t="str">
        <f aca="false">IF(CriticalTasks[[#This Row],[_Task]]="","",INDEX(tsk_TotalSlack,CriticalTasks[[#This Row],[_Task]]))</f>
        <v/>
      </c>
      <c r="I91" s="30" t="str">
        <f aca="false">IF(CriticalTasks[[#This Row],[_Task]]="","",INDEX(tsk_DeadlineCheck,CriticalTasks[[#This Row],[_Task]])&amp;"")</f>
        <v/>
      </c>
      <c r="J91" s="30" t="str">
        <f aca="false">IF(CriticalTasks[[#This Row],[_Task]]="","",INDEX(tsk_Status,CriticalTasks[[#This Row],[_Task]])&amp;"")</f>
        <v/>
      </c>
    </row>
    <row r="92" customFormat="false" ht="15" hidden="false" customHeight="false" outlineLevel="0" collapsed="false">
      <c r="B92" s="38" t="str">
        <f aca="false">IFERROR(MATCH(SMALL(tsk_CriticalKey,ROW()-ROW(CriticalTasks[[#Headers],[_Task]])),tsk_CriticalKey,0),"")</f>
        <v/>
      </c>
      <c r="C92" s="30" t="str">
        <f aca="false">IF(CriticalTasks[[#This Row],[_Task]]="","",INDEX(tsk_WBS,CriticalTasks[[#This Row],[_Task]])&amp;"")</f>
        <v/>
      </c>
      <c r="D92" s="30" t="str">
        <f aca="false">IF(CriticalTasks[[#This Row],[_Task]]="","",INDEX(tsk_Name,CriticalTasks[[#This Row],[_Task]])&amp;"")</f>
        <v/>
      </c>
      <c r="E92" s="30" t="str">
        <f aca="false">IF(CriticalTasks[[#This Row],[_Task]]="","",INDEX(tsk_ResourceNames,CriticalTasks[[#This Row],[_Task]])&amp;"")</f>
        <v/>
      </c>
      <c r="F92" s="65" t="str">
        <f aca="false">IF(CriticalTasks[[#This Row],[_Task]]="","",IF(N(INDEX(tsk_FcStart,CriticalTasks[[#This Row],[_Task]]))=0,"",INDEX(tsk_FcStart,CriticalTasks[[#This Row],[_Task]])))</f>
        <v/>
      </c>
      <c r="G92" s="65" t="str">
        <f aca="false">IF(CriticalTasks[[#This Row],[_Task]]="","",IF(N(INDEX(tsk_FcFinish,CriticalTasks[[#This Row],[_Task]]))=0,"",INDEX(tsk_FcFinish,CriticalTasks[[#This Row],[_Task]])))</f>
        <v/>
      </c>
      <c r="H92" s="51" t="str">
        <f aca="false">IF(CriticalTasks[[#This Row],[_Task]]="","",INDEX(tsk_TotalSlack,CriticalTasks[[#This Row],[_Task]]))</f>
        <v/>
      </c>
      <c r="I92" s="30" t="str">
        <f aca="false">IF(CriticalTasks[[#This Row],[_Task]]="","",INDEX(tsk_DeadlineCheck,CriticalTasks[[#This Row],[_Task]])&amp;"")</f>
        <v/>
      </c>
      <c r="J92" s="30" t="str">
        <f aca="false">IF(CriticalTasks[[#This Row],[_Task]]="","",INDEX(tsk_Status,CriticalTasks[[#This Row],[_Task]])&amp;"")</f>
        <v/>
      </c>
    </row>
    <row r="93" customFormat="false" ht="15" hidden="false" customHeight="false" outlineLevel="0" collapsed="false">
      <c r="B93" s="38" t="str">
        <f aca="false">IFERROR(MATCH(SMALL(tsk_CriticalKey,ROW()-ROW(CriticalTasks[[#Headers],[_Task]])),tsk_CriticalKey,0),"")</f>
        <v/>
      </c>
      <c r="C93" s="30" t="str">
        <f aca="false">IF(CriticalTasks[[#This Row],[_Task]]="","",INDEX(tsk_WBS,CriticalTasks[[#This Row],[_Task]])&amp;"")</f>
        <v/>
      </c>
      <c r="D93" s="30" t="str">
        <f aca="false">IF(CriticalTasks[[#This Row],[_Task]]="","",INDEX(tsk_Name,CriticalTasks[[#This Row],[_Task]])&amp;"")</f>
        <v/>
      </c>
      <c r="E93" s="30" t="str">
        <f aca="false">IF(CriticalTasks[[#This Row],[_Task]]="","",INDEX(tsk_ResourceNames,CriticalTasks[[#This Row],[_Task]])&amp;"")</f>
        <v/>
      </c>
      <c r="F93" s="65" t="str">
        <f aca="false">IF(CriticalTasks[[#This Row],[_Task]]="","",IF(N(INDEX(tsk_FcStart,CriticalTasks[[#This Row],[_Task]]))=0,"",INDEX(tsk_FcStart,CriticalTasks[[#This Row],[_Task]])))</f>
        <v/>
      </c>
      <c r="G93" s="65" t="str">
        <f aca="false">IF(CriticalTasks[[#This Row],[_Task]]="","",IF(N(INDEX(tsk_FcFinish,CriticalTasks[[#This Row],[_Task]]))=0,"",INDEX(tsk_FcFinish,CriticalTasks[[#This Row],[_Task]])))</f>
        <v/>
      </c>
      <c r="H93" s="51" t="str">
        <f aca="false">IF(CriticalTasks[[#This Row],[_Task]]="","",INDEX(tsk_TotalSlack,CriticalTasks[[#This Row],[_Task]]))</f>
        <v/>
      </c>
      <c r="I93" s="30" t="str">
        <f aca="false">IF(CriticalTasks[[#This Row],[_Task]]="","",INDEX(tsk_DeadlineCheck,CriticalTasks[[#This Row],[_Task]])&amp;"")</f>
        <v/>
      </c>
      <c r="J93" s="30" t="str">
        <f aca="false">IF(CriticalTasks[[#This Row],[_Task]]="","",INDEX(tsk_Status,CriticalTasks[[#This Row],[_Task]])&amp;"")</f>
        <v/>
      </c>
    </row>
    <row r="94" customFormat="false" ht="15" hidden="false" customHeight="false" outlineLevel="0" collapsed="false">
      <c r="B94" s="38" t="str">
        <f aca="false">IFERROR(MATCH(SMALL(tsk_CriticalKey,ROW()-ROW(CriticalTasks[[#Headers],[_Task]])),tsk_CriticalKey,0),"")</f>
        <v/>
      </c>
      <c r="C94" s="30" t="str">
        <f aca="false">IF(CriticalTasks[[#This Row],[_Task]]="","",INDEX(tsk_WBS,CriticalTasks[[#This Row],[_Task]])&amp;"")</f>
        <v/>
      </c>
      <c r="D94" s="30" t="str">
        <f aca="false">IF(CriticalTasks[[#This Row],[_Task]]="","",INDEX(tsk_Name,CriticalTasks[[#This Row],[_Task]])&amp;"")</f>
        <v/>
      </c>
      <c r="E94" s="30" t="str">
        <f aca="false">IF(CriticalTasks[[#This Row],[_Task]]="","",INDEX(tsk_ResourceNames,CriticalTasks[[#This Row],[_Task]])&amp;"")</f>
        <v/>
      </c>
      <c r="F94" s="65" t="str">
        <f aca="false">IF(CriticalTasks[[#This Row],[_Task]]="","",IF(N(INDEX(tsk_FcStart,CriticalTasks[[#This Row],[_Task]]))=0,"",INDEX(tsk_FcStart,CriticalTasks[[#This Row],[_Task]])))</f>
        <v/>
      </c>
      <c r="G94" s="65" t="str">
        <f aca="false">IF(CriticalTasks[[#This Row],[_Task]]="","",IF(N(INDEX(tsk_FcFinish,CriticalTasks[[#This Row],[_Task]]))=0,"",INDEX(tsk_FcFinish,CriticalTasks[[#This Row],[_Task]])))</f>
        <v/>
      </c>
      <c r="H94" s="51" t="str">
        <f aca="false">IF(CriticalTasks[[#This Row],[_Task]]="","",INDEX(tsk_TotalSlack,CriticalTasks[[#This Row],[_Task]]))</f>
        <v/>
      </c>
      <c r="I94" s="30" t="str">
        <f aca="false">IF(CriticalTasks[[#This Row],[_Task]]="","",INDEX(tsk_DeadlineCheck,CriticalTasks[[#This Row],[_Task]])&amp;"")</f>
        <v/>
      </c>
      <c r="J94" s="30" t="str">
        <f aca="false">IF(CriticalTasks[[#This Row],[_Task]]="","",INDEX(tsk_Status,CriticalTasks[[#This Row],[_Task]])&amp;"")</f>
        <v/>
      </c>
    </row>
    <row r="95" customFormat="false" ht="15" hidden="false" customHeight="false" outlineLevel="0" collapsed="false">
      <c r="B95" s="38" t="str">
        <f aca="false">IFERROR(MATCH(SMALL(tsk_CriticalKey,ROW()-ROW(CriticalTasks[[#Headers],[_Task]])),tsk_CriticalKey,0),"")</f>
        <v/>
      </c>
      <c r="C95" s="30" t="str">
        <f aca="false">IF(CriticalTasks[[#This Row],[_Task]]="","",INDEX(tsk_WBS,CriticalTasks[[#This Row],[_Task]])&amp;"")</f>
        <v/>
      </c>
      <c r="D95" s="30" t="str">
        <f aca="false">IF(CriticalTasks[[#This Row],[_Task]]="","",INDEX(tsk_Name,CriticalTasks[[#This Row],[_Task]])&amp;"")</f>
        <v/>
      </c>
      <c r="E95" s="30" t="str">
        <f aca="false">IF(CriticalTasks[[#This Row],[_Task]]="","",INDEX(tsk_ResourceNames,CriticalTasks[[#This Row],[_Task]])&amp;"")</f>
        <v/>
      </c>
      <c r="F95" s="65" t="str">
        <f aca="false">IF(CriticalTasks[[#This Row],[_Task]]="","",IF(N(INDEX(tsk_FcStart,CriticalTasks[[#This Row],[_Task]]))=0,"",INDEX(tsk_FcStart,CriticalTasks[[#This Row],[_Task]])))</f>
        <v/>
      </c>
      <c r="G95" s="65" t="str">
        <f aca="false">IF(CriticalTasks[[#This Row],[_Task]]="","",IF(N(INDEX(tsk_FcFinish,CriticalTasks[[#This Row],[_Task]]))=0,"",INDEX(tsk_FcFinish,CriticalTasks[[#This Row],[_Task]])))</f>
        <v/>
      </c>
      <c r="H95" s="51" t="str">
        <f aca="false">IF(CriticalTasks[[#This Row],[_Task]]="","",INDEX(tsk_TotalSlack,CriticalTasks[[#This Row],[_Task]]))</f>
        <v/>
      </c>
      <c r="I95" s="30" t="str">
        <f aca="false">IF(CriticalTasks[[#This Row],[_Task]]="","",INDEX(tsk_DeadlineCheck,CriticalTasks[[#This Row],[_Task]])&amp;"")</f>
        <v/>
      </c>
      <c r="J95" s="30" t="str">
        <f aca="false">IF(CriticalTasks[[#This Row],[_Task]]="","",INDEX(tsk_Status,CriticalTasks[[#This Row],[_Task]])&amp;"")</f>
        <v/>
      </c>
    </row>
    <row r="96" customFormat="false" ht="15" hidden="false" customHeight="false" outlineLevel="0" collapsed="false">
      <c r="B96" s="38" t="str">
        <f aca="false">IFERROR(MATCH(SMALL(tsk_CriticalKey,ROW()-ROW(CriticalTasks[[#Headers],[_Task]])),tsk_CriticalKey,0),"")</f>
        <v/>
      </c>
      <c r="C96" s="30" t="str">
        <f aca="false">IF(CriticalTasks[[#This Row],[_Task]]="","",INDEX(tsk_WBS,CriticalTasks[[#This Row],[_Task]])&amp;"")</f>
        <v/>
      </c>
      <c r="D96" s="30" t="str">
        <f aca="false">IF(CriticalTasks[[#This Row],[_Task]]="","",INDEX(tsk_Name,CriticalTasks[[#This Row],[_Task]])&amp;"")</f>
        <v/>
      </c>
      <c r="E96" s="30" t="str">
        <f aca="false">IF(CriticalTasks[[#This Row],[_Task]]="","",INDEX(tsk_ResourceNames,CriticalTasks[[#This Row],[_Task]])&amp;"")</f>
        <v/>
      </c>
      <c r="F96" s="65" t="str">
        <f aca="false">IF(CriticalTasks[[#This Row],[_Task]]="","",IF(N(INDEX(tsk_FcStart,CriticalTasks[[#This Row],[_Task]]))=0,"",INDEX(tsk_FcStart,CriticalTasks[[#This Row],[_Task]])))</f>
        <v/>
      </c>
      <c r="G96" s="65" t="str">
        <f aca="false">IF(CriticalTasks[[#This Row],[_Task]]="","",IF(N(INDEX(tsk_FcFinish,CriticalTasks[[#This Row],[_Task]]))=0,"",INDEX(tsk_FcFinish,CriticalTasks[[#This Row],[_Task]])))</f>
        <v/>
      </c>
      <c r="H96" s="51" t="str">
        <f aca="false">IF(CriticalTasks[[#This Row],[_Task]]="","",INDEX(tsk_TotalSlack,CriticalTasks[[#This Row],[_Task]]))</f>
        <v/>
      </c>
      <c r="I96" s="30" t="str">
        <f aca="false">IF(CriticalTasks[[#This Row],[_Task]]="","",INDEX(tsk_DeadlineCheck,CriticalTasks[[#This Row],[_Task]])&amp;"")</f>
        <v/>
      </c>
      <c r="J96" s="30" t="str">
        <f aca="false">IF(CriticalTasks[[#This Row],[_Task]]="","",INDEX(tsk_Status,CriticalTasks[[#This Row],[_Task]])&amp;"")</f>
        <v/>
      </c>
    </row>
    <row r="97" customFormat="false" ht="15" hidden="false" customHeight="false" outlineLevel="0" collapsed="false">
      <c r="B97" s="38" t="str">
        <f aca="false">IFERROR(MATCH(SMALL(tsk_CriticalKey,ROW()-ROW(CriticalTasks[[#Headers],[_Task]])),tsk_CriticalKey,0),"")</f>
        <v/>
      </c>
      <c r="C97" s="30" t="str">
        <f aca="false">IF(CriticalTasks[[#This Row],[_Task]]="","",INDEX(tsk_WBS,CriticalTasks[[#This Row],[_Task]])&amp;"")</f>
        <v/>
      </c>
      <c r="D97" s="30" t="str">
        <f aca="false">IF(CriticalTasks[[#This Row],[_Task]]="","",INDEX(tsk_Name,CriticalTasks[[#This Row],[_Task]])&amp;"")</f>
        <v/>
      </c>
      <c r="E97" s="30" t="str">
        <f aca="false">IF(CriticalTasks[[#This Row],[_Task]]="","",INDEX(tsk_ResourceNames,CriticalTasks[[#This Row],[_Task]])&amp;"")</f>
        <v/>
      </c>
      <c r="F97" s="65" t="str">
        <f aca="false">IF(CriticalTasks[[#This Row],[_Task]]="","",IF(N(INDEX(tsk_FcStart,CriticalTasks[[#This Row],[_Task]]))=0,"",INDEX(tsk_FcStart,CriticalTasks[[#This Row],[_Task]])))</f>
        <v/>
      </c>
      <c r="G97" s="65" t="str">
        <f aca="false">IF(CriticalTasks[[#This Row],[_Task]]="","",IF(N(INDEX(tsk_FcFinish,CriticalTasks[[#This Row],[_Task]]))=0,"",INDEX(tsk_FcFinish,CriticalTasks[[#This Row],[_Task]])))</f>
        <v/>
      </c>
      <c r="H97" s="51" t="str">
        <f aca="false">IF(CriticalTasks[[#This Row],[_Task]]="","",INDEX(tsk_TotalSlack,CriticalTasks[[#This Row],[_Task]]))</f>
        <v/>
      </c>
      <c r="I97" s="30" t="str">
        <f aca="false">IF(CriticalTasks[[#This Row],[_Task]]="","",INDEX(tsk_DeadlineCheck,CriticalTasks[[#This Row],[_Task]])&amp;"")</f>
        <v/>
      </c>
      <c r="J97" s="30" t="str">
        <f aca="false">IF(CriticalTasks[[#This Row],[_Task]]="","",INDEX(tsk_Status,CriticalTasks[[#This Row],[_Task]])&amp;"")</f>
        <v/>
      </c>
    </row>
    <row r="98" customFormat="false" ht="15" hidden="false" customHeight="false" outlineLevel="0" collapsed="false">
      <c r="B98" s="38" t="str">
        <f aca="false">IFERROR(MATCH(SMALL(tsk_CriticalKey,ROW()-ROW(CriticalTasks[[#Headers],[_Task]])),tsk_CriticalKey,0),"")</f>
        <v/>
      </c>
      <c r="C98" s="30" t="str">
        <f aca="false">IF(CriticalTasks[[#This Row],[_Task]]="","",INDEX(tsk_WBS,CriticalTasks[[#This Row],[_Task]])&amp;"")</f>
        <v/>
      </c>
      <c r="D98" s="30" t="str">
        <f aca="false">IF(CriticalTasks[[#This Row],[_Task]]="","",INDEX(tsk_Name,CriticalTasks[[#This Row],[_Task]])&amp;"")</f>
        <v/>
      </c>
      <c r="E98" s="30" t="str">
        <f aca="false">IF(CriticalTasks[[#This Row],[_Task]]="","",INDEX(tsk_ResourceNames,CriticalTasks[[#This Row],[_Task]])&amp;"")</f>
        <v/>
      </c>
      <c r="F98" s="65" t="str">
        <f aca="false">IF(CriticalTasks[[#This Row],[_Task]]="","",IF(N(INDEX(tsk_FcStart,CriticalTasks[[#This Row],[_Task]]))=0,"",INDEX(tsk_FcStart,CriticalTasks[[#This Row],[_Task]])))</f>
        <v/>
      </c>
      <c r="G98" s="65" t="str">
        <f aca="false">IF(CriticalTasks[[#This Row],[_Task]]="","",IF(N(INDEX(tsk_FcFinish,CriticalTasks[[#This Row],[_Task]]))=0,"",INDEX(tsk_FcFinish,CriticalTasks[[#This Row],[_Task]])))</f>
        <v/>
      </c>
      <c r="H98" s="51" t="str">
        <f aca="false">IF(CriticalTasks[[#This Row],[_Task]]="","",INDEX(tsk_TotalSlack,CriticalTasks[[#This Row],[_Task]]))</f>
        <v/>
      </c>
      <c r="I98" s="30" t="str">
        <f aca="false">IF(CriticalTasks[[#This Row],[_Task]]="","",INDEX(tsk_DeadlineCheck,CriticalTasks[[#This Row],[_Task]])&amp;"")</f>
        <v/>
      </c>
      <c r="J98" s="30" t="str">
        <f aca="false">IF(CriticalTasks[[#This Row],[_Task]]="","",INDEX(tsk_Status,CriticalTasks[[#This Row],[_Task]])&amp;"")</f>
        <v/>
      </c>
    </row>
    <row r="99" customFormat="false" ht="15" hidden="false" customHeight="false" outlineLevel="0" collapsed="false">
      <c r="B99" s="38" t="str">
        <f aca="false">IFERROR(MATCH(SMALL(tsk_CriticalKey,ROW()-ROW(CriticalTasks[[#Headers],[_Task]])),tsk_CriticalKey,0),"")</f>
        <v/>
      </c>
      <c r="C99" s="30" t="str">
        <f aca="false">IF(CriticalTasks[[#This Row],[_Task]]="","",INDEX(tsk_WBS,CriticalTasks[[#This Row],[_Task]])&amp;"")</f>
        <v/>
      </c>
      <c r="D99" s="30" t="str">
        <f aca="false">IF(CriticalTasks[[#This Row],[_Task]]="","",INDEX(tsk_Name,CriticalTasks[[#This Row],[_Task]])&amp;"")</f>
        <v/>
      </c>
      <c r="E99" s="30" t="str">
        <f aca="false">IF(CriticalTasks[[#This Row],[_Task]]="","",INDEX(tsk_ResourceNames,CriticalTasks[[#This Row],[_Task]])&amp;"")</f>
        <v/>
      </c>
      <c r="F99" s="65" t="str">
        <f aca="false">IF(CriticalTasks[[#This Row],[_Task]]="","",IF(N(INDEX(tsk_FcStart,CriticalTasks[[#This Row],[_Task]]))=0,"",INDEX(tsk_FcStart,CriticalTasks[[#This Row],[_Task]])))</f>
        <v/>
      </c>
      <c r="G99" s="65" t="str">
        <f aca="false">IF(CriticalTasks[[#This Row],[_Task]]="","",IF(N(INDEX(tsk_FcFinish,CriticalTasks[[#This Row],[_Task]]))=0,"",INDEX(tsk_FcFinish,CriticalTasks[[#This Row],[_Task]])))</f>
        <v/>
      </c>
      <c r="H99" s="51" t="str">
        <f aca="false">IF(CriticalTasks[[#This Row],[_Task]]="","",INDEX(tsk_TotalSlack,CriticalTasks[[#This Row],[_Task]]))</f>
        <v/>
      </c>
      <c r="I99" s="30" t="str">
        <f aca="false">IF(CriticalTasks[[#This Row],[_Task]]="","",INDEX(tsk_DeadlineCheck,CriticalTasks[[#This Row],[_Task]])&amp;"")</f>
        <v/>
      </c>
      <c r="J99" s="30" t="str">
        <f aca="false">IF(CriticalTasks[[#This Row],[_Task]]="","",INDEX(tsk_Status,CriticalTasks[[#This Row],[_Task]])&amp;"")</f>
        <v/>
      </c>
    </row>
    <row r="100" customFormat="false" ht="15" hidden="false" customHeight="false" outlineLevel="0" collapsed="false">
      <c r="B100" s="38" t="str">
        <f aca="false">IFERROR(MATCH(SMALL(tsk_CriticalKey,ROW()-ROW(CriticalTasks[[#Headers],[_Task]])),tsk_CriticalKey,0),"")</f>
        <v/>
      </c>
      <c r="C100" s="30" t="str">
        <f aca="false">IF(CriticalTasks[[#This Row],[_Task]]="","",INDEX(tsk_WBS,CriticalTasks[[#This Row],[_Task]])&amp;"")</f>
        <v/>
      </c>
      <c r="D100" s="30" t="str">
        <f aca="false">IF(CriticalTasks[[#This Row],[_Task]]="","",INDEX(tsk_Name,CriticalTasks[[#This Row],[_Task]])&amp;"")</f>
        <v/>
      </c>
      <c r="E100" s="30" t="str">
        <f aca="false">IF(CriticalTasks[[#This Row],[_Task]]="","",INDEX(tsk_ResourceNames,CriticalTasks[[#This Row],[_Task]])&amp;"")</f>
        <v/>
      </c>
      <c r="F100" s="65" t="str">
        <f aca="false">IF(CriticalTasks[[#This Row],[_Task]]="","",IF(N(INDEX(tsk_FcStart,CriticalTasks[[#This Row],[_Task]]))=0,"",INDEX(tsk_FcStart,CriticalTasks[[#This Row],[_Task]])))</f>
        <v/>
      </c>
      <c r="G100" s="65" t="str">
        <f aca="false">IF(CriticalTasks[[#This Row],[_Task]]="","",IF(N(INDEX(tsk_FcFinish,CriticalTasks[[#This Row],[_Task]]))=0,"",INDEX(tsk_FcFinish,CriticalTasks[[#This Row],[_Task]])))</f>
        <v/>
      </c>
      <c r="H100" s="51" t="str">
        <f aca="false">IF(CriticalTasks[[#This Row],[_Task]]="","",INDEX(tsk_TotalSlack,CriticalTasks[[#This Row],[_Task]]))</f>
        <v/>
      </c>
      <c r="I100" s="30" t="str">
        <f aca="false">IF(CriticalTasks[[#This Row],[_Task]]="","",INDEX(tsk_DeadlineCheck,CriticalTasks[[#This Row],[_Task]])&amp;"")</f>
        <v/>
      </c>
      <c r="J100" s="30" t="str">
        <f aca="false">IF(CriticalTasks[[#This Row],[_Task]]="","",INDEX(tsk_Status,CriticalTasks[[#This Row],[_Task]])&amp;"")</f>
        <v/>
      </c>
    </row>
    <row r="101" customFormat="false" ht="15" hidden="false" customHeight="false" outlineLevel="0" collapsed="false">
      <c r="B101" s="38" t="str">
        <f aca="false">IFERROR(MATCH(SMALL(tsk_CriticalKey,ROW()-ROW(CriticalTasks[[#Headers],[_Task]])),tsk_CriticalKey,0),"")</f>
        <v/>
      </c>
      <c r="C101" s="30" t="str">
        <f aca="false">IF(CriticalTasks[[#This Row],[_Task]]="","",INDEX(tsk_WBS,CriticalTasks[[#This Row],[_Task]])&amp;"")</f>
        <v/>
      </c>
      <c r="D101" s="30" t="str">
        <f aca="false">IF(CriticalTasks[[#This Row],[_Task]]="","",INDEX(tsk_Name,CriticalTasks[[#This Row],[_Task]])&amp;"")</f>
        <v/>
      </c>
      <c r="E101" s="30" t="str">
        <f aca="false">IF(CriticalTasks[[#This Row],[_Task]]="","",INDEX(tsk_ResourceNames,CriticalTasks[[#This Row],[_Task]])&amp;"")</f>
        <v/>
      </c>
      <c r="F101" s="65" t="str">
        <f aca="false">IF(CriticalTasks[[#This Row],[_Task]]="","",IF(N(INDEX(tsk_FcStart,CriticalTasks[[#This Row],[_Task]]))=0,"",INDEX(tsk_FcStart,CriticalTasks[[#This Row],[_Task]])))</f>
        <v/>
      </c>
      <c r="G101" s="65" t="str">
        <f aca="false">IF(CriticalTasks[[#This Row],[_Task]]="","",IF(N(INDEX(tsk_FcFinish,CriticalTasks[[#This Row],[_Task]]))=0,"",INDEX(tsk_FcFinish,CriticalTasks[[#This Row],[_Task]])))</f>
        <v/>
      </c>
      <c r="H101" s="51" t="str">
        <f aca="false">IF(CriticalTasks[[#This Row],[_Task]]="","",INDEX(tsk_TotalSlack,CriticalTasks[[#This Row],[_Task]]))</f>
        <v/>
      </c>
      <c r="I101" s="30" t="str">
        <f aca="false">IF(CriticalTasks[[#This Row],[_Task]]="","",INDEX(tsk_DeadlineCheck,CriticalTasks[[#This Row],[_Task]])&amp;"")</f>
        <v/>
      </c>
      <c r="J101" s="30" t="str">
        <f aca="false">IF(CriticalTasks[[#This Row],[_Task]]="","",INDEX(tsk_Status,CriticalTasks[[#This Row],[_Task]])&amp;"")</f>
        <v/>
      </c>
    </row>
    <row r="102" customFormat="false" ht="15" hidden="false" customHeight="false" outlineLevel="0" collapsed="false">
      <c r="B102" s="38" t="str">
        <f aca="false">IFERROR(MATCH(SMALL(tsk_CriticalKey,ROW()-ROW(CriticalTasks[[#Headers],[_Task]])),tsk_CriticalKey,0),"")</f>
        <v/>
      </c>
      <c r="C102" s="30" t="str">
        <f aca="false">IF(CriticalTasks[[#This Row],[_Task]]="","",INDEX(tsk_WBS,CriticalTasks[[#This Row],[_Task]])&amp;"")</f>
        <v/>
      </c>
      <c r="D102" s="30" t="str">
        <f aca="false">IF(CriticalTasks[[#This Row],[_Task]]="","",INDEX(tsk_Name,CriticalTasks[[#This Row],[_Task]])&amp;"")</f>
        <v/>
      </c>
      <c r="E102" s="30" t="str">
        <f aca="false">IF(CriticalTasks[[#This Row],[_Task]]="","",INDEX(tsk_ResourceNames,CriticalTasks[[#This Row],[_Task]])&amp;"")</f>
        <v/>
      </c>
      <c r="F102" s="65" t="str">
        <f aca="false">IF(CriticalTasks[[#This Row],[_Task]]="","",IF(N(INDEX(tsk_FcStart,CriticalTasks[[#This Row],[_Task]]))=0,"",INDEX(tsk_FcStart,CriticalTasks[[#This Row],[_Task]])))</f>
        <v/>
      </c>
      <c r="G102" s="65" t="str">
        <f aca="false">IF(CriticalTasks[[#This Row],[_Task]]="","",IF(N(INDEX(tsk_FcFinish,CriticalTasks[[#This Row],[_Task]]))=0,"",INDEX(tsk_FcFinish,CriticalTasks[[#This Row],[_Task]])))</f>
        <v/>
      </c>
      <c r="H102" s="51" t="str">
        <f aca="false">IF(CriticalTasks[[#This Row],[_Task]]="","",INDEX(tsk_TotalSlack,CriticalTasks[[#This Row],[_Task]]))</f>
        <v/>
      </c>
      <c r="I102" s="30" t="str">
        <f aca="false">IF(CriticalTasks[[#This Row],[_Task]]="","",INDEX(tsk_DeadlineCheck,CriticalTasks[[#This Row],[_Task]])&amp;"")</f>
        <v/>
      </c>
      <c r="J102" s="30" t="str">
        <f aca="false">IF(CriticalTasks[[#This Row],[_Task]]="","",INDEX(tsk_Status,CriticalTasks[[#This Row],[_Task]])&amp;"")</f>
        <v/>
      </c>
    </row>
    <row r="103" customFormat="false" ht="15" hidden="false" customHeight="false" outlineLevel="0" collapsed="false">
      <c r="B103" s="38" t="str">
        <f aca="false">IFERROR(MATCH(SMALL(tsk_CriticalKey,ROW()-ROW(CriticalTasks[[#Headers],[_Task]])),tsk_CriticalKey,0),"")</f>
        <v/>
      </c>
      <c r="C103" s="30" t="str">
        <f aca="false">IF(CriticalTasks[[#This Row],[_Task]]="","",INDEX(tsk_WBS,CriticalTasks[[#This Row],[_Task]])&amp;"")</f>
        <v/>
      </c>
      <c r="D103" s="30" t="str">
        <f aca="false">IF(CriticalTasks[[#This Row],[_Task]]="","",INDEX(tsk_Name,CriticalTasks[[#This Row],[_Task]])&amp;"")</f>
        <v/>
      </c>
      <c r="E103" s="30" t="str">
        <f aca="false">IF(CriticalTasks[[#This Row],[_Task]]="","",INDEX(tsk_ResourceNames,CriticalTasks[[#This Row],[_Task]])&amp;"")</f>
        <v/>
      </c>
      <c r="F103" s="65" t="str">
        <f aca="false">IF(CriticalTasks[[#This Row],[_Task]]="","",IF(N(INDEX(tsk_FcStart,CriticalTasks[[#This Row],[_Task]]))=0,"",INDEX(tsk_FcStart,CriticalTasks[[#This Row],[_Task]])))</f>
        <v/>
      </c>
      <c r="G103" s="65" t="str">
        <f aca="false">IF(CriticalTasks[[#This Row],[_Task]]="","",IF(N(INDEX(tsk_FcFinish,CriticalTasks[[#This Row],[_Task]]))=0,"",INDEX(tsk_FcFinish,CriticalTasks[[#This Row],[_Task]])))</f>
        <v/>
      </c>
      <c r="H103" s="51" t="str">
        <f aca="false">IF(CriticalTasks[[#This Row],[_Task]]="","",INDEX(tsk_TotalSlack,CriticalTasks[[#This Row],[_Task]]))</f>
        <v/>
      </c>
      <c r="I103" s="30" t="str">
        <f aca="false">IF(CriticalTasks[[#This Row],[_Task]]="","",INDEX(tsk_DeadlineCheck,CriticalTasks[[#This Row],[_Task]])&amp;"")</f>
        <v/>
      </c>
      <c r="J103" s="30" t="str">
        <f aca="false">IF(CriticalTasks[[#This Row],[_Task]]="","",INDEX(tsk_Status,CriticalTasks[[#This Row],[_Task]])&amp;"")</f>
        <v/>
      </c>
    </row>
    <row r="104" customFormat="false" ht="15" hidden="false" customHeight="false" outlineLevel="0" collapsed="false">
      <c r="B104" s="38" t="str">
        <f aca="false">IFERROR(MATCH(SMALL(tsk_CriticalKey,ROW()-ROW(CriticalTasks[[#Headers],[_Task]])),tsk_CriticalKey,0),"")</f>
        <v/>
      </c>
      <c r="C104" s="30" t="str">
        <f aca="false">IF(CriticalTasks[[#This Row],[_Task]]="","",INDEX(tsk_WBS,CriticalTasks[[#This Row],[_Task]])&amp;"")</f>
        <v/>
      </c>
      <c r="D104" s="30" t="str">
        <f aca="false">IF(CriticalTasks[[#This Row],[_Task]]="","",INDEX(tsk_Name,CriticalTasks[[#This Row],[_Task]])&amp;"")</f>
        <v/>
      </c>
      <c r="E104" s="30" t="str">
        <f aca="false">IF(CriticalTasks[[#This Row],[_Task]]="","",INDEX(tsk_ResourceNames,CriticalTasks[[#This Row],[_Task]])&amp;"")</f>
        <v/>
      </c>
      <c r="F104" s="65" t="str">
        <f aca="false">IF(CriticalTasks[[#This Row],[_Task]]="","",IF(N(INDEX(tsk_FcStart,CriticalTasks[[#This Row],[_Task]]))=0,"",INDEX(tsk_FcStart,CriticalTasks[[#This Row],[_Task]])))</f>
        <v/>
      </c>
      <c r="G104" s="65" t="str">
        <f aca="false">IF(CriticalTasks[[#This Row],[_Task]]="","",IF(N(INDEX(tsk_FcFinish,CriticalTasks[[#This Row],[_Task]]))=0,"",INDEX(tsk_FcFinish,CriticalTasks[[#This Row],[_Task]])))</f>
        <v/>
      </c>
      <c r="H104" s="51" t="str">
        <f aca="false">IF(CriticalTasks[[#This Row],[_Task]]="","",INDEX(tsk_TotalSlack,CriticalTasks[[#This Row],[_Task]]))</f>
        <v/>
      </c>
      <c r="I104" s="30" t="str">
        <f aca="false">IF(CriticalTasks[[#This Row],[_Task]]="","",INDEX(tsk_DeadlineCheck,CriticalTasks[[#This Row],[_Task]])&amp;"")</f>
        <v/>
      </c>
      <c r="J104" s="30" t="str">
        <f aca="false">IF(CriticalTasks[[#This Row],[_Task]]="","",INDEX(tsk_Status,CriticalTasks[[#This Row],[_Task]])&amp;"")</f>
        <v/>
      </c>
    </row>
    <row r="105" customFormat="false" ht="15" hidden="false" customHeight="false" outlineLevel="0" collapsed="false">
      <c r="B105" s="38" t="str">
        <f aca="false">IFERROR(MATCH(SMALL(tsk_CriticalKey,ROW()-ROW(CriticalTasks[[#Headers],[_Task]])),tsk_CriticalKey,0),"")</f>
        <v/>
      </c>
      <c r="C105" s="30" t="str">
        <f aca="false">IF(CriticalTasks[[#This Row],[_Task]]="","",INDEX(tsk_WBS,CriticalTasks[[#This Row],[_Task]])&amp;"")</f>
        <v/>
      </c>
      <c r="D105" s="30" t="str">
        <f aca="false">IF(CriticalTasks[[#This Row],[_Task]]="","",INDEX(tsk_Name,CriticalTasks[[#This Row],[_Task]])&amp;"")</f>
        <v/>
      </c>
      <c r="E105" s="30" t="str">
        <f aca="false">IF(CriticalTasks[[#This Row],[_Task]]="","",INDEX(tsk_ResourceNames,CriticalTasks[[#This Row],[_Task]])&amp;"")</f>
        <v/>
      </c>
      <c r="F105" s="65" t="str">
        <f aca="false">IF(CriticalTasks[[#This Row],[_Task]]="","",IF(N(INDEX(tsk_FcStart,CriticalTasks[[#This Row],[_Task]]))=0,"",INDEX(tsk_FcStart,CriticalTasks[[#This Row],[_Task]])))</f>
        <v/>
      </c>
      <c r="G105" s="65" t="str">
        <f aca="false">IF(CriticalTasks[[#This Row],[_Task]]="","",IF(N(INDEX(tsk_FcFinish,CriticalTasks[[#This Row],[_Task]]))=0,"",INDEX(tsk_FcFinish,CriticalTasks[[#This Row],[_Task]])))</f>
        <v/>
      </c>
      <c r="H105" s="51" t="str">
        <f aca="false">IF(CriticalTasks[[#This Row],[_Task]]="","",INDEX(tsk_TotalSlack,CriticalTasks[[#This Row],[_Task]]))</f>
        <v/>
      </c>
      <c r="I105" s="30" t="str">
        <f aca="false">IF(CriticalTasks[[#This Row],[_Task]]="","",INDEX(tsk_DeadlineCheck,CriticalTasks[[#This Row],[_Task]])&amp;"")</f>
        <v/>
      </c>
      <c r="J105" s="30" t="str">
        <f aca="false">IF(CriticalTasks[[#This Row],[_Task]]="","",INDEX(tsk_Status,CriticalTasks[[#This Row],[_Task]])&amp;"")</f>
        <v/>
      </c>
    </row>
    <row r="106" customFormat="false" ht="15" hidden="false" customHeight="false" outlineLevel="0" collapsed="false">
      <c r="B106" s="38" t="str">
        <f aca="false">IFERROR(MATCH(SMALL(tsk_CriticalKey,ROW()-ROW(CriticalTasks[[#Headers],[_Task]])),tsk_CriticalKey,0),"")</f>
        <v/>
      </c>
      <c r="C106" s="30" t="str">
        <f aca="false">IF(CriticalTasks[[#This Row],[_Task]]="","",INDEX(tsk_WBS,CriticalTasks[[#This Row],[_Task]])&amp;"")</f>
        <v/>
      </c>
      <c r="D106" s="30" t="str">
        <f aca="false">IF(CriticalTasks[[#This Row],[_Task]]="","",INDEX(tsk_Name,CriticalTasks[[#This Row],[_Task]])&amp;"")</f>
        <v/>
      </c>
      <c r="E106" s="30" t="str">
        <f aca="false">IF(CriticalTasks[[#This Row],[_Task]]="","",INDEX(tsk_ResourceNames,CriticalTasks[[#This Row],[_Task]])&amp;"")</f>
        <v/>
      </c>
      <c r="F106" s="65" t="str">
        <f aca="false">IF(CriticalTasks[[#This Row],[_Task]]="","",IF(N(INDEX(tsk_FcStart,CriticalTasks[[#This Row],[_Task]]))=0,"",INDEX(tsk_FcStart,CriticalTasks[[#This Row],[_Task]])))</f>
        <v/>
      </c>
      <c r="G106" s="65" t="str">
        <f aca="false">IF(CriticalTasks[[#This Row],[_Task]]="","",IF(N(INDEX(tsk_FcFinish,CriticalTasks[[#This Row],[_Task]]))=0,"",INDEX(tsk_FcFinish,CriticalTasks[[#This Row],[_Task]])))</f>
        <v/>
      </c>
      <c r="H106" s="51" t="str">
        <f aca="false">IF(CriticalTasks[[#This Row],[_Task]]="","",INDEX(tsk_TotalSlack,CriticalTasks[[#This Row],[_Task]]))</f>
        <v/>
      </c>
      <c r="I106" s="30" t="str">
        <f aca="false">IF(CriticalTasks[[#This Row],[_Task]]="","",INDEX(tsk_DeadlineCheck,CriticalTasks[[#This Row],[_Task]])&amp;"")</f>
        <v/>
      </c>
      <c r="J106" s="30" t="str">
        <f aca="false">IF(CriticalTasks[[#This Row],[_Task]]="","",INDEX(tsk_Status,CriticalTasks[[#This Row],[_Task]])&amp;"")</f>
        <v/>
      </c>
    </row>
    <row r="107" customFormat="false" ht="15" hidden="false" customHeight="false" outlineLevel="0" collapsed="false">
      <c r="B107" s="38" t="str">
        <f aca="false">IFERROR(MATCH(SMALL(tsk_CriticalKey,ROW()-ROW(CriticalTasks[[#Headers],[_Task]])),tsk_CriticalKey,0),"")</f>
        <v/>
      </c>
      <c r="C107" s="30" t="str">
        <f aca="false">IF(CriticalTasks[[#This Row],[_Task]]="","",INDEX(tsk_WBS,CriticalTasks[[#This Row],[_Task]])&amp;"")</f>
        <v/>
      </c>
      <c r="D107" s="30" t="str">
        <f aca="false">IF(CriticalTasks[[#This Row],[_Task]]="","",INDEX(tsk_Name,CriticalTasks[[#This Row],[_Task]])&amp;"")</f>
        <v/>
      </c>
      <c r="E107" s="30" t="str">
        <f aca="false">IF(CriticalTasks[[#This Row],[_Task]]="","",INDEX(tsk_ResourceNames,CriticalTasks[[#This Row],[_Task]])&amp;"")</f>
        <v/>
      </c>
      <c r="F107" s="65" t="str">
        <f aca="false">IF(CriticalTasks[[#This Row],[_Task]]="","",IF(N(INDEX(tsk_FcStart,CriticalTasks[[#This Row],[_Task]]))=0,"",INDEX(tsk_FcStart,CriticalTasks[[#This Row],[_Task]])))</f>
        <v/>
      </c>
      <c r="G107" s="65" t="str">
        <f aca="false">IF(CriticalTasks[[#This Row],[_Task]]="","",IF(N(INDEX(tsk_FcFinish,CriticalTasks[[#This Row],[_Task]]))=0,"",INDEX(tsk_FcFinish,CriticalTasks[[#This Row],[_Task]])))</f>
        <v/>
      </c>
      <c r="H107" s="51" t="str">
        <f aca="false">IF(CriticalTasks[[#This Row],[_Task]]="","",INDEX(tsk_TotalSlack,CriticalTasks[[#This Row],[_Task]]))</f>
        <v/>
      </c>
      <c r="I107" s="30" t="str">
        <f aca="false">IF(CriticalTasks[[#This Row],[_Task]]="","",INDEX(tsk_DeadlineCheck,CriticalTasks[[#This Row],[_Task]])&amp;"")</f>
        <v/>
      </c>
      <c r="J107" s="30" t="str">
        <f aca="false">IF(CriticalTasks[[#This Row],[_Task]]="","",INDEX(tsk_Status,CriticalTasks[[#This Row],[_Task]])&amp;"")</f>
        <v/>
      </c>
    </row>
    <row r="108" customFormat="false" ht="15" hidden="false" customHeight="false" outlineLevel="0" collapsed="false">
      <c r="B108" s="38" t="str">
        <f aca="false">IFERROR(MATCH(SMALL(tsk_CriticalKey,ROW()-ROW(CriticalTasks[[#Headers],[_Task]])),tsk_CriticalKey,0),"")</f>
        <v/>
      </c>
      <c r="C108" s="30" t="str">
        <f aca="false">IF(CriticalTasks[[#This Row],[_Task]]="","",INDEX(tsk_WBS,CriticalTasks[[#This Row],[_Task]])&amp;"")</f>
        <v/>
      </c>
      <c r="D108" s="30" t="str">
        <f aca="false">IF(CriticalTasks[[#This Row],[_Task]]="","",INDEX(tsk_Name,CriticalTasks[[#This Row],[_Task]])&amp;"")</f>
        <v/>
      </c>
      <c r="E108" s="30" t="str">
        <f aca="false">IF(CriticalTasks[[#This Row],[_Task]]="","",INDEX(tsk_ResourceNames,CriticalTasks[[#This Row],[_Task]])&amp;"")</f>
        <v/>
      </c>
      <c r="F108" s="65" t="str">
        <f aca="false">IF(CriticalTasks[[#This Row],[_Task]]="","",IF(N(INDEX(tsk_FcStart,CriticalTasks[[#This Row],[_Task]]))=0,"",INDEX(tsk_FcStart,CriticalTasks[[#This Row],[_Task]])))</f>
        <v/>
      </c>
      <c r="G108" s="65" t="str">
        <f aca="false">IF(CriticalTasks[[#This Row],[_Task]]="","",IF(N(INDEX(tsk_FcFinish,CriticalTasks[[#This Row],[_Task]]))=0,"",INDEX(tsk_FcFinish,CriticalTasks[[#This Row],[_Task]])))</f>
        <v/>
      </c>
      <c r="H108" s="51" t="str">
        <f aca="false">IF(CriticalTasks[[#This Row],[_Task]]="","",INDEX(tsk_TotalSlack,CriticalTasks[[#This Row],[_Task]]))</f>
        <v/>
      </c>
      <c r="I108" s="30" t="str">
        <f aca="false">IF(CriticalTasks[[#This Row],[_Task]]="","",INDEX(tsk_DeadlineCheck,CriticalTasks[[#This Row],[_Task]])&amp;"")</f>
        <v/>
      </c>
      <c r="J108" s="30" t="str">
        <f aca="false">IF(CriticalTasks[[#This Row],[_Task]]="","",INDEX(tsk_Status,CriticalTasks[[#This Row],[_Task]])&amp;"")</f>
        <v/>
      </c>
    </row>
    <row r="109" customFormat="false" ht="15" hidden="false" customHeight="false" outlineLevel="0" collapsed="false">
      <c r="B109" s="38" t="str">
        <f aca="false">IFERROR(MATCH(SMALL(tsk_CriticalKey,ROW()-ROW(CriticalTasks[[#Headers],[_Task]])),tsk_CriticalKey,0),"")</f>
        <v/>
      </c>
      <c r="C109" s="30" t="str">
        <f aca="false">IF(CriticalTasks[[#This Row],[_Task]]="","",INDEX(tsk_WBS,CriticalTasks[[#This Row],[_Task]])&amp;"")</f>
        <v/>
      </c>
      <c r="D109" s="30" t="str">
        <f aca="false">IF(CriticalTasks[[#This Row],[_Task]]="","",INDEX(tsk_Name,CriticalTasks[[#This Row],[_Task]])&amp;"")</f>
        <v/>
      </c>
      <c r="E109" s="30" t="str">
        <f aca="false">IF(CriticalTasks[[#This Row],[_Task]]="","",INDEX(tsk_ResourceNames,CriticalTasks[[#This Row],[_Task]])&amp;"")</f>
        <v/>
      </c>
      <c r="F109" s="65" t="str">
        <f aca="false">IF(CriticalTasks[[#This Row],[_Task]]="","",IF(N(INDEX(tsk_FcStart,CriticalTasks[[#This Row],[_Task]]))=0,"",INDEX(tsk_FcStart,CriticalTasks[[#This Row],[_Task]])))</f>
        <v/>
      </c>
      <c r="G109" s="65" t="str">
        <f aca="false">IF(CriticalTasks[[#This Row],[_Task]]="","",IF(N(INDEX(tsk_FcFinish,CriticalTasks[[#This Row],[_Task]]))=0,"",INDEX(tsk_FcFinish,CriticalTasks[[#This Row],[_Task]])))</f>
        <v/>
      </c>
      <c r="H109" s="51" t="str">
        <f aca="false">IF(CriticalTasks[[#This Row],[_Task]]="","",INDEX(tsk_TotalSlack,CriticalTasks[[#This Row],[_Task]]))</f>
        <v/>
      </c>
      <c r="I109" s="30" t="str">
        <f aca="false">IF(CriticalTasks[[#This Row],[_Task]]="","",INDEX(tsk_DeadlineCheck,CriticalTasks[[#This Row],[_Task]])&amp;"")</f>
        <v/>
      </c>
      <c r="J109" s="30" t="str">
        <f aca="false">IF(CriticalTasks[[#This Row],[_Task]]="","",INDEX(tsk_Status,CriticalTasks[[#This Row],[_Task]])&amp;"")</f>
        <v/>
      </c>
    </row>
    <row r="110" customFormat="false" ht="15" hidden="false" customHeight="false" outlineLevel="0" collapsed="false">
      <c r="B110" s="38" t="str">
        <f aca="false">IFERROR(MATCH(SMALL(tsk_CriticalKey,ROW()-ROW(CriticalTasks[[#Headers],[_Task]])),tsk_CriticalKey,0),"")</f>
        <v/>
      </c>
      <c r="C110" s="30" t="str">
        <f aca="false">IF(CriticalTasks[[#This Row],[_Task]]="","",INDEX(tsk_WBS,CriticalTasks[[#This Row],[_Task]])&amp;"")</f>
        <v/>
      </c>
      <c r="D110" s="30" t="str">
        <f aca="false">IF(CriticalTasks[[#This Row],[_Task]]="","",INDEX(tsk_Name,CriticalTasks[[#This Row],[_Task]])&amp;"")</f>
        <v/>
      </c>
      <c r="E110" s="30" t="str">
        <f aca="false">IF(CriticalTasks[[#This Row],[_Task]]="","",INDEX(tsk_ResourceNames,CriticalTasks[[#This Row],[_Task]])&amp;"")</f>
        <v/>
      </c>
      <c r="F110" s="65" t="str">
        <f aca="false">IF(CriticalTasks[[#This Row],[_Task]]="","",IF(N(INDEX(tsk_FcStart,CriticalTasks[[#This Row],[_Task]]))=0,"",INDEX(tsk_FcStart,CriticalTasks[[#This Row],[_Task]])))</f>
        <v/>
      </c>
      <c r="G110" s="65" t="str">
        <f aca="false">IF(CriticalTasks[[#This Row],[_Task]]="","",IF(N(INDEX(tsk_FcFinish,CriticalTasks[[#This Row],[_Task]]))=0,"",INDEX(tsk_FcFinish,CriticalTasks[[#This Row],[_Task]])))</f>
        <v/>
      </c>
      <c r="H110" s="51" t="str">
        <f aca="false">IF(CriticalTasks[[#This Row],[_Task]]="","",INDEX(tsk_TotalSlack,CriticalTasks[[#This Row],[_Task]]))</f>
        <v/>
      </c>
      <c r="I110" s="30" t="str">
        <f aca="false">IF(CriticalTasks[[#This Row],[_Task]]="","",INDEX(tsk_DeadlineCheck,CriticalTasks[[#This Row],[_Task]])&amp;"")</f>
        <v/>
      </c>
      <c r="J110" s="30" t="str">
        <f aca="false">IF(CriticalTasks[[#This Row],[_Task]]="","",INDEX(tsk_Status,CriticalTasks[[#This Row],[_Task]])&amp;"")</f>
        <v/>
      </c>
    </row>
  </sheetData>
  <conditionalFormatting sqref="P6:P15">
    <cfRule type="expression" priority="2" aboveAverage="0" equalAverage="0" bottom="0" percent="0" rank="0" text="" dxfId="14">
      <formula>P6="Green"</formula>
    </cfRule>
    <cfRule type="expression" priority="3" aboveAverage="0" equalAverage="0" bottom="0" percent="0" rank="0" text="" dxfId="15">
      <formula>P6="Amber"</formula>
    </cfRule>
    <cfRule type="expression" priority="4" aboveAverage="0" equalAverage="0" bottom="0" percent="0" rank="0" text="" dxfId="16">
      <formula>P6="Red"</formula>
    </cfRule>
  </conditionalFormatting>
  <conditionalFormatting sqref="G6:G15">
    <cfRule type="expression" priority="5" aboveAverage="0" equalAverage="0" bottom="0" percent="0" rank="0" text="" dxfId="27">
      <formula>AND(ISNUMBER(G6),G6&gt;0)</formula>
    </cfRule>
  </conditionalFormatting>
  <conditionalFormatting sqref="G19:G33">
    <cfRule type="expression" priority="6" aboveAverage="0" equalAverage="0" bottom="0" percent="0" rank="0" text="" dxfId="27">
      <formula>AND(ISNUMBER(G19),G19&gt;0)</formula>
    </cfRule>
  </conditionalFormatting>
  <conditionalFormatting sqref="I19:I33">
    <cfRule type="expression" priority="7" aboveAverage="0" equalAverage="0" bottom="0" percent="0" rank="0" text="" dxfId="27">
      <formula>LEFT(I19,4)="Late"</formula>
    </cfRule>
  </conditionalFormatting>
  <conditionalFormatting sqref="H37:H51">
    <cfRule type="expression" priority="8" aboveAverage="0" equalAverage="0" bottom="0" percent="0" rank="0" text="" dxfId="27">
      <formula>AND(ISNUMBER(H37),H37&gt;0)</formula>
    </cfRule>
  </conditionalFormatting>
  <conditionalFormatting sqref="J37:J51">
    <cfRule type="expression" priority="9" aboveAverage="0" equalAverage="0" bottom="0" percent="0" rank="0" text="" dxfId="30">
      <formula>J37="Yes"</formula>
    </cfRule>
  </conditionalFormatting>
  <conditionalFormatting sqref="J55:J69">
    <cfRule type="expression" priority="10" aboveAverage="0" equalAverage="0" bottom="0" percent="0" rank="0" text="" dxfId="30">
      <formula>J55="Yes"</formula>
    </cfRule>
  </conditionalFormatting>
  <conditionalFormatting sqref="J73:J87">
    <cfRule type="expression" priority="11" aboveAverage="0" equalAverage="0" bottom="0" percent="0" rank="0" text="" dxfId="30">
      <formula>J73="Yes"</formula>
    </cfRule>
  </conditionalFormatting>
  <conditionalFormatting sqref="H73:H87">
    <cfRule type="expression" priority="12" aboveAverage="0" equalAverage="0" bottom="0" percent="0" rank="0" text="" dxfId="27">
      <formula>LEFT(H73,4)="Late"</formula>
    </cfRule>
  </conditionalFormatting>
  <conditionalFormatting sqref="I91:I110">
    <cfRule type="expression" priority="13" aboveAverage="0" equalAverage="0" bottom="0" percent="0" rank="0" text="" dxfId="27">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32" t="str">
        <f aca="false">ProjectName&amp;"  -  Resource Report"</f>
        <v>New Project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01-Jan-1900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6" t="s">
        <v>260</v>
      </c>
    </row>
    <row r="5" customFormat="false" ht="23.85" hidden="false" customHeight="false" outlineLevel="0" collapsed="false">
      <c r="B5" s="15" t="s">
        <v>255</v>
      </c>
      <c r="C5" s="15" t="s">
        <v>261</v>
      </c>
      <c r="D5" s="15" t="s">
        <v>262</v>
      </c>
      <c r="E5" s="15" t="s">
        <v>263</v>
      </c>
      <c r="F5" s="15" t="s">
        <v>264</v>
      </c>
      <c r="G5" s="15" t="s">
        <v>265</v>
      </c>
      <c r="H5" s="15" t="s">
        <v>266</v>
      </c>
      <c r="I5" s="15" t="s">
        <v>267</v>
      </c>
      <c r="J5" s="15" t="s">
        <v>268</v>
      </c>
      <c r="K5" s="15" t="s">
        <v>254</v>
      </c>
      <c r="L5" s="15" t="s">
        <v>269</v>
      </c>
      <c r="M5" s="15" t="s">
        <v>270</v>
      </c>
      <c r="N5" s="15" t="s">
        <v>271</v>
      </c>
      <c r="O5" s="15" t="s">
        <v>272</v>
      </c>
    </row>
    <row r="6" customFormat="false" ht="15" hidden="false" customHeight="false" outlineLevel="0" collapsed="false">
      <c r="B6" s="30" t="str">
        <f aca="false">IFERROR(INDEX(res_Name,ROW()-ROW(ResourceSummary[[#Headers],[Resource]]))&amp;"","")</f>
        <v/>
      </c>
      <c r="C6" s="40" t="str">
        <f aca="false">IF(ResourceSummary[[#This Row],[Resource]]="","",INDEX(ResourceTable[Max Units],ROW()-ROW(ResourceSummary[[#Headers],[Resource]])))</f>
        <v/>
      </c>
      <c r="D6" s="68" t="str">
        <f aca="false">IF(ResourceSummary[[#This Row],[Resource]]="","",INDEX(ResourceTable[Tasks],ROW()-ROW(ResourceSummary[[#Headers],[Resource]])))</f>
        <v/>
      </c>
      <c r="E6" s="69" t="str">
        <f aca="false">IF(ResourceSummary[[#This Row],[Resource]]="","",INDEX(ResourceTable[Work],ROW()-ROW(ResourceSummary[[#Headers],[Resource]])))</f>
        <v/>
      </c>
      <c r="F6" s="69" t="str">
        <f aca="false">IF(ResourceSummary[[#This Row],[Resource]]="","",SUMIFS(tsk_LeafWorkDone,tsk_Resource,ResourceSummary[[#This Row],[Resource]])+SUMIFS(asg_WorkDone,asg_Resource,ResourceSummary[[#This Row],[Resource]]))</f>
        <v/>
      </c>
      <c r="G6" s="69" t="str">
        <f aca="false">IF(ResourceSummary[[#This Row],[Resource]]="","",ResourceSummary[[#This Row],[Work]]-ResourceSummary[[#This Row],[Work Done]])</f>
        <v/>
      </c>
      <c r="H6" s="69" t="str">
        <f aca="false">IF(ResourceSummary[[#This Row],[Resource]]="","",INDEX(ResourceTable[Cost],ROW()-ROW(ResourceSummary[[#Headers],[Resource]])))</f>
        <v/>
      </c>
      <c r="I6" s="69" t="str">
        <f aca="false">IF(ResourceSummary[[#This Row],[Resource]]="","",INDEX(ResourceTable[Actual Cost],ROW()-ROW(ResourceSummary[[#Headers],[Resource]])))</f>
        <v/>
      </c>
      <c r="J6" s="68" t="str">
        <f aca="false">IF(ResourceSummary[[#This Row],[Resource]]="","",COUNTIFS(tsk_Resource,ResourceSummary[[#This Row],[Resource]],tsk_LateKey,"&gt;0")+SUMIFS(asg_Late,asg_Resource,ResourceSummary[[#This Row],[Resource]]))</f>
        <v/>
      </c>
      <c r="K6" s="68" t="str">
        <f aca="false">IF(ResourceSummary[[#This Row],[Resource]]="","",COUNTIFS(tsk_Resource,ResourceSummary[[#This Row],[Resource]],tsk_Critical,"Yes",tsk_IsLeaf,1)+SUMIFS(asg_Critical,asg_Resource,ResourceSummary[[#This Row],[Resource]]))</f>
        <v/>
      </c>
      <c r="L6" s="66" t="str">
        <f aca="false">IF(ResourceSummary[[#This Row],[Resource]]="","",MAX(INDEX(rw_Load,ROW()-ROW(ResourceSummary[[#Headers],[Resource]]),0)))</f>
        <v/>
      </c>
      <c r="M6" s="40" t="str">
        <f aca="false">IF(ResourceSummary[[#This Row],[Resource]]="","",MAX(INDEX(rw_Util,ROW()-ROW(ResourceSummary[[#Headers],[Resource]]),0)))</f>
        <v/>
      </c>
      <c r="N6" s="68" t="str">
        <f aca="false">IF(ResourceSummary[[#This Row],[Resource]]="","",COUNTIF(INDEX(rw_Util,ROW()-ROW(ResourceSummary[[#Headers],[Resource]]),0),"&gt;1"))</f>
        <v/>
      </c>
      <c r="O6" s="70" t="str">
        <f aca="false">IF(ResourceSummary[[#This Row],[Resource]]="","",SUM(INDEX(rw_Leave,ROW()-ROW(ResourceSummary[[#Headers],[Resource]]),0)))</f>
        <v/>
      </c>
    </row>
    <row r="7" customFormat="false" ht="15" hidden="false" customHeight="false" outlineLevel="0" collapsed="false">
      <c r="B7" s="30" t="str">
        <f aca="false">IFERROR(INDEX(res_Name,ROW()-ROW(ResourceSummary[[#Headers],[Resource]]))&amp;"","")</f>
        <v/>
      </c>
      <c r="C7" s="40" t="str">
        <f aca="false">IF(ResourceSummary[[#This Row],[Resource]]="","",INDEX(ResourceTable[Max Units],ROW()-ROW(ResourceSummary[[#Headers],[Resource]])))</f>
        <v/>
      </c>
      <c r="D7" s="68" t="str">
        <f aca="false">IF(ResourceSummary[[#This Row],[Resource]]="","",INDEX(ResourceTable[Tasks],ROW()-ROW(ResourceSummary[[#Headers],[Resource]])))</f>
        <v/>
      </c>
      <c r="E7" s="69" t="str">
        <f aca="false">IF(ResourceSummary[[#This Row],[Resource]]="","",INDEX(ResourceTable[Work],ROW()-ROW(ResourceSummary[[#Headers],[Resource]])))</f>
        <v/>
      </c>
      <c r="F7" s="69" t="str">
        <f aca="false">IF(ResourceSummary[[#This Row],[Resource]]="","",SUMIFS(tsk_LeafWorkDone,tsk_Resource,ResourceSummary[[#This Row],[Resource]])+SUMIFS(asg_WorkDone,asg_Resource,ResourceSummary[[#This Row],[Resource]]))</f>
        <v/>
      </c>
      <c r="G7" s="69" t="str">
        <f aca="false">IF(ResourceSummary[[#This Row],[Resource]]="","",ResourceSummary[[#This Row],[Work]]-ResourceSummary[[#This Row],[Work Done]])</f>
        <v/>
      </c>
      <c r="H7" s="69" t="str">
        <f aca="false">IF(ResourceSummary[[#This Row],[Resource]]="","",INDEX(ResourceTable[Cost],ROW()-ROW(ResourceSummary[[#Headers],[Resource]])))</f>
        <v/>
      </c>
      <c r="I7" s="69" t="str">
        <f aca="false">IF(ResourceSummary[[#This Row],[Resource]]="","",INDEX(ResourceTable[Actual Cost],ROW()-ROW(ResourceSummary[[#Headers],[Resource]])))</f>
        <v/>
      </c>
      <c r="J7" s="68" t="str">
        <f aca="false">IF(ResourceSummary[[#This Row],[Resource]]="","",COUNTIFS(tsk_Resource,ResourceSummary[[#This Row],[Resource]],tsk_LateKey,"&gt;0")+SUMIFS(asg_Late,asg_Resource,ResourceSummary[[#This Row],[Resource]]))</f>
        <v/>
      </c>
      <c r="K7" s="68" t="str">
        <f aca="false">IF(ResourceSummary[[#This Row],[Resource]]="","",COUNTIFS(tsk_Resource,ResourceSummary[[#This Row],[Resource]],tsk_Critical,"Yes",tsk_IsLeaf,1)+SUMIFS(asg_Critical,asg_Resource,ResourceSummary[[#This Row],[Resource]]))</f>
        <v/>
      </c>
      <c r="L7" s="66" t="str">
        <f aca="false">IF(ResourceSummary[[#This Row],[Resource]]="","",MAX(INDEX(rw_Load,ROW()-ROW(ResourceSummary[[#Headers],[Resource]]),0)))</f>
        <v/>
      </c>
      <c r="M7" s="40" t="str">
        <f aca="false">IF(ResourceSummary[[#This Row],[Resource]]="","",MAX(INDEX(rw_Util,ROW()-ROW(ResourceSummary[[#Headers],[Resource]]),0)))</f>
        <v/>
      </c>
      <c r="N7" s="68" t="str">
        <f aca="false">IF(ResourceSummary[[#This Row],[Resource]]="","",COUNTIF(INDEX(rw_Util,ROW()-ROW(ResourceSummary[[#Headers],[Resource]]),0),"&gt;1"))</f>
        <v/>
      </c>
      <c r="O7" s="70" t="str">
        <f aca="false">IF(ResourceSummary[[#This Row],[Resource]]="","",SUM(INDEX(rw_Leave,ROW()-ROW(ResourceSummary[[#Headers],[Resource]]),0)))</f>
        <v/>
      </c>
    </row>
    <row r="8" customFormat="false" ht="15" hidden="false" customHeight="false" outlineLevel="0" collapsed="false">
      <c r="B8" s="30" t="str">
        <f aca="false">IFERROR(INDEX(res_Name,ROW()-ROW(ResourceSummary[[#Headers],[Resource]]))&amp;"","")</f>
        <v/>
      </c>
      <c r="C8" s="40" t="str">
        <f aca="false">IF(ResourceSummary[[#This Row],[Resource]]="","",INDEX(ResourceTable[Max Units],ROW()-ROW(ResourceSummary[[#Headers],[Resource]])))</f>
        <v/>
      </c>
      <c r="D8" s="68" t="str">
        <f aca="false">IF(ResourceSummary[[#This Row],[Resource]]="","",INDEX(ResourceTable[Tasks],ROW()-ROW(ResourceSummary[[#Headers],[Resource]])))</f>
        <v/>
      </c>
      <c r="E8" s="69" t="str">
        <f aca="false">IF(ResourceSummary[[#This Row],[Resource]]="","",INDEX(ResourceTable[Work],ROW()-ROW(ResourceSummary[[#Headers],[Resource]])))</f>
        <v/>
      </c>
      <c r="F8" s="69" t="str">
        <f aca="false">IF(ResourceSummary[[#This Row],[Resource]]="","",SUMIFS(tsk_LeafWorkDone,tsk_Resource,ResourceSummary[[#This Row],[Resource]])+SUMIFS(asg_WorkDone,asg_Resource,ResourceSummary[[#This Row],[Resource]]))</f>
        <v/>
      </c>
      <c r="G8" s="69" t="str">
        <f aca="false">IF(ResourceSummary[[#This Row],[Resource]]="","",ResourceSummary[[#This Row],[Work]]-ResourceSummary[[#This Row],[Work Done]])</f>
        <v/>
      </c>
      <c r="H8" s="69" t="str">
        <f aca="false">IF(ResourceSummary[[#This Row],[Resource]]="","",INDEX(ResourceTable[Cost],ROW()-ROW(ResourceSummary[[#Headers],[Resource]])))</f>
        <v/>
      </c>
      <c r="I8" s="69" t="str">
        <f aca="false">IF(ResourceSummary[[#This Row],[Resource]]="","",INDEX(ResourceTable[Actual Cost],ROW()-ROW(ResourceSummary[[#Headers],[Resource]])))</f>
        <v/>
      </c>
      <c r="J8" s="68" t="str">
        <f aca="false">IF(ResourceSummary[[#This Row],[Resource]]="","",COUNTIFS(tsk_Resource,ResourceSummary[[#This Row],[Resource]],tsk_LateKey,"&gt;0")+SUMIFS(asg_Late,asg_Resource,ResourceSummary[[#This Row],[Resource]]))</f>
        <v/>
      </c>
      <c r="K8" s="68" t="str">
        <f aca="false">IF(ResourceSummary[[#This Row],[Resource]]="","",COUNTIFS(tsk_Resource,ResourceSummary[[#This Row],[Resource]],tsk_Critical,"Yes",tsk_IsLeaf,1)+SUMIFS(asg_Critical,asg_Resource,ResourceSummary[[#This Row],[Resource]]))</f>
        <v/>
      </c>
      <c r="L8" s="66" t="str">
        <f aca="false">IF(ResourceSummary[[#This Row],[Resource]]="","",MAX(INDEX(rw_Load,ROW()-ROW(ResourceSummary[[#Headers],[Resource]]),0)))</f>
        <v/>
      </c>
      <c r="M8" s="40" t="str">
        <f aca="false">IF(ResourceSummary[[#This Row],[Resource]]="","",MAX(INDEX(rw_Util,ROW()-ROW(ResourceSummary[[#Headers],[Resource]]),0)))</f>
        <v/>
      </c>
      <c r="N8" s="68" t="str">
        <f aca="false">IF(ResourceSummary[[#This Row],[Resource]]="","",COUNTIF(INDEX(rw_Util,ROW()-ROW(ResourceSummary[[#Headers],[Resource]]),0),"&gt;1"))</f>
        <v/>
      </c>
      <c r="O8" s="70" t="str">
        <f aca="false">IF(ResourceSummary[[#This Row],[Resource]]="","",SUM(INDEX(rw_Leave,ROW()-ROW(ResourceSummary[[#Headers],[Resource]]),0)))</f>
        <v/>
      </c>
    </row>
    <row r="9" customFormat="false" ht="15" hidden="false" customHeight="false" outlineLevel="0" collapsed="false">
      <c r="B9" s="30" t="str">
        <f aca="false">IFERROR(INDEX(res_Name,ROW()-ROW(ResourceSummary[[#Headers],[Resource]]))&amp;"","")</f>
        <v/>
      </c>
      <c r="C9" s="40" t="str">
        <f aca="false">IF(ResourceSummary[[#This Row],[Resource]]="","",INDEX(ResourceTable[Max Units],ROW()-ROW(ResourceSummary[[#Headers],[Resource]])))</f>
        <v/>
      </c>
      <c r="D9" s="68" t="str">
        <f aca="false">IF(ResourceSummary[[#This Row],[Resource]]="","",INDEX(ResourceTable[Tasks],ROW()-ROW(ResourceSummary[[#Headers],[Resource]])))</f>
        <v/>
      </c>
      <c r="E9" s="69" t="str">
        <f aca="false">IF(ResourceSummary[[#This Row],[Resource]]="","",INDEX(ResourceTable[Work],ROW()-ROW(ResourceSummary[[#Headers],[Resource]])))</f>
        <v/>
      </c>
      <c r="F9" s="69" t="str">
        <f aca="false">IF(ResourceSummary[[#This Row],[Resource]]="","",SUMIFS(tsk_LeafWorkDone,tsk_Resource,ResourceSummary[[#This Row],[Resource]])+SUMIFS(asg_WorkDone,asg_Resource,ResourceSummary[[#This Row],[Resource]]))</f>
        <v/>
      </c>
      <c r="G9" s="69" t="str">
        <f aca="false">IF(ResourceSummary[[#This Row],[Resource]]="","",ResourceSummary[[#This Row],[Work]]-ResourceSummary[[#This Row],[Work Done]])</f>
        <v/>
      </c>
      <c r="H9" s="69" t="str">
        <f aca="false">IF(ResourceSummary[[#This Row],[Resource]]="","",INDEX(ResourceTable[Cost],ROW()-ROW(ResourceSummary[[#Headers],[Resource]])))</f>
        <v/>
      </c>
      <c r="I9" s="69" t="str">
        <f aca="false">IF(ResourceSummary[[#This Row],[Resource]]="","",INDEX(ResourceTable[Actual Cost],ROW()-ROW(ResourceSummary[[#Headers],[Resource]])))</f>
        <v/>
      </c>
      <c r="J9" s="68" t="str">
        <f aca="false">IF(ResourceSummary[[#This Row],[Resource]]="","",COUNTIFS(tsk_Resource,ResourceSummary[[#This Row],[Resource]],tsk_LateKey,"&gt;0")+SUMIFS(asg_Late,asg_Resource,ResourceSummary[[#This Row],[Resource]]))</f>
        <v/>
      </c>
      <c r="K9" s="68" t="str">
        <f aca="false">IF(ResourceSummary[[#This Row],[Resource]]="","",COUNTIFS(tsk_Resource,ResourceSummary[[#This Row],[Resource]],tsk_Critical,"Yes",tsk_IsLeaf,1)+SUMIFS(asg_Critical,asg_Resource,ResourceSummary[[#This Row],[Resource]]))</f>
        <v/>
      </c>
      <c r="L9" s="66" t="str">
        <f aca="false">IF(ResourceSummary[[#This Row],[Resource]]="","",MAX(INDEX(rw_Load,ROW()-ROW(ResourceSummary[[#Headers],[Resource]]),0)))</f>
        <v/>
      </c>
      <c r="M9" s="40" t="str">
        <f aca="false">IF(ResourceSummary[[#This Row],[Resource]]="","",MAX(INDEX(rw_Util,ROW()-ROW(ResourceSummary[[#Headers],[Resource]]),0)))</f>
        <v/>
      </c>
      <c r="N9" s="68" t="str">
        <f aca="false">IF(ResourceSummary[[#This Row],[Resource]]="","",COUNTIF(INDEX(rw_Util,ROW()-ROW(ResourceSummary[[#Headers],[Resource]]),0),"&gt;1"))</f>
        <v/>
      </c>
      <c r="O9" s="70" t="str">
        <f aca="false">IF(ResourceSummary[[#This Row],[Resource]]="","",SUM(INDEX(rw_Leave,ROW()-ROW(ResourceSummary[[#Headers],[Resource]]),0)))</f>
        <v/>
      </c>
    </row>
    <row r="10" customFormat="false" ht="15" hidden="false" customHeight="false" outlineLevel="0" collapsed="false">
      <c r="B10" s="30" t="str">
        <f aca="false">IFERROR(INDEX(res_Name,ROW()-ROW(ResourceSummary[[#Headers],[Resource]]))&amp;"","")</f>
        <v/>
      </c>
      <c r="C10" s="40" t="str">
        <f aca="false">IF(ResourceSummary[[#This Row],[Resource]]="","",INDEX(ResourceTable[Max Units],ROW()-ROW(ResourceSummary[[#Headers],[Resource]])))</f>
        <v/>
      </c>
      <c r="D10" s="68" t="str">
        <f aca="false">IF(ResourceSummary[[#This Row],[Resource]]="","",INDEX(ResourceTable[Tasks],ROW()-ROW(ResourceSummary[[#Headers],[Resource]])))</f>
        <v/>
      </c>
      <c r="E10" s="69" t="str">
        <f aca="false">IF(ResourceSummary[[#This Row],[Resource]]="","",INDEX(ResourceTable[Work],ROW()-ROW(ResourceSummary[[#Headers],[Resource]])))</f>
        <v/>
      </c>
      <c r="F10" s="69" t="str">
        <f aca="false">IF(ResourceSummary[[#This Row],[Resource]]="","",SUMIFS(tsk_LeafWorkDone,tsk_Resource,ResourceSummary[[#This Row],[Resource]])+SUMIFS(asg_WorkDone,asg_Resource,ResourceSummary[[#This Row],[Resource]]))</f>
        <v/>
      </c>
      <c r="G10" s="69" t="str">
        <f aca="false">IF(ResourceSummary[[#This Row],[Resource]]="","",ResourceSummary[[#This Row],[Work]]-ResourceSummary[[#This Row],[Work Done]])</f>
        <v/>
      </c>
      <c r="H10" s="69" t="str">
        <f aca="false">IF(ResourceSummary[[#This Row],[Resource]]="","",INDEX(ResourceTable[Cost],ROW()-ROW(ResourceSummary[[#Headers],[Resource]])))</f>
        <v/>
      </c>
      <c r="I10" s="69" t="str">
        <f aca="false">IF(ResourceSummary[[#This Row],[Resource]]="","",INDEX(ResourceTable[Actual Cost],ROW()-ROW(ResourceSummary[[#Headers],[Resource]])))</f>
        <v/>
      </c>
      <c r="J10" s="68" t="str">
        <f aca="false">IF(ResourceSummary[[#This Row],[Resource]]="","",COUNTIFS(tsk_Resource,ResourceSummary[[#This Row],[Resource]],tsk_LateKey,"&gt;0")+SUMIFS(asg_Late,asg_Resource,ResourceSummary[[#This Row],[Resource]]))</f>
        <v/>
      </c>
      <c r="K10" s="68" t="str">
        <f aca="false">IF(ResourceSummary[[#This Row],[Resource]]="","",COUNTIFS(tsk_Resource,ResourceSummary[[#This Row],[Resource]],tsk_Critical,"Yes",tsk_IsLeaf,1)+SUMIFS(asg_Critical,asg_Resource,ResourceSummary[[#This Row],[Resource]]))</f>
        <v/>
      </c>
      <c r="L10" s="66" t="str">
        <f aca="false">IF(ResourceSummary[[#This Row],[Resource]]="","",MAX(INDEX(rw_Load,ROW()-ROW(ResourceSummary[[#Headers],[Resource]]),0)))</f>
        <v/>
      </c>
      <c r="M10" s="40" t="str">
        <f aca="false">IF(ResourceSummary[[#This Row],[Resource]]="","",MAX(INDEX(rw_Util,ROW()-ROW(ResourceSummary[[#Headers],[Resource]]),0)))</f>
        <v/>
      </c>
      <c r="N10" s="68" t="str">
        <f aca="false">IF(ResourceSummary[[#This Row],[Resource]]="","",COUNTIF(INDEX(rw_Util,ROW()-ROW(ResourceSummary[[#Headers],[Resource]]),0),"&gt;1"))</f>
        <v/>
      </c>
      <c r="O10" s="70" t="str">
        <f aca="false">IF(ResourceSummary[[#This Row],[Resource]]="","",SUM(INDEX(rw_Leave,ROW()-ROW(ResourceSummary[[#Headers],[Resource]]),0)))</f>
        <v/>
      </c>
    </row>
    <row r="11" customFormat="false" ht="15" hidden="false" customHeight="false" outlineLevel="0" collapsed="false">
      <c r="B11" s="30" t="str">
        <f aca="false">IFERROR(INDEX(res_Name,ROW()-ROW(ResourceSummary[[#Headers],[Resource]]))&amp;"","")</f>
        <v/>
      </c>
      <c r="C11" s="40" t="str">
        <f aca="false">IF(ResourceSummary[[#This Row],[Resource]]="","",INDEX(ResourceTable[Max Units],ROW()-ROW(ResourceSummary[[#Headers],[Resource]])))</f>
        <v/>
      </c>
      <c r="D11" s="68" t="str">
        <f aca="false">IF(ResourceSummary[[#This Row],[Resource]]="","",INDEX(ResourceTable[Tasks],ROW()-ROW(ResourceSummary[[#Headers],[Resource]])))</f>
        <v/>
      </c>
      <c r="E11" s="69" t="str">
        <f aca="false">IF(ResourceSummary[[#This Row],[Resource]]="","",INDEX(ResourceTable[Work],ROW()-ROW(ResourceSummary[[#Headers],[Resource]])))</f>
        <v/>
      </c>
      <c r="F11" s="69" t="str">
        <f aca="false">IF(ResourceSummary[[#This Row],[Resource]]="","",SUMIFS(tsk_LeafWorkDone,tsk_Resource,ResourceSummary[[#This Row],[Resource]])+SUMIFS(asg_WorkDone,asg_Resource,ResourceSummary[[#This Row],[Resource]]))</f>
        <v/>
      </c>
      <c r="G11" s="69" t="str">
        <f aca="false">IF(ResourceSummary[[#This Row],[Resource]]="","",ResourceSummary[[#This Row],[Work]]-ResourceSummary[[#This Row],[Work Done]])</f>
        <v/>
      </c>
      <c r="H11" s="69" t="str">
        <f aca="false">IF(ResourceSummary[[#This Row],[Resource]]="","",INDEX(ResourceTable[Cost],ROW()-ROW(ResourceSummary[[#Headers],[Resource]])))</f>
        <v/>
      </c>
      <c r="I11" s="69" t="str">
        <f aca="false">IF(ResourceSummary[[#This Row],[Resource]]="","",INDEX(ResourceTable[Actual Cost],ROW()-ROW(ResourceSummary[[#Headers],[Resource]])))</f>
        <v/>
      </c>
      <c r="J11" s="68" t="str">
        <f aca="false">IF(ResourceSummary[[#This Row],[Resource]]="","",COUNTIFS(tsk_Resource,ResourceSummary[[#This Row],[Resource]],tsk_LateKey,"&gt;0")+SUMIFS(asg_Late,asg_Resource,ResourceSummary[[#This Row],[Resource]]))</f>
        <v/>
      </c>
      <c r="K11" s="68" t="str">
        <f aca="false">IF(ResourceSummary[[#This Row],[Resource]]="","",COUNTIFS(tsk_Resource,ResourceSummary[[#This Row],[Resource]],tsk_Critical,"Yes",tsk_IsLeaf,1)+SUMIFS(asg_Critical,asg_Resource,ResourceSummary[[#This Row],[Resource]]))</f>
        <v/>
      </c>
      <c r="L11" s="66" t="str">
        <f aca="false">IF(ResourceSummary[[#This Row],[Resource]]="","",MAX(INDEX(rw_Load,ROW()-ROW(ResourceSummary[[#Headers],[Resource]]),0)))</f>
        <v/>
      </c>
      <c r="M11" s="40" t="str">
        <f aca="false">IF(ResourceSummary[[#This Row],[Resource]]="","",MAX(INDEX(rw_Util,ROW()-ROW(ResourceSummary[[#Headers],[Resource]]),0)))</f>
        <v/>
      </c>
      <c r="N11" s="68" t="str">
        <f aca="false">IF(ResourceSummary[[#This Row],[Resource]]="","",COUNTIF(INDEX(rw_Util,ROW()-ROW(ResourceSummary[[#Headers],[Resource]]),0),"&gt;1"))</f>
        <v/>
      </c>
      <c r="O11" s="70" t="str">
        <f aca="false">IF(ResourceSummary[[#This Row],[Resource]]="","",SUM(INDEX(rw_Leave,ROW()-ROW(ResourceSummary[[#Headers],[Resource]]),0)))</f>
        <v/>
      </c>
    </row>
    <row r="12" customFormat="false" ht="15" hidden="false" customHeight="false" outlineLevel="0" collapsed="false">
      <c r="B12" s="30" t="str">
        <f aca="false">IFERROR(INDEX(res_Name,ROW()-ROW(ResourceSummary[[#Headers],[Resource]]))&amp;"","")</f>
        <v/>
      </c>
      <c r="C12" s="40" t="str">
        <f aca="false">IF(ResourceSummary[[#This Row],[Resource]]="","",INDEX(ResourceTable[Max Units],ROW()-ROW(ResourceSummary[[#Headers],[Resource]])))</f>
        <v/>
      </c>
      <c r="D12" s="68" t="str">
        <f aca="false">IF(ResourceSummary[[#This Row],[Resource]]="","",INDEX(ResourceTable[Tasks],ROW()-ROW(ResourceSummary[[#Headers],[Resource]])))</f>
        <v/>
      </c>
      <c r="E12" s="69" t="str">
        <f aca="false">IF(ResourceSummary[[#This Row],[Resource]]="","",INDEX(ResourceTable[Work],ROW()-ROW(ResourceSummary[[#Headers],[Resource]])))</f>
        <v/>
      </c>
      <c r="F12" s="69" t="str">
        <f aca="false">IF(ResourceSummary[[#This Row],[Resource]]="","",SUMIFS(tsk_LeafWorkDone,tsk_Resource,ResourceSummary[[#This Row],[Resource]])+SUMIFS(asg_WorkDone,asg_Resource,ResourceSummary[[#This Row],[Resource]]))</f>
        <v/>
      </c>
      <c r="G12" s="69" t="str">
        <f aca="false">IF(ResourceSummary[[#This Row],[Resource]]="","",ResourceSummary[[#This Row],[Work]]-ResourceSummary[[#This Row],[Work Done]])</f>
        <v/>
      </c>
      <c r="H12" s="69" t="str">
        <f aca="false">IF(ResourceSummary[[#This Row],[Resource]]="","",INDEX(ResourceTable[Cost],ROW()-ROW(ResourceSummary[[#Headers],[Resource]])))</f>
        <v/>
      </c>
      <c r="I12" s="69" t="str">
        <f aca="false">IF(ResourceSummary[[#This Row],[Resource]]="","",INDEX(ResourceTable[Actual Cost],ROW()-ROW(ResourceSummary[[#Headers],[Resource]])))</f>
        <v/>
      </c>
      <c r="J12" s="68" t="str">
        <f aca="false">IF(ResourceSummary[[#This Row],[Resource]]="","",COUNTIFS(tsk_Resource,ResourceSummary[[#This Row],[Resource]],tsk_LateKey,"&gt;0")+SUMIFS(asg_Late,asg_Resource,ResourceSummary[[#This Row],[Resource]]))</f>
        <v/>
      </c>
      <c r="K12" s="68" t="str">
        <f aca="false">IF(ResourceSummary[[#This Row],[Resource]]="","",COUNTIFS(tsk_Resource,ResourceSummary[[#This Row],[Resource]],tsk_Critical,"Yes",tsk_IsLeaf,1)+SUMIFS(asg_Critical,asg_Resource,ResourceSummary[[#This Row],[Resource]]))</f>
        <v/>
      </c>
      <c r="L12" s="66" t="str">
        <f aca="false">IF(ResourceSummary[[#This Row],[Resource]]="","",MAX(INDEX(rw_Load,ROW()-ROW(ResourceSummary[[#Headers],[Resource]]),0)))</f>
        <v/>
      </c>
      <c r="M12" s="40" t="str">
        <f aca="false">IF(ResourceSummary[[#This Row],[Resource]]="","",MAX(INDEX(rw_Util,ROW()-ROW(ResourceSummary[[#Headers],[Resource]]),0)))</f>
        <v/>
      </c>
      <c r="N12" s="68" t="str">
        <f aca="false">IF(ResourceSummary[[#This Row],[Resource]]="","",COUNTIF(INDEX(rw_Util,ROW()-ROW(ResourceSummary[[#Headers],[Resource]]),0),"&gt;1"))</f>
        <v/>
      </c>
      <c r="O12" s="70" t="str">
        <f aca="false">IF(ResourceSummary[[#This Row],[Resource]]="","",SUM(INDEX(rw_Leave,ROW()-ROW(ResourceSummary[[#Headers],[Resource]]),0)))</f>
        <v/>
      </c>
    </row>
    <row r="13" customFormat="false" ht="15" hidden="false" customHeight="false" outlineLevel="0" collapsed="false">
      <c r="B13" s="30" t="str">
        <f aca="false">IFERROR(INDEX(res_Name,ROW()-ROW(ResourceSummary[[#Headers],[Resource]]))&amp;"","")</f>
        <v/>
      </c>
      <c r="C13" s="40" t="str">
        <f aca="false">IF(ResourceSummary[[#This Row],[Resource]]="","",INDEX(ResourceTable[Max Units],ROW()-ROW(ResourceSummary[[#Headers],[Resource]])))</f>
        <v/>
      </c>
      <c r="D13" s="68" t="str">
        <f aca="false">IF(ResourceSummary[[#This Row],[Resource]]="","",INDEX(ResourceTable[Tasks],ROW()-ROW(ResourceSummary[[#Headers],[Resource]])))</f>
        <v/>
      </c>
      <c r="E13" s="69" t="str">
        <f aca="false">IF(ResourceSummary[[#This Row],[Resource]]="","",INDEX(ResourceTable[Work],ROW()-ROW(ResourceSummary[[#Headers],[Resource]])))</f>
        <v/>
      </c>
      <c r="F13" s="69" t="str">
        <f aca="false">IF(ResourceSummary[[#This Row],[Resource]]="","",SUMIFS(tsk_LeafWorkDone,tsk_Resource,ResourceSummary[[#This Row],[Resource]])+SUMIFS(asg_WorkDone,asg_Resource,ResourceSummary[[#This Row],[Resource]]))</f>
        <v/>
      </c>
      <c r="G13" s="69" t="str">
        <f aca="false">IF(ResourceSummary[[#This Row],[Resource]]="","",ResourceSummary[[#This Row],[Work]]-ResourceSummary[[#This Row],[Work Done]])</f>
        <v/>
      </c>
      <c r="H13" s="69" t="str">
        <f aca="false">IF(ResourceSummary[[#This Row],[Resource]]="","",INDEX(ResourceTable[Cost],ROW()-ROW(ResourceSummary[[#Headers],[Resource]])))</f>
        <v/>
      </c>
      <c r="I13" s="69" t="str">
        <f aca="false">IF(ResourceSummary[[#This Row],[Resource]]="","",INDEX(ResourceTable[Actual Cost],ROW()-ROW(ResourceSummary[[#Headers],[Resource]])))</f>
        <v/>
      </c>
      <c r="J13" s="68" t="str">
        <f aca="false">IF(ResourceSummary[[#This Row],[Resource]]="","",COUNTIFS(tsk_Resource,ResourceSummary[[#This Row],[Resource]],tsk_LateKey,"&gt;0")+SUMIFS(asg_Late,asg_Resource,ResourceSummary[[#This Row],[Resource]]))</f>
        <v/>
      </c>
      <c r="K13" s="68" t="str">
        <f aca="false">IF(ResourceSummary[[#This Row],[Resource]]="","",COUNTIFS(tsk_Resource,ResourceSummary[[#This Row],[Resource]],tsk_Critical,"Yes",tsk_IsLeaf,1)+SUMIFS(asg_Critical,asg_Resource,ResourceSummary[[#This Row],[Resource]]))</f>
        <v/>
      </c>
      <c r="L13" s="66" t="str">
        <f aca="false">IF(ResourceSummary[[#This Row],[Resource]]="","",MAX(INDEX(rw_Load,ROW()-ROW(ResourceSummary[[#Headers],[Resource]]),0)))</f>
        <v/>
      </c>
      <c r="M13" s="40" t="str">
        <f aca="false">IF(ResourceSummary[[#This Row],[Resource]]="","",MAX(INDEX(rw_Util,ROW()-ROW(ResourceSummary[[#Headers],[Resource]]),0)))</f>
        <v/>
      </c>
      <c r="N13" s="68" t="str">
        <f aca="false">IF(ResourceSummary[[#This Row],[Resource]]="","",COUNTIF(INDEX(rw_Util,ROW()-ROW(ResourceSummary[[#Headers],[Resource]]),0),"&gt;1"))</f>
        <v/>
      </c>
      <c r="O13" s="70" t="str">
        <f aca="false">IF(ResourceSummary[[#This Row],[Resource]]="","",SUM(INDEX(rw_Leave,ROW()-ROW(ResourceSummary[[#Headers],[Resource]]),0)))</f>
        <v/>
      </c>
    </row>
    <row r="14" customFormat="false" ht="15" hidden="false" customHeight="false" outlineLevel="0" collapsed="false">
      <c r="B14" s="30" t="str">
        <f aca="false">IFERROR(INDEX(res_Name,ROW()-ROW(ResourceSummary[[#Headers],[Resource]]))&amp;"","")</f>
        <v/>
      </c>
      <c r="C14" s="40" t="str">
        <f aca="false">IF(ResourceSummary[[#This Row],[Resource]]="","",INDEX(ResourceTable[Max Units],ROW()-ROW(ResourceSummary[[#Headers],[Resource]])))</f>
        <v/>
      </c>
      <c r="D14" s="68" t="str">
        <f aca="false">IF(ResourceSummary[[#This Row],[Resource]]="","",INDEX(ResourceTable[Tasks],ROW()-ROW(ResourceSummary[[#Headers],[Resource]])))</f>
        <v/>
      </c>
      <c r="E14" s="69" t="str">
        <f aca="false">IF(ResourceSummary[[#This Row],[Resource]]="","",INDEX(ResourceTable[Work],ROW()-ROW(ResourceSummary[[#Headers],[Resource]])))</f>
        <v/>
      </c>
      <c r="F14" s="69" t="str">
        <f aca="false">IF(ResourceSummary[[#This Row],[Resource]]="","",SUMIFS(tsk_LeafWorkDone,tsk_Resource,ResourceSummary[[#This Row],[Resource]])+SUMIFS(asg_WorkDone,asg_Resource,ResourceSummary[[#This Row],[Resource]]))</f>
        <v/>
      </c>
      <c r="G14" s="69" t="str">
        <f aca="false">IF(ResourceSummary[[#This Row],[Resource]]="","",ResourceSummary[[#This Row],[Work]]-ResourceSummary[[#This Row],[Work Done]])</f>
        <v/>
      </c>
      <c r="H14" s="69" t="str">
        <f aca="false">IF(ResourceSummary[[#This Row],[Resource]]="","",INDEX(ResourceTable[Cost],ROW()-ROW(ResourceSummary[[#Headers],[Resource]])))</f>
        <v/>
      </c>
      <c r="I14" s="69" t="str">
        <f aca="false">IF(ResourceSummary[[#This Row],[Resource]]="","",INDEX(ResourceTable[Actual Cost],ROW()-ROW(ResourceSummary[[#Headers],[Resource]])))</f>
        <v/>
      </c>
      <c r="J14" s="68" t="str">
        <f aca="false">IF(ResourceSummary[[#This Row],[Resource]]="","",COUNTIFS(tsk_Resource,ResourceSummary[[#This Row],[Resource]],tsk_LateKey,"&gt;0")+SUMIFS(asg_Late,asg_Resource,ResourceSummary[[#This Row],[Resource]]))</f>
        <v/>
      </c>
      <c r="K14" s="68" t="str">
        <f aca="false">IF(ResourceSummary[[#This Row],[Resource]]="","",COUNTIFS(tsk_Resource,ResourceSummary[[#This Row],[Resource]],tsk_Critical,"Yes",tsk_IsLeaf,1)+SUMIFS(asg_Critical,asg_Resource,ResourceSummary[[#This Row],[Resource]]))</f>
        <v/>
      </c>
      <c r="L14" s="66" t="str">
        <f aca="false">IF(ResourceSummary[[#This Row],[Resource]]="","",MAX(INDEX(rw_Load,ROW()-ROW(ResourceSummary[[#Headers],[Resource]]),0)))</f>
        <v/>
      </c>
      <c r="M14" s="40" t="str">
        <f aca="false">IF(ResourceSummary[[#This Row],[Resource]]="","",MAX(INDEX(rw_Util,ROW()-ROW(ResourceSummary[[#Headers],[Resource]]),0)))</f>
        <v/>
      </c>
      <c r="N14" s="68" t="str">
        <f aca="false">IF(ResourceSummary[[#This Row],[Resource]]="","",COUNTIF(INDEX(rw_Util,ROW()-ROW(ResourceSummary[[#Headers],[Resource]]),0),"&gt;1"))</f>
        <v/>
      </c>
      <c r="O14" s="70" t="str">
        <f aca="false">IF(ResourceSummary[[#This Row],[Resource]]="","",SUM(INDEX(rw_Leave,ROW()-ROW(ResourceSummary[[#Headers],[Resource]]),0)))</f>
        <v/>
      </c>
    </row>
    <row r="15" customFormat="false" ht="15" hidden="false" customHeight="false" outlineLevel="0" collapsed="false">
      <c r="B15" s="30" t="str">
        <f aca="false">IFERROR(INDEX(res_Name,ROW()-ROW(ResourceSummary[[#Headers],[Resource]]))&amp;"","")</f>
        <v/>
      </c>
      <c r="C15" s="40" t="str">
        <f aca="false">IF(ResourceSummary[[#This Row],[Resource]]="","",INDEX(ResourceTable[Max Units],ROW()-ROW(ResourceSummary[[#Headers],[Resource]])))</f>
        <v/>
      </c>
      <c r="D15" s="68" t="str">
        <f aca="false">IF(ResourceSummary[[#This Row],[Resource]]="","",INDEX(ResourceTable[Tasks],ROW()-ROW(ResourceSummary[[#Headers],[Resource]])))</f>
        <v/>
      </c>
      <c r="E15" s="69" t="str">
        <f aca="false">IF(ResourceSummary[[#This Row],[Resource]]="","",INDEX(ResourceTable[Work],ROW()-ROW(ResourceSummary[[#Headers],[Resource]])))</f>
        <v/>
      </c>
      <c r="F15" s="69" t="str">
        <f aca="false">IF(ResourceSummary[[#This Row],[Resource]]="","",SUMIFS(tsk_LeafWorkDone,tsk_Resource,ResourceSummary[[#This Row],[Resource]])+SUMIFS(asg_WorkDone,asg_Resource,ResourceSummary[[#This Row],[Resource]]))</f>
        <v/>
      </c>
      <c r="G15" s="69" t="str">
        <f aca="false">IF(ResourceSummary[[#This Row],[Resource]]="","",ResourceSummary[[#This Row],[Work]]-ResourceSummary[[#This Row],[Work Done]])</f>
        <v/>
      </c>
      <c r="H15" s="69" t="str">
        <f aca="false">IF(ResourceSummary[[#This Row],[Resource]]="","",INDEX(ResourceTable[Cost],ROW()-ROW(ResourceSummary[[#Headers],[Resource]])))</f>
        <v/>
      </c>
      <c r="I15" s="69" t="str">
        <f aca="false">IF(ResourceSummary[[#This Row],[Resource]]="","",INDEX(ResourceTable[Actual Cost],ROW()-ROW(ResourceSummary[[#Headers],[Resource]])))</f>
        <v/>
      </c>
      <c r="J15" s="68" t="str">
        <f aca="false">IF(ResourceSummary[[#This Row],[Resource]]="","",COUNTIFS(tsk_Resource,ResourceSummary[[#This Row],[Resource]],tsk_LateKey,"&gt;0")+SUMIFS(asg_Late,asg_Resource,ResourceSummary[[#This Row],[Resource]]))</f>
        <v/>
      </c>
      <c r="K15" s="68" t="str">
        <f aca="false">IF(ResourceSummary[[#This Row],[Resource]]="","",COUNTIFS(tsk_Resource,ResourceSummary[[#This Row],[Resource]],tsk_Critical,"Yes",tsk_IsLeaf,1)+SUMIFS(asg_Critical,asg_Resource,ResourceSummary[[#This Row],[Resource]]))</f>
        <v/>
      </c>
      <c r="L15" s="66" t="str">
        <f aca="false">IF(ResourceSummary[[#This Row],[Resource]]="","",MAX(INDEX(rw_Load,ROW()-ROW(ResourceSummary[[#Headers],[Resource]]),0)))</f>
        <v/>
      </c>
      <c r="M15" s="40" t="str">
        <f aca="false">IF(ResourceSummary[[#This Row],[Resource]]="","",MAX(INDEX(rw_Util,ROW()-ROW(ResourceSummary[[#Headers],[Resource]]),0)))</f>
        <v/>
      </c>
      <c r="N15" s="68" t="str">
        <f aca="false">IF(ResourceSummary[[#This Row],[Resource]]="","",COUNTIF(INDEX(rw_Util,ROW()-ROW(ResourceSummary[[#Headers],[Resource]]),0),"&gt;1"))</f>
        <v/>
      </c>
      <c r="O15" s="70" t="str">
        <f aca="false">IF(ResourceSummary[[#This Row],[Resource]]="","",SUM(INDEX(rw_Leave,ROW()-ROW(ResourceSummary[[#Headers],[Resource]]),0)))</f>
        <v/>
      </c>
    </row>
    <row r="16" customFormat="false" ht="15" hidden="false" customHeight="false" outlineLevel="0" collapsed="false">
      <c r="B16" s="30" t="str">
        <f aca="false">IFERROR(INDEX(res_Name,ROW()-ROW(ResourceSummary[[#Headers],[Resource]]))&amp;"","")</f>
        <v/>
      </c>
      <c r="C16" s="40" t="str">
        <f aca="false">IF(ResourceSummary[[#This Row],[Resource]]="","",INDEX(ResourceTable[Max Units],ROW()-ROW(ResourceSummary[[#Headers],[Resource]])))</f>
        <v/>
      </c>
      <c r="D16" s="68" t="str">
        <f aca="false">IF(ResourceSummary[[#This Row],[Resource]]="","",INDEX(ResourceTable[Tasks],ROW()-ROW(ResourceSummary[[#Headers],[Resource]])))</f>
        <v/>
      </c>
      <c r="E16" s="69" t="str">
        <f aca="false">IF(ResourceSummary[[#This Row],[Resource]]="","",INDEX(ResourceTable[Work],ROW()-ROW(ResourceSummary[[#Headers],[Resource]])))</f>
        <v/>
      </c>
      <c r="F16" s="69" t="str">
        <f aca="false">IF(ResourceSummary[[#This Row],[Resource]]="","",SUMIFS(tsk_LeafWorkDone,tsk_Resource,ResourceSummary[[#This Row],[Resource]])+SUMIFS(asg_WorkDone,asg_Resource,ResourceSummary[[#This Row],[Resource]]))</f>
        <v/>
      </c>
      <c r="G16" s="69" t="str">
        <f aca="false">IF(ResourceSummary[[#This Row],[Resource]]="","",ResourceSummary[[#This Row],[Work]]-ResourceSummary[[#This Row],[Work Done]])</f>
        <v/>
      </c>
      <c r="H16" s="69" t="str">
        <f aca="false">IF(ResourceSummary[[#This Row],[Resource]]="","",INDEX(ResourceTable[Cost],ROW()-ROW(ResourceSummary[[#Headers],[Resource]])))</f>
        <v/>
      </c>
      <c r="I16" s="69" t="str">
        <f aca="false">IF(ResourceSummary[[#This Row],[Resource]]="","",INDEX(ResourceTable[Actual Cost],ROW()-ROW(ResourceSummary[[#Headers],[Resource]])))</f>
        <v/>
      </c>
      <c r="J16" s="68" t="str">
        <f aca="false">IF(ResourceSummary[[#This Row],[Resource]]="","",COUNTIFS(tsk_Resource,ResourceSummary[[#This Row],[Resource]],tsk_LateKey,"&gt;0")+SUMIFS(asg_Late,asg_Resource,ResourceSummary[[#This Row],[Resource]]))</f>
        <v/>
      </c>
      <c r="K16" s="68" t="str">
        <f aca="false">IF(ResourceSummary[[#This Row],[Resource]]="","",COUNTIFS(tsk_Resource,ResourceSummary[[#This Row],[Resource]],tsk_Critical,"Yes",tsk_IsLeaf,1)+SUMIFS(asg_Critical,asg_Resource,ResourceSummary[[#This Row],[Resource]]))</f>
        <v/>
      </c>
      <c r="L16" s="66" t="str">
        <f aca="false">IF(ResourceSummary[[#This Row],[Resource]]="","",MAX(INDEX(rw_Load,ROW()-ROW(ResourceSummary[[#Headers],[Resource]]),0)))</f>
        <v/>
      </c>
      <c r="M16" s="40" t="str">
        <f aca="false">IF(ResourceSummary[[#This Row],[Resource]]="","",MAX(INDEX(rw_Util,ROW()-ROW(ResourceSummary[[#Headers],[Resource]]),0)))</f>
        <v/>
      </c>
      <c r="N16" s="68" t="str">
        <f aca="false">IF(ResourceSummary[[#This Row],[Resource]]="","",COUNTIF(INDEX(rw_Util,ROW()-ROW(ResourceSummary[[#Headers],[Resource]]),0),"&gt;1"))</f>
        <v/>
      </c>
      <c r="O16" s="70" t="str">
        <f aca="false">IF(ResourceSummary[[#This Row],[Resource]]="","",SUM(INDEX(rw_Leave,ROW()-ROW(ResourceSummary[[#Headers],[Resource]]),0)))</f>
        <v/>
      </c>
    </row>
    <row r="17" customFormat="false" ht="15" hidden="false" customHeight="false" outlineLevel="0" collapsed="false">
      <c r="B17" s="30" t="str">
        <f aca="false">IFERROR(INDEX(res_Name,ROW()-ROW(ResourceSummary[[#Headers],[Resource]]))&amp;"","")</f>
        <v/>
      </c>
      <c r="C17" s="40" t="str">
        <f aca="false">IF(ResourceSummary[[#This Row],[Resource]]="","",INDEX(ResourceTable[Max Units],ROW()-ROW(ResourceSummary[[#Headers],[Resource]])))</f>
        <v/>
      </c>
      <c r="D17" s="68" t="str">
        <f aca="false">IF(ResourceSummary[[#This Row],[Resource]]="","",INDEX(ResourceTable[Tasks],ROW()-ROW(ResourceSummary[[#Headers],[Resource]])))</f>
        <v/>
      </c>
      <c r="E17" s="69" t="str">
        <f aca="false">IF(ResourceSummary[[#This Row],[Resource]]="","",INDEX(ResourceTable[Work],ROW()-ROW(ResourceSummary[[#Headers],[Resource]])))</f>
        <v/>
      </c>
      <c r="F17" s="69" t="str">
        <f aca="false">IF(ResourceSummary[[#This Row],[Resource]]="","",SUMIFS(tsk_LeafWorkDone,tsk_Resource,ResourceSummary[[#This Row],[Resource]])+SUMIFS(asg_WorkDone,asg_Resource,ResourceSummary[[#This Row],[Resource]]))</f>
        <v/>
      </c>
      <c r="G17" s="69" t="str">
        <f aca="false">IF(ResourceSummary[[#This Row],[Resource]]="","",ResourceSummary[[#This Row],[Work]]-ResourceSummary[[#This Row],[Work Done]])</f>
        <v/>
      </c>
      <c r="H17" s="69" t="str">
        <f aca="false">IF(ResourceSummary[[#This Row],[Resource]]="","",INDEX(ResourceTable[Cost],ROW()-ROW(ResourceSummary[[#Headers],[Resource]])))</f>
        <v/>
      </c>
      <c r="I17" s="69" t="str">
        <f aca="false">IF(ResourceSummary[[#This Row],[Resource]]="","",INDEX(ResourceTable[Actual Cost],ROW()-ROW(ResourceSummary[[#Headers],[Resource]])))</f>
        <v/>
      </c>
      <c r="J17" s="68" t="str">
        <f aca="false">IF(ResourceSummary[[#This Row],[Resource]]="","",COUNTIFS(tsk_Resource,ResourceSummary[[#This Row],[Resource]],tsk_LateKey,"&gt;0")+SUMIFS(asg_Late,asg_Resource,ResourceSummary[[#This Row],[Resource]]))</f>
        <v/>
      </c>
      <c r="K17" s="68" t="str">
        <f aca="false">IF(ResourceSummary[[#This Row],[Resource]]="","",COUNTIFS(tsk_Resource,ResourceSummary[[#This Row],[Resource]],tsk_Critical,"Yes",tsk_IsLeaf,1)+SUMIFS(asg_Critical,asg_Resource,ResourceSummary[[#This Row],[Resource]]))</f>
        <v/>
      </c>
      <c r="L17" s="66" t="str">
        <f aca="false">IF(ResourceSummary[[#This Row],[Resource]]="","",MAX(INDEX(rw_Load,ROW()-ROW(ResourceSummary[[#Headers],[Resource]]),0)))</f>
        <v/>
      </c>
      <c r="M17" s="40" t="str">
        <f aca="false">IF(ResourceSummary[[#This Row],[Resource]]="","",MAX(INDEX(rw_Util,ROW()-ROW(ResourceSummary[[#Headers],[Resource]]),0)))</f>
        <v/>
      </c>
      <c r="N17" s="68" t="str">
        <f aca="false">IF(ResourceSummary[[#This Row],[Resource]]="","",COUNTIF(INDEX(rw_Util,ROW()-ROW(ResourceSummary[[#Headers],[Resource]]),0),"&gt;1"))</f>
        <v/>
      </c>
      <c r="O17" s="70" t="str">
        <f aca="false">IF(ResourceSummary[[#This Row],[Resource]]="","",SUM(INDEX(rw_Leave,ROW()-ROW(ResourceSummary[[#Headers],[Resource]]),0)))</f>
        <v/>
      </c>
    </row>
    <row r="18" customFormat="false" ht="15" hidden="false" customHeight="false" outlineLevel="0" collapsed="false">
      <c r="B18" s="30" t="str">
        <f aca="false">IFERROR(INDEX(res_Name,ROW()-ROW(ResourceSummary[[#Headers],[Resource]]))&amp;"","")</f>
        <v/>
      </c>
      <c r="C18" s="40" t="str">
        <f aca="false">IF(ResourceSummary[[#This Row],[Resource]]="","",INDEX(ResourceTable[Max Units],ROW()-ROW(ResourceSummary[[#Headers],[Resource]])))</f>
        <v/>
      </c>
      <c r="D18" s="68" t="str">
        <f aca="false">IF(ResourceSummary[[#This Row],[Resource]]="","",INDEX(ResourceTable[Tasks],ROW()-ROW(ResourceSummary[[#Headers],[Resource]])))</f>
        <v/>
      </c>
      <c r="E18" s="69" t="str">
        <f aca="false">IF(ResourceSummary[[#This Row],[Resource]]="","",INDEX(ResourceTable[Work],ROW()-ROW(ResourceSummary[[#Headers],[Resource]])))</f>
        <v/>
      </c>
      <c r="F18" s="69" t="str">
        <f aca="false">IF(ResourceSummary[[#This Row],[Resource]]="","",SUMIFS(tsk_LeafWorkDone,tsk_Resource,ResourceSummary[[#This Row],[Resource]])+SUMIFS(asg_WorkDone,asg_Resource,ResourceSummary[[#This Row],[Resource]]))</f>
        <v/>
      </c>
      <c r="G18" s="69" t="str">
        <f aca="false">IF(ResourceSummary[[#This Row],[Resource]]="","",ResourceSummary[[#This Row],[Work]]-ResourceSummary[[#This Row],[Work Done]])</f>
        <v/>
      </c>
      <c r="H18" s="69" t="str">
        <f aca="false">IF(ResourceSummary[[#This Row],[Resource]]="","",INDEX(ResourceTable[Cost],ROW()-ROW(ResourceSummary[[#Headers],[Resource]])))</f>
        <v/>
      </c>
      <c r="I18" s="69" t="str">
        <f aca="false">IF(ResourceSummary[[#This Row],[Resource]]="","",INDEX(ResourceTable[Actual Cost],ROW()-ROW(ResourceSummary[[#Headers],[Resource]])))</f>
        <v/>
      </c>
      <c r="J18" s="68" t="str">
        <f aca="false">IF(ResourceSummary[[#This Row],[Resource]]="","",COUNTIFS(tsk_Resource,ResourceSummary[[#This Row],[Resource]],tsk_LateKey,"&gt;0")+SUMIFS(asg_Late,asg_Resource,ResourceSummary[[#This Row],[Resource]]))</f>
        <v/>
      </c>
      <c r="K18" s="68" t="str">
        <f aca="false">IF(ResourceSummary[[#This Row],[Resource]]="","",COUNTIFS(tsk_Resource,ResourceSummary[[#This Row],[Resource]],tsk_Critical,"Yes",tsk_IsLeaf,1)+SUMIFS(asg_Critical,asg_Resource,ResourceSummary[[#This Row],[Resource]]))</f>
        <v/>
      </c>
      <c r="L18" s="66" t="str">
        <f aca="false">IF(ResourceSummary[[#This Row],[Resource]]="","",MAX(INDEX(rw_Load,ROW()-ROW(ResourceSummary[[#Headers],[Resource]]),0)))</f>
        <v/>
      </c>
      <c r="M18" s="40" t="str">
        <f aca="false">IF(ResourceSummary[[#This Row],[Resource]]="","",MAX(INDEX(rw_Util,ROW()-ROW(ResourceSummary[[#Headers],[Resource]]),0)))</f>
        <v/>
      </c>
      <c r="N18" s="68" t="str">
        <f aca="false">IF(ResourceSummary[[#This Row],[Resource]]="","",COUNTIF(INDEX(rw_Util,ROW()-ROW(ResourceSummary[[#Headers],[Resource]]),0),"&gt;1"))</f>
        <v/>
      </c>
      <c r="O18" s="70" t="str">
        <f aca="false">IF(ResourceSummary[[#This Row],[Resource]]="","",SUM(INDEX(rw_Leave,ROW()-ROW(ResourceSummary[[#Headers],[Resource]]),0)))</f>
        <v/>
      </c>
    </row>
    <row r="19" customFormat="false" ht="15" hidden="false" customHeight="false" outlineLevel="0" collapsed="false">
      <c r="B19" s="30" t="str">
        <f aca="false">IFERROR(INDEX(res_Name,ROW()-ROW(ResourceSummary[[#Headers],[Resource]]))&amp;"","")</f>
        <v/>
      </c>
      <c r="C19" s="40" t="str">
        <f aca="false">IF(ResourceSummary[[#This Row],[Resource]]="","",INDEX(ResourceTable[Max Units],ROW()-ROW(ResourceSummary[[#Headers],[Resource]])))</f>
        <v/>
      </c>
      <c r="D19" s="68" t="str">
        <f aca="false">IF(ResourceSummary[[#This Row],[Resource]]="","",INDEX(ResourceTable[Tasks],ROW()-ROW(ResourceSummary[[#Headers],[Resource]])))</f>
        <v/>
      </c>
      <c r="E19" s="69" t="str">
        <f aca="false">IF(ResourceSummary[[#This Row],[Resource]]="","",INDEX(ResourceTable[Work],ROW()-ROW(ResourceSummary[[#Headers],[Resource]])))</f>
        <v/>
      </c>
      <c r="F19" s="69" t="str">
        <f aca="false">IF(ResourceSummary[[#This Row],[Resource]]="","",SUMIFS(tsk_LeafWorkDone,tsk_Resource,ResourceSummary[[#This Row],[Resource]])+SUMIFS(asg_WorkDone,asg_Resource,ResourceSummary[[#This Row],[Resource]]))</f>
        <v/>
      </c>
      <c r="G19" s="69" t="str">
        <f aca="false">IF(ResourceSummary[[#This Row],[Resource]]="","",ResourceSummary[[#This Row],[Work]]-ResourceSummary[[#This Row],[Work Done]])</f>
        <v/>
      </c>
      <c r="H19" s="69" t="str">
        <f aca="false">IF(ResourceSummary[[#This Row],[Resource]]="","",INDEX(ResourceTable[Cost],ROW()-ROW(ResourceSummary[[#Headers],[Resource]])))</f>
        <v/>
      </c>
      <c r="I19" s="69" t="str">
        <f aca="false">IF(ResourceSummary[[#This Row],[Resource]]="","",INDEX(ResourceTable[Actual Cost],ROW()-ROW(ResourceSummary[[#Headers],[Resource]])))</f>
        <v/>
      </c>
      <c r="J19" s="68" t="str">
        <f aca="false">IF(ResourceSummary[[#This Row],[Resource]]="","",COUNTIFS(tsk_Resource,ResourceSummary[[#This Row],[Resource]],tsk_LateKey,"&gt;0")+SUMIFS(asg_Late,asg_Resource,ResourceSummary[[#This Row],[Resource]]))</f>
        <v/>
      </c>
      <c r="K19" s="68" t="str">
        <f aca="false">IF(ResourceSummary[[#This Row],[Resource]]="","",COUNTIFS(tsk_Resource,ResourceSummary[[#This Row],[Resource]],tsk_Critical,"Yes",tsk_IsLeaf,1)+SUMIFS(asg_Critical,asg_Resource,ResourceSummary[[#This Row],[Resource]]))</f>
        <v/>
      </c>
      <c r="L19" s="66" t="str">
        <f aca="false">IF(ResourceSummary[[#This Row],[Resource]]="","",MAX(INDEX(rw_Load,ROW()-ROW(ResourceSummary[[#Headers],[Resource]]),0)))</f>
        <v/>
      </c>
      <c r="M19" s="40" t="str">
        <f aca="false">IF(ResourceSummary[[#This Row],[Resource]]="","",MAX(INDEX(rw_Util,ROW()-ROW(ResourceSummary[[#Headers],[Resource]]),0)))</f>
        <v/>
      </c>
      <c r="N19" s="68" t="str">
        <f aca="false">IF(ResourceSummary[[#This Row],[Resource]]="","",COUNTIF(INDEX(rw_Util,ROW()-ROW(ResourceSummary[[#Headers],[Resource]]),0),"&gt;1"))</f>
        <v/>
      </c>
      <c r="O19" s="70" t="str">
        <f aca="false">IF(ResourceSummary[[#This Row],[Resource]]="","",SUM(INDEX(rw_Leave,ROW()-ROW(ResourceSummary[[#Headers],[Resource]]),0)))</f>
        <v/>
      </c>
    </row>
    <row r="20" customFormat="false" ht="15" hidden="false" customHeight="false" outlineLevel="0" collapsed="false">
      <c r="B20" s="30" t="str">
        <f aca="false">IFERROR(INDEX(res_Name,ROW()-ROW(ResourceSummary[[#Headers],[Resource]]))&amp;"","")</f>
        <v/>
      </c>
      <c r="C20" s="40" t="str">
        <f aca="false">IF(ResourceSummary[[#This Row],[Resource]]="","",INDEX(ResourceTable[Max Units],ROW()-ROW(ResourceSummary[[#Headers],[Resource]])))</f>
        <v/>
      </c>
      <c r="D20" s="68" t="str">
        <f aca="false">IF(ResourceSummary[[#This Row],[Resource]]="","",INDEX(ResourceTable[Tasks],ROW()-ROW(ResourceSummary[[#Headers],[Resource]])))</f>
        <v/>
      </c>
      <c r="E20" s="69" t="str">
        <f aca="false">IF(ResourceSummary[[#This Row],[Resource]]="","",INDEX(ResourceTable[Work],ROW()-ROW(ResourceSummary[[#Headers],[Resource]])))</f>
        <v/>
      </c>
      <c r="F20" s="69" t="str">
        <f aca="false">IF(ResourceSummary[[#This Row],[Resource]]="","",SUMIFS(tsk_LeafWorkDone,tsk_Resource,ResourceSummary[[#This Row],[Resource]])+SUMIFS(asg_WorkDone,asg_Resource,ResourceSummary[[#This Row],[Resource]]))</f>
        <v/>
      </c>
      <c r="G20" s="69" t="str">
        <f aca="false">IF(ResourceSummary[[#This Row],[Resource]]="","",ResourceSummary[[#This Row],[Work]]-ResourceSummary[[#This Row],[Work Done]])</f>
        <v/>
      </c>
      <c r="H20" s="69" t="str">
        <f aca="false">IF(ResourceSummary[[#This Row],[Resource]]="","",INDEX(ResourceTable[Cost],ROW()-ROW(ResourceSummary[[#Headers],[Resource]])))</f>
        <v/>
      </c>
      <c r="I20" s="69" t="str">
        <f aca="false">IF(ResourceSummary[[#This Row],[Resource]]="","",INDEX(ResourceTable[Actual Cost],ROW()-ROW(ResourceSummary[[#Headers],[Resource]])))</f>
        <v/>
      </c>
      <c r="J20" s="68" t="str">
        <f aca="false">IF(ResourceSummary[[#This Row],[Resource]]="","",COUNTIFS(tsk_Resource,ResourceSummary[[#This Row],[Resource]],tsk_LateKey,"&gt;0")+SUMIFS(asg_Late,asg_Resource,ResourceSummary[[#This Row],[Resource]]))</f>
        <v/>
      </c>
      <c r="K20" s="68" t="str">
        <f aca="false">IF(ResourceSummary[[#This Row],[Resource]]="","",COUNTIFS(tsk_Resource,ResourceSummary[[#This Row],[Resource]],tsk_Critical,"Yes",tsk_IsLeaf,1)+SUMIFS(asg_Critical,asg_Resource,ResourceSummary[[#This Row],[Resource]]))</f>
        <v/>
      </c>
      <c r="L20" s="66" t="str">
        <f aca="false">IF(ResourceSummary[[#This Row],[Resource]]="","",MAX(INDEX(rw_Load,ROW()-ROW(ResourceSummary[[#Headers],[Resource]]),0)))</f>
        <v/>
      </c>
      <c r="M20" s="40" t="str">
        <f aca="false">IF(ResourceSummary[[#This Row],[Resource]]="","",MAX(INDEX(rw_Util,ROW()-ROW(ResourceSummary[[#Headers],[Resource]]),0)))</f>
        <v/>
      </c>
      <c r="N20" s="68" t="str">
        <f aca="false">IF(ResourceSummary[[#This Row],[Resource]]="","",COUNTIF(INDEX(rw_Util,ROW()-ROW(ResourceSummary[[#Headers],[Resource]]),0),"&gt;1"))</f>
        <v/>
      </c>
      <c r="O20" s="70" t="str">
        <f aca="false">IF(ResourceSummary[[#This Row],[Resource]]="","",SUM(INDEX(rw_Leave,ROW()-ROW(ResourceSummary[[#Headers],[Resource]]),0)))</f>
        <v/>
      </c>
    </row>
    <row r="21" customFormat="false" ht="15" hidden="false" customHeight="false" outlineLevel="0" collapsed="false">
      <c r="B21" s="30" t="str">
        <f aca="false">IFERROR(INDEX(res_Name,ROW()-ROW(ResourceSummary[[#Headers],[Resource]]))&amp;"","")</f>
        <v/>
      </c>
      <c r="C21" s="40" t="str">
        <f aca="false">IF(ResourceSummary[[#This Row],[Resource]]="","",INDEX(ResourceTable[Max Units],ROW()-ROW(ResourceSummary[[#Headers],[Resource]])))</f>
        <v/>
      </c>
      <c r="D21" s="68" t="str">
        <f aca="false">IF(ResourceSummary[[#This Row],[Resource]]="","",INDEX(ResourceTable[Tasks],ROW()-ROW(ResourceSummary[[#Headers],[Resource]])))</f>
        <v/>
      </c>
      <c r="E21" s="69" t="str">
        <f aca="false">IF(ResourceSummary[[#This Row],[Resource]]="","",INDEX(ResourceTable[Work],ROW()-ROW(ResourceSummary[[#Headers],[Resource]])))</f>
        <v/>
      </c>
      <c r="F21" s="69" t="str">
        <f aca="false">IF(ResourceSummary[[#This Row],[Resource]]="","",SUMIFS(tsk_LeafWorkDone,tsk_Resource,ResourceSummary[[#This Row],[Resource]])+SUMIFS(asg_WorkDone,asg_Resource,ResourceSummary[[#This Row],[Resource]]))</f>
        <v/>
      </c>
      <c r="G21" s="69" t="str">
        <f aca="false">IF(ResourceSummary[[#This Row],[Resource]]="","",ResourceSummary[[#This Row],[Work]]-ResourceSummary[[#This Row],[Work Done]])</f>
        <v/>
      </c>
      <c r="H21" s="69" t="str">
        <f aca="false">IF(ResourceSummary[[#This Row],[Resource]]="","",INDEX(ResourceTable[Cost],ROW()-ROW(ResourceSummary[[#Headers],[Resource]])))</f>
        <v/>
      </c>
      <c r="I21" s="69" t="str">
        <f aca="false">IF(ResourceSummary[[#This Row],[Resource]]="","",INDEX(ResourceTable[Actual Cost],ROW()-ROW(ResourceSummary[[#Headers],[Resource]])))</f>
        <v/>
      </c>
      <c r="J21" s="68" t="str">
        <f aca="false">IF(ResourceSummary[[#This Row],[Resource]]="","",COUNTIFS(tsk_Resource,ResourceSummary[[#This Row],[Resource]],tsk_LateKey,"&gt;0")+SUMIFS(asg_Late,asg_Resource,ResourceSummary[[#This Row],[Resource]]))</f>
        <v/>
      </c>
      <c r="K21" s="68" t="str">
        <f aca="false">IF(ResourceSummary[[#This Row],[Resource]]="","",COUNTIFS(tsk_Resource,ResourceSummary[[#This Row],[Resource]],tsk_Critical,"Yes",tsk_IsLeaf,1)+SUMIFS(asg_Critical,asg_Resource,ResourceSummary[[#This Row],[Resource]]))</f>
        <v/>
      </c>
      <c r="L21" s="66" t="str">
        <f aca="false">IF(ResourceSummary[[#This Row],[Resource]]="","",MAX(INDEX(rw_Load,ROW()-ROW(ResourceSummary[[#Headers],[Resource]]),0)))</f>
        <v/>
      </c>
      <c r="M21" s="40" t="str">
        <f aca="false">IF(ResourceSummary[[#This Row],[Resource]]="","",MAX(INDEX(rw_Util,ROW()-ROW(ResourceSummary[[#Headers],[Resource]]),0)))</f>
        <v/>
      </c>
      <c r="N21" s="68" t="str">
        <f aca="false">IF(ResourceSummary[[#This Row],[Resource]]="","",COUNTIF(INDEX(rw_Util,ROW()-ROW(ResourceSummary[[#Headers],[Resource]]),0),"&gt;1"))</f>
        <v/>
      </c>
      <c r="O21" s="70" t="str">
        <f aca="false">IF(ResourceSummary[[#This Row],[Resource]]="","",SUM(INDEX(rw_Leave,ROW()-ROW(ResourceSummary[[#Headers],[Resource]]),0)))</f>
        <v/>
      </c>
    </row>
    <row r="22" customFormat="false" ht="15" hidden="false" customHeight="false" outlineLevel="0" collapsed="false">
      <c r="B22" s="30" t="str">
        <f aca="false">IFERROR(INDEX(res_Name,ROW()-ROW(ResourceSummary[[#Headers],[Resource]]))&amp;"","")</f>
        <v/>
      </c>
      <c r="C22" s="40" t="str">
        <f aca="false">IF(ResourceSummary[[#This Row],[Resource]]="","",INDEX(ResourceTable[Max Units],ROW()-ROW(ResourceSummary[[#Headers],[Resource]])))</f>
        <v/>
      </c>
      <c r="D22" s="68" t="str">
        <f aca="false">IF(ResourceSummary[[#This Row],[Resource]]="","",INDEX(ResourceTable[Tasks],ROW()-ROW(ResourceSummary[[#Headers],[Resource]])))</f>
        <v/>
      </c>
      <c r="E22" s="69" t="str">
        <f aca="false">IF(ResourceSummary[[#This Row],[Resource]]="","",INDEX(ResourceTable[Work],ROW()-ROW(ResourceSummary[[#Headers],[Resource]])))</f>
        <v/>
      </c>
      <c r="F22" s="69" t="str">
        <f aca="false">IF(ResourceSummary[[#This Row],[Resource]]="","",SUMIFS(tsk_LeafWorkDone,tsk_Resource,ResourceSummary[[#This Row],[Resource]])+SUMIFS(asg_WorkDone,asg_Resource,ResourceSummary[[#This Row],[Resource]]))</f>
        <v/>
      </c>
      <c r="G22" s="69" t="str">
        <f aca="false">IF(ResourceSummary[[#This Row],[Resource]]="","",ResourceSummary[[#This Row],[Work]]-ResourceSummary[[#This Row],[Work Done]])</f>
        <v/>
      </c>
      <c r="H22" s="69" t="str">
        <f aca="false">IF(ResourceSummary[[#This Row],[Resource]]="","",INDEX(ResourceTable[Cost],ROW()-ROW(ResourceSummary[[#Headers],[Resource]])))</f>
        <v/>
      </c>
      <c r="I22" s="69" t="str">
        <f aca="false">IF(ResourceSummary[[#This Row],[Resource]]="","",INDEX(ResourceTable[Actual Cost],ROW()-ROW(ResourceSummary[[#Headers],[Resource]])))</f>
        <v/>
      </c>
      <c r="J22" s="68" t="str">
        <f aca="false">IF(ResourceSummary[[#This Row],[Resource]]="","",COUNTIFS(tsk_Resource,ResourceSummary[[#This Row],[Resource]],tsk_LateKey,"&gt;0")+SUMIFS(asg_Late,asg_Resource,ResourceSummary[[#This Row],[Resource]]))</f>
        <v/>
      </c>
      <c r="K22" s="68" t="str">
        <f aca="false">IF(ResourceSummary[[#This Row],[Resource]]="","",COUNTIFS(tsk_Resource,ResourceSummary[[#This Row],[Resource]],tsk_Critical,"Yes",tsk_IsLeaf,1)+SUMIFS(asg_Critical,asg_Resource,ResourceSummary[[#This Row],[Resource]]))</f>
        <v/>
      </c>
      <c r="L22" s="66" t="str">
        <f aca="false">IF(ResourceSummary[[#This Row],[Resource]]="","",MAX(INDEX(rw_Load,ROW()-ROW(ResourceSummary[[#Headers],[Resource]]),0)))</f>
        <v/>
      </c>
      <c r="M22" s="40" t="str">
        <f aca="false">IF(ResourceSummary[[#This Row],[Resource]]="","",MAX(INDEX(rw_Util,ROW()-ROW(ResourceSummary[[#Headers],[Resource]]),0)))</f>
        <v/>
      </c>
      <c r="N22" s="68" t="str">
        <f aca="false">IF(ResourceSummary[[#This Row],[Resource]]="","",COUNTIF(INDEX(rw_Util,ROW()-ROW(ResourceSummary[[#Headers],[Resource]]),0),"&gt;1"))</f>
        <v/>
      </c>
      <c r="O22" s="70" t="str">
        <f aca="false">IF(ResourceSummary[[#This Row],[Resource]]="","",SUM(INDEX(rw_Leave,ROW()-ROW(ResourceSummary[[#Headers],[Resource]]),0)))</f>
        <v/>
      </c>
    </row>
    <row r="23" customFormat="false" ht="15" hidden="false" customHeight="false" outlineLevel="0" collapsed="false">
      <c r="B23" s="30" t="str">
        <f aca="false">IFERROR(INDEX(res_Name,ROW()-ROW(ResourceSummary[[#Headers],[Resource]]))&amp;"","")</f>
        <v/>
      </c>
      <c r="C23" s="40" t="str">
        <f aca="false">IF(ResourceSummary[[#This Row],[Resource]]="","",INDEX(ResourceTable[Max Units],ROW()-ROW(ResourceSummary[[#Headers],[Resource]])))</f>
        <v/>
      </c>
      <c r="D23" s="68" t="str">
        <f aca="false">IF(ResourceSummary[[#This Row],[Resource]]="","",INDEX(ResourceTable[Tasks],ROW()-ROW(ResourceSummary[[#Headers],[Resource]])))</f>
        <v/>
      </c>
      <c r="E23" s="69" t="str">
        <f aca="false">IF(ResourceSummary[[#This Row],[Resource]]="","",INDEX(ResourceTable[Work],ROW()-ROW(ResourceSummary[[#Headers],[Resource]])))</f>
        <v/>
      </c>
      <c r="F23" s="69" t="str">
        <f aca="false">IF(ResourceSummary[[#This Row],[Resource]]="","",SUMIFS(tsk_LeafWorkDone,tsk_Resource,ResourceSummary[[#This Row],[Resource]])+SUMIFS(asg_WorkDone,asg_Resource,ResourceSummary[[#This Row],[Resource]]))</f>
        <v/>
      </c>
      <c r="G23" s="69" t="str">
        <f aca="false">IF(ResourceSummary[[#This Row],[Resource]]="","",ResourceSummary[[#This Row],[Work]]-ResourceSummary[[#This Row],[Work Done]])</f>
        <v/>
      </c>
      <c r="H23" s="69" t="str">
        <f aca="false">IF(ResourceSummary[[#This Row],[Resource]]="","",INDEX(ResourceTable[Cost],ROW()-ROW(ResourceSummary[[#Headers],[Resource]])))</f>
        <v/>
      </c>
      <c r="I23" s="69" t="str">
        <f aca="false">IF(ResourceSummary[[#This Row],[Resource]]="","",INDEX(ResourceTable[Actual Cost],ROW()-ROW(ResourceSummary[[#Headers],[Resource]])))</f>
        <v/>
      </c>
      <c r="J23" s="68" t="str">
        <f aca="false">IF(ResourceSummary[[#This Row],[Resource]]="","",COUNTIFS(tsk_Resource,ResourceSummary[[#This Row],[Resource]],tsk_LateKey,"&gt;0")+SUMIFS(asg_Late,asg_Resource,ResourceSummary[[#This Row],[Resource]]))</f>
        <v/>
      </c>
      <c r="K23" s="68" t="str">
        <f aca="false">IF(ResourceSummary[[#This Row],[Resource]]="","",COUNTIFS(tsk_Resource,ResourceSummary[[#This Row],[Resource]],tsk_Critical,"Yes",tsk_IsLeaf,1)+SUMIFS(asg_Critical,asg_Resource,ResourceSummary[[#This Row],[Resource]]))</f>
        <v/>
      </c>
      <c r="L23" s="66" t="str">
        <f aca="false">IF(ResourceSummary[[#This Row],[Resource]]="","",MAX(INDEX(rw_Load,ROW()-ROW(ResourceSummary[[#Headers],[Resource]]),0)))</f>
        <v/>
      </c>
      <c r="M23" s="40" t="str">
        <f aca="false">IF(ResourceSummary[[#This Row],[Resource]]="","",MAX(INDEX(rw_Util,ROW()-ROW(ResourceSummary[[#Headers],[Resource]]),0)))</f>
        <v/>
      </c>
      <c r="N23" s="68" t="str">
        <f aca="false">IF(ResourceSummary[[#This Row],[Resource]]="","",COUNTIF(INDEX(rw_Util,ROW()-ROW(ResourceSummary[[#Headers],[Resource]]),0),"&gt;1"))</f>
        <v/>
      </c>
      <c r="O23" s="70" t="str">
        <f aca="false">IF(ResourceSummary[[#This Row],[Resource]]="","",SUM(INDEX(rw_Leave,ROW()-ROW(ResourceSummary[[#Headers],[Resource]]),0)))</f>
        <v/>
      </c>
    </row>
    <row r="24" customFormat="false" ht="15" hidden="false" customHeight="false" outlineLevel="0" collapsed="false">
      <c r="B24" s="30" t="str">
        <f aca="false">IFERROR(INDEX(res_Name,ROW()-ROW(ResourceSummary[[#Headers],[Resource]]))&amp;"","")</f>
        <v/>
      </c>
      <c r="C24" s="40" t="str">
        <f aca="false">IF(ResourceSummary[[#This Row],[Resource]]="","",INDEX(ResourceTable[Max Units],ROW()-ROW(ResourceSummary[[#Headers],[Resource]])))</f>
        <v/>
      </c>
      <c r="D24" s="68" t="str">
        <f aca="false">IF(ResourceSummary[[#This Row],[Resource]]="","",INDEX(ResourceTable[Tasks],ROW()-ROW(ResourceSummary[[#Headers],[Resource]])))</f>
        <v/>
      </c>
      <c r="E24" s="69" t="str">
        <f aca="false">IF(ResourceSummary[[#This Row],[Resource]]="","",INDEX(ResourceTable[Work],ROW()-ROW(ResourceSummary[[#Headers],[Resource]])))</f>
        <v/>
      </c>
      <c r="F24" s="69" t="str">
        <f aca="false">IF(ResourceSummary[[#This Row],[Resource]]="","",SUMIFS(tsk_LeafWorkDone,tsk_Resource,ResourceSummary[[#This Row],[Resource]])+SUMIFS(asg_WorkDone,asg_Resource,ResourceSummary[[#This Row],[Resource]]))</f>
        <v/>
      </c>
      <c r="G24" s="69" t="str">
        <f aca="false">IF(ResourceSummary[[#This Row],[Resource]]="","",ResourceSummary[[#This Row],[Work]]-ResourceSummary[[#This Row],[Work Done]])</f>
        <v/>
      </c>
      <c r="H24" s="69" t="str">
        <f aca="false">IF(ResourceSummary[[#This Row],[Resource]]="","",INDEX(ResourceTable[Cost],ROW()-ROW(ResourceSummary[[#Headers],[Resource]])))</f>
        <v/>
      </c>
      <c r="I24" s="69" t="str">
        <f aca="false">IF(ResourceSummary[[#This Row],[Resource]]="","",INDEX(ResourceTable[Actual Cost],ROW()-ROW(ResourceSummary[[#Headers],[Resource]])))</f>
        <v/>
      </c>
      <c r="J24" s="68" t="str">
        <f aca="false">IF(ResourceSummary[[#This Row],[Resource]]="","",COUNTIFS(tsk_Resource,ResourceSummary[[#This Row],[Resource]],tsk_LateKey,"&gt;0")+SUMIFS(asg_Late,asg_Resource,ResourceSummary[[#This Row],[Resource]]))</f>
        <v/>
      </c>
      <c r="K24" s="68" t="str">
        <f aca="false">IF(ResourceSummary[[#This Row],[Resource]]="","",COUNTIFS(tsk_Resource,ResourceSummary[[#This Row],[Resource]],tsk_Critical,"Yes",tsk_IsLeaf,1)+SUMIFS(asg_Critical,asg_Resource,ResourceSummary[[#This Row],[Resource]]))</f>
        <v/>
      </c>
      <c r="L24" s="66" t="str">
        <f aca="false">IF(ResourceSummary[[#This Row],[Resource]]="","",MAX(INDEX(rw_Load,ROW()-ROW(ResourceSummary[[#Headers],[Resource]]),0)))</f>
        <v/>
      </c>
      <c r="M24" s="40" t="str">
        <f aca="false">IF(ResourceSummary[[#This Row],[Resource]]="","",MAX(INDEX(rw_Util,ROW()-ROW(ResourceSummary[[#Headers],[Resource]]),0)))</f>
        <v/>
      </c>
      <c r="N24" s="68" t="str">
        <f aca="false">IF(ResourceSummary[[#This Row],[Resource]]="","",COUNTIF(INDEX(rw_Util,ROW()-ROW(ResourceSummary[[#Headers],[Resource]]),0),"&gt;1"))</f>
        <v/>
      </c>
      <c r="O24" s="70" t="str">
        <f aca="false">IF(ResourceSummary[[#This Row],[Resource]]="","",SUM(INDEX(rw_Leave,ROW()-ROW(ResourceSummary[[#Headers],[Resource]]),0)))</f>
        <v/>
      </c>
    </row>
    <row r="25" customFormat="false" ht="15" hidden="false" customHeight="false" outlineLevel="0" collapsed="false">
      <c r="B25" s="30" t="str">
        <f aca="false">IFERROR(INDEX(res_Name,ROW()-ROW(ResourceSummary[[#Headers],[Resource]]))&amp;"","")</f>
        <v/>
      </c>
      <c r="C25" s="40" t="str">
        <f aca="false">IF(ResourceSummary[[#This Row],[Resource]]="","",INDEX(ResourceTable[Max Units],ROW()-ROW(ResourceSummary[[#Headers],[Resource]])))</f>
        <v/>
      </c>
      <c r="D25" s="68" t="str">
        <f aca="false">IF(ResourceSummary[[#This Row],[Resource]]="","",INDEX(ResourceTable[Tasks],ROW()-ROW(ResourceSummary[[#Headers],[Resource]])))</f>
        <v/>
      </c>
      <c r="E25" s="69" t="str">
        <f aca="false">IF(ResourceSummary[[#This Row],[Resource]]="","",INDEX(ResourceTable[Work],ROW()-ROW(ResourceSummary[[#Headers],[Resource]])))</f>
        <v/>
      </c>
      <c r="F25" s="69" t="str">
        <f aca="false">IF(ResourceSummary[[#This Row],[Resource]]="","",SUMIFS(tsk_LeafWorkDone,tsk_Resource,ResourceSummary[[#This Row],[Resource]])+SUMIFS(asg_WorkDone,asg_Resource,ResourceSummary[[#This Row],[Resource]]))</f>
        <v/>
      </c>
      <c r="G25" s="69" t="str">
        <f aca="false">IF(ResourceSummary[[#This Row],[Resource]]="","",ResourceSummary[[#This Row],[Work]]-ResourceSummary[[#This Row],[Work Done]])</f>
        <v/>
      </c>
      <c r="H25" s="69" t="str">
        <f aca="false">IF(ResourceSummary[[#This Row],[Resource]]="","",INDEX(ResourceTable[Cost],ROW()-ROW(ResourceSummary[[#Headers],[Resource]])))</f>
        <v/>
      </c>
      <c r="I25" s="69" t="str">
        <f aca="false">IF(ResourceSummary[[#This Row],[Resource]]="","",INDEX(ResourceTable[Actual Cost],ROW()-ROW(ResourceSummary[[#Headers],[Resource]])))</f>
        <v/>
      </c>
      <c r="J25" s="68" t="str">
        <f aca="false">IF(ResourceSummary[[#This Row],[Resource]]="","",COUNTIFS(tsk_Resource,ResourceSummary[[#This Row],[Resource]],tsk_LateKey,"&gt;0")+SUMIFS(asg_Late,asg_Resource,ResourceSummary[[#This Row],[Resource]]))</f>
        <v/>
      </c>
      <c r="K25" s="68" t="str">
        <f aca="false">IF(ResourceSummary[[#This Row],[Resource]]="","",COUNTIFS(tsk_Resource,ResourceSummary[[#This Row],[Resource]],tsk_Critical,"Yes",tsk_IsLeaf,1)+SUMIFS(asg_Critical,asg_Resource,ResourceSummary[[#This Row],[Resource]]))</f>
        <v/>
      </c>
      <c r="L25" s="66" t="str">
        <f aca="false">IF(ResourceSummary[[#This Row],[Resource]]="","",MAX(INDEX(rw_Load,ROW()-ROW(ResourceSummary[[#Headers],[Resource]]),0)))</f>
        <v/>
      </c>
      <c r="M25" s="40" t="str">
        <f aca="false">IF(ResourceSummary[[#This Row],[Resource]]="","",MAX(INDEX(rw_Util,ROW()-ROW(ResourceSummary[[#Headers],[Resource]]),0)))</f>
        <v/>
      </c>
      <c r="N25" s="68" t="str">
        <f aca="false">IF(ResourceSummary[[#This Row],[Resource]]="","",COUNTIF(INDEX(rw_Util,ROW()-ROW(ResourceSummary[[#Headers],[Resource]]),0),"&gt;1"))</f>
        <v/>
      </c>
      <c r="O25" s="70" t="str">
        <f aca="false">IF(ResourceSummary[[#This Row],[Resource]]="","",SUM(INDEX(rw_Leave,ROW()-ROW(ResourceSummary[[#Headers],[Resource]]),0)))</f>
        <v/>
      </c>
    </row>
    <row r="26" customFormat="false" ht="15" hidden="false" customHeight="false" outlineLevel="0" collapsed="false">
      <c r="B26" s="30" t="str">
        <f aca="false">IFERROR(INDEX(res_Name,ROW()-ROW(ResourceSummary[[#Headers],[Resource]]))&amp;"","")</f>
        <v/>
      </c>
      <c r="C26" s="40" t="str">
        <f aca="false">IF(ResourceSummary[[#This Row],[Resource]]="","",INDEX(ResourceTable[Max Units],ROW()-ROW(ResourceSummary[[#Headers],[Resource]])))</f>
        <v/>
      </c>
      <c r="D26" s="68" t="str">
        <f aca="false">IF(ResourceSummary[[#This Row],[Resource]]="","",INDEX(ResourceTable[Tasks],ROW()-ROW(ResourceSummary[[#Headers],[Resource]])))</f>
        <v/>
      </c>
      <c r="E26" s="69" t="str">
        <f aca="false">IF(ResourceSummary[[#This Row],[Resource]]="","",INDEX(ResourceTable[Work],ROW()-ROW(ResourceSummary[[#Headers],[Resource]])))</f>
        <v/>
      </c>
      <c r="F26" s="69" t="str">
        <f aca="false">IF(ResourceSummary[[#This Row],[Resource]]="","",SUMIFS(tsk_LeafWorkDone,tsk_Resource,ResourceSummary[[#This Row],[Resource]])+SUMIFS(asg_WorkDone,asg_Resource,ResourceSummary[[#This Row],[Resource]]))</f>
        <v/>
      </c>
      <c r="G26" s="69" t="str">
        <f aca="false">IF(ResourceSummary[[#This Row],[Resource]]="","",ResourceSummary[[#This Row],[Work]]-ResourceSummary[[#This Row],[Work Done]])</f>
        <v/>
      </c>
      <c r="H26" s="69" t="str">
        <f aca="false">IF(ResourceSummary[[#This Row],[Resource]]="","",INDEX(ResourceTable[Cost],ROW()-ROW(ResourceSummary[[#Headers],[Resource]])))</f>
        <v/>
      </c>
      <c r="I26" s="69" t="str">
        <f aca="false">IF(ResourceSummary[[#This Row],[Resource]]="","",INDEX(ResourceTable[Actual Cost],ROW()-ROW(ResourceSummary[[#Headers],[Resource]])))</f>
        <v/>
      </c>
      <c r="J26" s="68" t="str">
        <f aca="false">IF(ResourceSummary[[#This Row],[Resource]]="","",COUNTIFS(tsk_Resource,ResourceSummary[[#This Row],[Resource]],tsk_LateKey,"&gt;0")+SUMIFS(asg_Late,asg_Resource,ResourceSummary[[#This Row],[Resource]]))</f>
        <v/>
      </c>
      <c r="K26" s="68" t="str">
        <f aca="false">IF(ResourceSummary[[#This Row],[Resource]]="","",COUNTIFS(tsk_Resource,ResourceSummary[[#This Row],[Resource]],tsk_Critical,"Yes",tsk_IsLeaf,1)+SUMIFS(asg_Critical,asg_Resource,ResourceSummary[[#This Row],[Resource]]))</f>
        <v/>
      </c>
      <c r="L26" s="66" t="str">
        <f aca="false">IF(ResourceSummary[[#This Row],[Resource]]="","",MAX(INDEX(rw_Load,ROW()-ROW(ResourceSummary[[#Headers],[Resource]]),0)))</f>
        <v/>
      </c>
      <c r="M26" s="40" t="str">
        <f aca="false">IF(ResourceSummary[[#This Row],[Resource]]="","",MAX(INDEX(rw_Util,ROW()-ROW(ResourceSummary[[#Headers],[Resource]]),0)))</f>
        <v/>
      </c>
      <c r="N26" s="68" t="str">
        <f aca="false">IF(ResourceSummary[[#This Row],[Resource]]="","",COUNTIF(INDEX(rw_Util,ROW()-ROW(ResourceSummary[[#Headers],[Resource]]),0),"&gt;1"))</f>
        <v/>
      </c>
      <c r="O26" s="70" t="str">
        <f aca="false">IF(ResourceSummary[[#This Row],[Resource]]="","",SUM(INDEX(rw_Leave,ROW()-ROW(ResourceSummary[[#Headers],[Resource]]),0)))</f>
        <v/>
      </c>
    </row>
    <row r="27" customFormat="false" ht="15" hidden="false" customHeight="false" outlineLevel="0" collapsed="false">
      <c r="B27" s="30" t="str">
        <f aca="false">IFERROR(INDEX(res_Name,ROW()-ROW(ResourceSummary[[#Headers],[Resource]]))&amp;"","")</f>
        <v/>
      </c>
      <c r="C27" s="40" t="str">
        <f aca="false">IF(ResourceSummary[[#This Row],[Resource]]="","",INDEX(ResourceTable[Max Units],ROW()-ROW(ResourceSummary[[#Headers],[Resource]])))</f>
        <v/>
      </c>
      <c r="D27" s="68" t="str">
        <f aca="false">IF(ResourceSummary[[#This Row],[Resource]]="","",INDEX(ResourceTable[Tasks],ROW()-ROW(ResourceSummary[[#Headers],[Resource]])))</f>
        <v/>
      </c>
      <c r="E27" s="69" t="str">
        <f aca="false">IF(ResourceSummary[[#This Row],[Resource]]="","",INDEX(ResourceTable[Work],ROW()-ROW(ResourceSummary[[#Headers],[Resource]])))</f>
        <v/>
      </c>
      <c r="F27" s="69" t="str">
        <f aca="false">IF(ResourceSummary[[#This Row],[Resource]]="","",SUMIFS(tsk_LeafWorkDone,tsk_Resource,ResourceSummary[[#This Row],[Resource]])+SUMIFS(asg_WorkDone,asg_Resource,ResourceSummary[[#This Row],[Resource]]))</f>
        <v/>
      </c>
      <c r="G27" s="69" t="str">
        <f aca="false">IF(ResourceSummary[[#This Row],[Resource]]="","",ResourceSummary[[#This Row],[Work]]-ResourceSummary[[#This Row],[Work Done]])</f>
        <v/>
      </c>
      <c r="H27" s="69" t="str">
        <f aca="false">IF(ResourceSummary[[#This Row],[Resource]]="","",INDEX(ResourceTable[Cost],ROW()-ROW(ResourceSummary[[#Headers],[Resource]])))</f>
        <v/>
      </c>
      <c r="I27" s="69" t="str">
        <f aca="false">IF(ResourceSummary[[#This Row],[Resource]]="","",INDEX(ResourceTable[Actual Cost],ROW()-ROW(ResourceSummary[[#Headers],[Resource]])))</f>
        <v/>
      </c>
      <c r="J27" s="68" t="str">
        <f aca="false">IF(ResourceSummary[[#This Row],[Resource]]="","",COUNTIFS(tsk_Resource,ResourceSummary[[#This Row],[Resource]],tsk_LateKey,"&gt;0")+SUMIFS(asg_Late,asg_Resource,ResourceSummary[[#This Row],[Resource]]))</f>
        <v/>
      </c>
      <c r="K27" s="68" t="str">
        <f aca="false">IF(ResourceSummary[[#This Row],[Resource]]="","",COUNTIFS(tsk_Resource,ResourceSummary[[#This Row],[Resource]],tsk_Critical,"Yes",tsk_IsLeaf,1)+SUMIFS(asg_Critical,asg_Resource,ResourceSummary[[#This Row],[Resource]]))</f>
        <v/>
      </c>
      <c r="L27" s="66" t="str">
        <f aca="false">IF(ResourceSummary[[#This Row],[Resource]]="","",MAX(INDEX(rw_Load,ROW()-ROW(ResourceSummary[[#Headers],[Resource]]),0)))</f>
        <v/>
      </c>
      <c r="M27" s="40" t="str">
        <f aca="false">IF(ResourceSummary[[#This Row],[Resource]]="","",MAX(INDEX(rw_Util,ROW()-ROW(ResourceSummary[[#Headers],[Resource]]),0)))</f>
        <v/>
      </c>
      <c r="N27" s="68" t="str">
        <f aca="false">IF(ResourceSummary[[#This Row],[Resource]]="","",COUNTIF(INDEX(rw_Util,ROW()-ROW(ResourceSummary[[#Headers],[Resource]]),0),"&gt;1"))</f>
        <v/>
      </c>
      <c r="O27" s="70" t="str">
        <f aca="false">IF(ResourceSummary[[#This Row],[Resource]]="","",SUM(INDEX(rw_Leave,ROW()-ROW(ResourceSummary[[#Headers],[Resource]]),0)))</f>
        <v/>
      </c>
    </row>
    <row r="28" customFormat="false" ht="15" hidden="false" customHeight="false" outlineLevel="0" collapsed="false">
      <c r="B28" s="30" t="str">
        <f aca="false">IFERROR(INDEX(res_Name,ROW()-ROW(ResourceSummary[[#Headers],[Resource]]))&amp;"","")</f>
        <v/>
      </c>
      <c r="C28" s="40" t="str">
        <f aca="false">IF(ResourceSummary[[#This Row],[Resource]]="","",INDEX(ResourceTable[Max Units],ROW()-ROW(ResourceSummary[[#Headers],[Resource]])))</f>
        <v/>
      </c>
      <c r="D28" s="68" t="str">
        <f aca="false">IF(ResourceSummary[[#This Row],[Resource]]="","",INDEX(ResourceTable[Tasks],ROW()-ROW(ResourceSummary[[#Headers],[Resource]])))</f>
        <v/>
      </c>
      <c r="E28" s="69" t="str">
        <f aca="false">IF(ResourceSummary[[#This Row],[Resource]]="","",INDEX(ResourceTable[Work],ROW()-ROW(ResourceSummary[[#Headers],[Resource]])))</f>
        <v/>
      </c>
      <c r="F28" s="69" t="str">
        <f aca="false">IF(ResourceSummary[[#This Row],[Resource]]="","",SUMIFS(tsk_LeafWorkDone,tsk_Resource,ResourceSummary[[#This Row],[Resource]])+SUMIFS(asg_WorkDone,asg_Resource,ResourceSummary[[#This Row],[Resource]]))</f>
        <v/>
      </c>
      <c r="G28" s="69" t="str">
        <f aca="false">IF(ResourceSummary[[#This Row],[Resource]]="","",ResourceSummary[[#This Row],[Work]]-ResourceSummary[[#This Row],[Work Done]])</f>
        <v/>
      </c>
      <c r="H28" s="69" t="str">
        <f aca="false">IF(ResourceSummary[[#This Row],[Resource]]="","",INDEX(ResourceTable[Cost],ROW()-ROW(ResourceSummary[[#Headers],[Resource]])))</f>
        <v/>
      </c>
      <c r="I28" s="69" t="str">
        <f aca="false">IF(ResourceSummary[[#This Row],[Resource]]="","",INDEX(ResourceTable[Actual Cost],ROW()-ROW(ResourceSummary[[#Headers],[Resource]])))</f>
        <v/>
      </c>
      <c r="J28" s="68" t="str">
        <f aca="false">IF(ResourceSummary[[#This Row],[Resource]]="","",COUNTIFS(tsk_Resource,ResourceSummary[[#This Row],[Resource]],tsk_LateKey,"&gt;0")+SUMIFS(asg_Late,asg_Resource,ResourceSummary[[#This Row],[Resource]]))</f>
        <v/>
      </c>
      <c r="K28" s="68" t="str">
        <f aca="false">IF(ResourceSummary[[#This Row],[Resource]]="","",COUNTIFS(tsk_Resource,ResourceSummary[[#This Row],[Resource]],tsk_Critical,"Yes",tsk_IsLeaf,1)+SUMIFS(asg_Critical,asg_Resource,ResourceSummary[[#This Row],[Resource]]))</f>
        <v/>
      </c>
      <c r="L28" s="66" t="str">
        <f aca="false">IF(ResourceSummary[[#This Row],[Resource]]="","",MAX(INDEX(rw_Load,ROW()-ROW(ResourceSummary[[#Headers],[Resource]]),0)))</f>
        <v/>
      </c>
      <c r="M28" s="40" t="str">
        <f aca="false">IF(ResourceSummary[[#This Row],[Resource]]="","",MAX(INDEX(rw_Util,ROW()-ROW(ResourceSummary[[#Headers],[Resource]]),0)))</f>
        <v/>
      </c>
      <c r="N28" s="68" t="str">
        <f aca="false">IF(ResourceSummary[[#This Row],[Resource]]="","",COUNTIF(INDEX(rw_Util,ROW()-ROW(ResourceSummary[[#Headers],[Resource]]),0),"&gt;1"))</f>
        <v/>
      </c>
      <c r="O28" s="70" t="str">
        <f aca="false">IF(ResourceSummary[[#This Row],[Resource]]="","",SUM(INDEX(rw_Leave,ROW()-ROW(ResourceSummary[[#Headers],[Resource]]),0)))</f>
        <v/>
      </c>
    </row>
    <row r="29" customFormat="false" ht="15" hidden="false" customHeight="false" outlineLevel="0" collapsed="false">
      <c r="B29" s="30" t="str">
        <f aca="false">IFERROR(INDEX(res_Name,ROW()-ROW(ResourceSummary[[#Headers],[Resource]]))&amp;"","")</f>
        <v/>
      </c>
      <c r="C29" s="40" t="str">
        <f aca="false">IF(ResourceSummary[[#This Row],[Resource]]="","",INDEX(ResourceTable[Max Units],ROW()-ROW(ResourceSummary[[#Headers],[Resource]])))</f>
        <v/>
      </c>
      <c r="D29" s="68" t="str">
        <f aca="false">IF(ResourceSummary[[#This Row],[Resource]]="","",INDEX(ResourceTable[Tasks],ROW()-ROW(ResourceSummary[[#Headers],[Resource]])))</f>
        <v/>
      </c>
      <c r="E29" s="69" t="str">
        <f aca="false">IF(ResourceSummary[[#This Row],[Resource]]="","",INDEX(ResourceTable[Work],ROW()-ROW(ResourceSummary[[#Headers],[Resource]])))</f>
        <v/>
      </c>
      <c r="F29" s="69" t="str">
        <f aca="false">IF(ResourceSummary[[#This Row],[Resource]]="","",SUMIFS(tsk_LeafWorkDone,tsk_Resource,ResourceSummary[[#This Row],[Resource]])+SUMIFS(asg_WorkDone,asg_Resource,ResourceSummary[[#This Row],[Resource]]))</f>
        <v/>
      </c>
      <c r="G29" s="69" t="str">
        <f aca="false">IF(ResourceSummary[[#This Row],[Resource]]="","",ResourceSummary[[#This Row],[Work]]-ResourceSummary[[#This Row],[Work Done]])</f>
        <v/>
      </c>
      <c r="H29" s="69" t="str">
        <f aca="false">IF(ResourceSummary[[#This Row],[Resource]]="","",INDEX(ResourceTable[Cost],ROW()-ROW(ResourceSummary[[#Headers],[Resource]])))</f>
        <v/>
      </c>
      <c r="I29" s="69" t="str">
        <f aca="false">IF(ResourceSummary[[#This Row],[Resource]]="","",INDEX(ResourceTable[Actual Cost],ROW()-ROW(ResourceSummary[[#Headers],[Resource]])))</f>
        <v/>
      </c>
      <c r="J29" s="68" t="str">
        <f aca="false">IF(ResourceSummary[[#This Row],[Resource]]="","",COUNTIFS(tsk_Resource,ResourceSummary[[#This Row],[Resource]],tsk_LateKey,"&gt;0")+SUMIFS(asg_Late,asg_Resource,ResourceSummary[[#This Row],[Resource]]))</f>
        <v/>
      </c>
      <c r="K29" s="68" t="str">
        <f aca="false">IF(ResourceSummary[[#This Row],[Resource]]="","",COUNTIFS(tsk_Resource,ResourceSummary[[#This Row],[Resource]],tsk_Critical,"Yes",tsk_IsLeaf,1)+SUMIFS(asg_Critical,asg_Resource,ResourceSummary[[#This Row],[Resource]]))</f>
        <v/>
      </c>
      <c r="L29" s="66" t="str">
        <f aca="false">IF(ResourceSummary[[#This Row],[Resource]]="","",MAX(INDEX(rw_Load,ROW()-ROW(ResourceSummary[[#Headers],[Resource]]),0)))</f>
        <v/>
      </c>
      <c r="M29" s="40" t="str">
        <f aca="false">IF(ResourceSummary[[#This Row],[Resource]]="","",MAX(INDEX(rw_Util,ROW()-ROW(ResourceSummary[[#Headers],[Resource]]),0)))</f>
        <v/>
      </c>
      <c r="N29" s="68" t="str">
        <f aca="false">IF(ResourceSummary[[#This Row],[Resource]]="","",COUNTIF(INDEX(rw_Util,ROW()-ROW(ResourceSummary[[#Headers],[Resource]]),0),"&gt;1"))</f>
        <v/>
      </c>
      <c r="O29" s="70" t="str">
        <f aca="false">IF(ResourceSummary[[#This Row],[Resource]]="","",SUM(INDEX(rw_Leave,ROW()-ROW(ResourceSummary[[#Headers],[Resource]]),0)))</f>
        <v/>
      </c>
    </row>
    <row r="30" customFormat="false" ht="15" hidden="false" customHeight="false" outlineLevel="0" collapsed="false">
      <c r="B30" s="30" t="str">
        <f aca="false">IFERROR(INDEX(res_Name,ROW()-ROW(ResourceSummary[[#Headers],[Resource]]))&amp;"","")</f>
        <v/>
      </c>
      <c r="C30" s="40" t="str">
        <f aca="false">IF(ResourceSummary[[#This Row],[Resource]]="","",INDEX(ResourceTable[Max Units],ROW()-ROW(ResourceSummary[[#Headers],[Resource]])))</f>
        <v/>
      </c>
      <c r="D30" s="68" t="str">
        <f aca="false">IF(ResourceSummary[[#This Row],[Resource]]="","",INDEX(ResourceTable[Tasks],ROW()-ROW(ResourceSummary[[#Headers],[Resource]])))</f>
        <v/>
      </c>
      <c r="E30" s="69" t="str">
        <f aca="false">IF(ResourceSummary[[#This Row],[Resource]]="","",INDEX(ResourceTable[Work],ROW()-ROW(ResourceSummary[[#Headers],[Resource]])))</f>
        <v/>
      </c>
      <c r="F30" s="69" t="str">
        <f aca="false">IF(ResourceSummary[[#This Row],[Resource]]="","",SUMIFS(tsk_LeafWorkDone,tsk_Resource,ResourceSummary[[#This Row],[Resource]])+SUMIFS(asg_WorkDone,asg_Resource,ResourceSummary[[#This Row],[Resource]]))</f>
        <v/>
      </c>
      <c r="G30" s="69" t="str">
        <f aca="false">IF(ResourceSummary[[#This Row],[Resource]]="","",ResourceSummary[[#This Row],[Work]]-ResourceSummary[[#This Row],[Work Done]])</f>
        <v/>
      </c>
      <c r="H30" s="69" t="str">
        <f aca="false">IF(ResourceSummary[[#This Row],[Resource]]="","",INDEX(ResourceTable[Cost],ROW()-ROW(ResourceSummary[[#Headers],[Resource]])))</f>
        <v/>
      </c>
      <c r="I30" s="69" t="str">
        <f aca="false">IF(ResourceSummary[[#This Row],[Resource]]="","",INDEX(ResourceTable[Actual Cost],ROW()-ROW(ResourceSummary[[#Headers],[Resource]])))</f>
        <v/>
      </c>
      <c r="J30" s="68" t="str">
        <f aca="false">IF(ResourceSummary[[#This Row],[Resource]]="","",COUNTIFS(tsk_Resource,ResourceSummary[[#This Row],[Resource]],tsk_LateKey,"&gt;0")+SUMIFS(asg_Late,asg_Resource,ResourceSummary[[#This Row],[Resource]]))</f>
        <v/>
      </c>
      <c r="K30" s="68" t="str">
        <f aca="false">IF(ResourceSummary[[#This Row],[Resource]]="","",COUNTIFS(tsk_Resource,ResourceSummary[[#This Row],[Resource]],tsk_Critical,"Yes",tsk_IsLeaf,1)+SUMIFS(asg_Critical,asg_Resource,ResourceSummary[[#This Row],[Resource]]))</f>
        <v/>
      </c>
      <c r="L30" s="66" t="str">
        <f aca="false">IF(ResourceSummary[[#This Row],[Resource]]="","",MAX(INDEX(rw_Load,ROW()-ROW(ResourceSummary[[#Headers],[Resource]]),0)))</f>
        <v/>
      </c>
      <c r="M30" s="40" t="str">
        <f aca="false">IF(ResourceSummary[[#This Row],[Resource]]="","",MAX(INDEX(rw_Util,ROW()-ROW(ResourceSummary[[#Headers],[Resource]]),0)))</f>
        <v/>
      </c>
      <c r="N30" s="68" t="str">
        <f aca="false">IF(ResourceSummary[[#This Row],[Resource]]="","",COUNTIF(INDEX(rw_Util,ROW()-ROW(ResourceSummary[[#Headers],[Resource]]),0),"&gt;1"))</f>
        <v/>
      </c>
      <c r="O30" s="70" t="str">
        <f aca="false">IF(ResourceSummary[[#This Row],[Resource]]="","",SUM(INDEX(rw_Leave,ROW()-ROW(ResourceSummary[[#Headers],[Resource]]),0)))</f>
        <v/>
      </c>
    </row>
    <row r="32" customFormat="false" ht="15" hidden="false" customHeight="false" outlineLevel="0" collapsed="false">
      <c r="B32" s="71" t="s">
        <v>273</v>
      </c>
    </row>
    <row r="34" customFormat="false" ht="15" hidden="false" customHeight="false" outlineLevel="0" collapsed="false">
      <c r="B34" s="15" t="s">
        <v>255</v>
      </c>
      <c r="C34" s="15" t="s">
        <v>261</v>
      </c>
      <c r="D34" s="72" t="n">
        <f aca="false">(ResourceWeekStart+7*((COLUMN()-COLUMN(rw_LoadOrigin)-1)-1))</f>
        <v>2</v>
      </c>
      <c r="E34" s="72" t="n">
        <f aca="false">(ResourceWeekStart+7*((COLUMN()-COLUMN(rw_LoadOrigin)-1)-1))</f>
        <v>9</v>
      </c>
      <c r="F34" s="72" t="n">
        <f aca="false">(ResourceWeekStart+7*((COLUMN()-COLUMN(rw_LoadOrigin)-1)-1))</f>
        <v>16</v>
      </c>
      <c r="G34" s="72" t="n">
        <f aca="false">(ResourceWeekStart+7*((COLUMN()-COLUMN(rw_LoadOrigin)-1)-1))</f>
        <v>23</v>
      </c>
      <c r="H34" s="72" t="n">
        <f aca="false">(ResourceWeekStart+7*((COLUMN()-COLUMN(rw_LoadOrigin)-1)-1))</f>
        <v>30</v>
      </c>
      <c r="I34" s="72" t="n">
        <f aca="false">(ResourceWeekStart+7*((COLUMN()-COLUMN(rw_LoadOrigin)-1)-1))</f>
        <v>37</v>
      </c>
      <c r="J34" s="72" t="n">
        <f aca="false">(ResourceWeekStart+7*((COLUMN()-COLUMN(rw_LoadOrigin)-1)-1))</f>
        <v>44</v>
      </c>
      <c r="K34" s="72" t="n">
        <f aca="false">(ResourceWeekStart+7*((COLUMN()-COLUMN(rw_LoadOrigin)-1)-1))</f>
        <v>51</v>
      </c>
      <c r="L34" s="72" t="n">
        <f aca="false">(ResourceWeekStart+7*((COLUMN()-COLUMN(rw_LoadOrigin)-1)-1))</f>
        <v>58</v>
      </c>
      <c r="M34" s="72" t="n">
        <f aca="false">(ResourceWeekStart+7*((COLUMN()-COLUMN(rw_LoadOrigin)-1)-1))</f>
        <v>65</v>
      </c>
      <c r="N34" s="72" t="n">
        <f aca="false">(ResourceWeekStart+7*((COLUMN()-COLUMN(rw_LoadOrigin)-1)-1))</f>
        <v>72</v>
      </c>
      <c r="O34" s="72" t="n">
        <f aca="false">(ResourceWeekStart+7*((COLUMN()-COLUMN(rw_LoadOrigin)-1)-1))</f>
        <v>79</v>
      </c>
      <c r="P34" s="72" t="n">
        <f aca="false">(ResourceWeekStart+7*((COLUMN()-COLUMN(rw_LoadOrigin)-1)-1))</f>
        <v>86</v>
      </c>
      <c r="Q34" s="72" t="n">
        <f aca="false">(ResourceWeekStart+7*((COLUMN()-COLUMN(rw_LoadOrigin)-1)-1))</f>
        <v>93</v>
      </c>
      <c r="R34" s="72" t="n">
        <f aca="false">(ResourceWeekStart+7*((COLUMN()-COLUMN(rw_LoadOrigin)-1)-1))</f>
        <v>100</v>
      </c>
      <c r="S34" s="72" t="n">
        <f aca="false">(ResourceWeekStart+7*((COLUMN()-COLUMN(rw_LoadOrigin)-1)-1))</f>
        <v>107</v>
      </c>
      <c r="T34" s="72" t="n">
        <f aca="false">(ResourceWeekStart+7*((COLUMN()-COLUMN(rw_LoadOrigin)-1)-1))</f>
        <v>114</v>
      </c>
      <c r="U34" s="72" t="n">
        <f aca="false">(ResourceWeekStart+7*((COLUMN()-COLUMN(rw_LoadOrigin)-1)-1))</f>
        <v>121</v>
      </c>
      <c r="V34" s="72" t="n">
        <f aca="false">(ResourceWeekStart+7*((COLUMN()-COLUMN(rw_LoadOrigin)-1)-1))</f>
        <v>128</v>
      </c>
      <c r="W34" s="72" t="n">
        <f aca="false">(ResourceWeekStart+7*((COLUMN()-COLUMN(rw_LoadOrigin)-1)-1))</f>
        <v>135</v>
      </c>
      <c r="X34" s="72" t="n">
        <f aca="false">(ResourceWeekStart+7*((COLUMN()-COLUMN(rw_LoadOrigin)-1)-1))</f>
        <v>142</v>
      </c>
      <c r="Y34" s="72" t="n">
        <f aca="false">(ResourceWeekStart+7*((COLUMN()-COLUMN(rw_LoadOrigin)-1)-1))</f>
        <v>149</v>
      </c>
      <c r="Z34" s="72" t="n">
        <f aca="false">(ResourceWeekStart+7*((COLUMN()-COLUMN(rw_LoadOrigin)-1)-1))</f>
        <v>156</v>
      </c>
      <c r="AA34" s="72" t="n">
        <f aca="false">(ResourceWeekStart+7*((COLUMN()-COLUMN(rw_LoadOrigin)-1)-1))</f>
        <v>163</v>
      </c>
      <c r="AB34" s="72" t="n">
        <f aca="false">(ResourceWeekStart+7*((COLUMN()-COLUMN(rw_LoadOrigin)-1)-1))</f>
        <v>170</v>
      </c>
      <c r="AC34" s="72" t="n">
        <f aca="false">(ResourceWeekStart+7*((COLUMN()-COLUMN(rw_LoadOrigin)-1)-1))</f>
        <v>177</v>
      </c>
    </row>
    <row r="35" customFormat="false" ht="15" hidden="false" customHeight="false" outlineLevel="0" collapsed="false">
      <c r="B35" s="73" t="s">
        <v>274</v>
      </c>
      <c r="D35" s="74" t="n">
        <f aca="false">NETWORKDAYS.INTL((ResourceWeekStart+7*((COLUMN()-COLUMN(rw_LoadOrigin)-1)-1)),(ResourceWeekStart+7*((COLUMN()-COLUMN(rw_LoadOrigin)-1)-1))+6,WorkWeek,Holidays)</f>
        <v>5</v>
      </c>
      <c r="E35" s="74" t="n">
        <f aca="false">NETWORKDAYS.INTL((ResourceWeekStart+7*((COLUMN()-COLUMN(rw_LoadOrigin)-1)-1)),(ResourceWeekStart+7*((COLUMN()-COLUMN(rw_LoadOrigin)-1)-1))+6,WorkWeek,Holidays)</f>
        <v>5</v>
      </c>
      <c r="F35" s="74" t="n">
        <f aca="false">NETWORKDAYS.INTL((ResourceWeekStart+7*((COLUMN()-COLUMN(rw_LoadOrigin)-1)-1)),(ResourceWeekStart+7*((COLUMN()-COLUMN(rw_LoadOrigin)-1)-1))+6,WorkWeek,Holidays)</f>
        <v>5</v>
      </c>
      <c r="G35" s="74" t="n">
        <f aca="false">NETWORKDAYS.INTL((ResourceWeekStart+7*((COLUMN()-COLUMN(rw_LoadOrigin)-1)-1)),(ResourceWeekStart+7*((COLUMN()-COLUMN(rw_LoadOrigin)-1)-1))+6,WorkWeek,Holidays)</f>
        <v>5</v>
      </c>
      <c r="H35" s="74" t="n">
        <f aca="false">NETWORKDAYS.INTL((ResourceWeekStart+7*((COLUMN()-COLUMN(rw_LoadOrigin)-1)-1)),(ResourceWeekStart+7*((COLUMN()-COLUMN(rw_LoadOrigin)-1)-1))+6,WorkWeek,Holidays)</f>
        <v>5</v>
      </c>
      <c r="I35" s="74" t="n">
        <f aca="false">NETWORKDAYS.INTL((ResourceWeekStart+7*((COLUMN()-COLUMN(rw_LoadOrigin)-1)-1)),(ResourceWeekStart+7*((COLUMN()-COLUMN(rw_LoadOrigin)-1)-1))+6,WorkWeek,Holidays)</f>
        <v>5</v>
      </c>
      <c r="J35" s="74" t="n">
        <f aca="false">NETWORKDAYS.INTL((ResourceWeekStart+7*((COLUMN()-COLUMN(rw_LoadOrigin)-1)-1)),(ResourceWeekStart+7*((COLUMN()-COLUMN(rw_LoadOrigin)-1)-1))+6,WorkWeek,Holidays)</f>
        <v>5</v>
      </c>
      <c r="K35" s="74" t="n">
        <f aca="false">NETWORKDAYS.INTL((ResourceWeekStart+7*((COLUMN()-COLUMN(rw_LoadOrigin)-1)-1)),(ResourceWeekStart+7*((COLUMN()-COLUMN(rw_LoadOrigin)-1)-1))+6,WorkWeek,Holidays)</f>
        <v>5</v>
      </c>
      <c r="L35" s="74" t="n">
        <f aca="false">NETWORKDAYS.INTL((ResourceWeekStart+7*((COLUMN()-COLUMN(rw_LoadOrigin)-1)-1)),(ResourceWeekStart+7*((COLUMN()-COLUMN(rw_LoadOrigin)-1)-1))+6,WorkWeek,Holidays)</f>
        <v>5</v>
      </c>
      <c r="M35" s="74" t="n">
        <f aca="false">NETWORKDAYS.INTL((ResourceWeekStart+7*((COLUMN()-COLUMN(rw_LoadOrigin)-1)-1)),(ResourceWeekStart+7*((COLUMN()-COLUMN(rw_LoadOrigin)-1)-1))+6,WorkWeek,Holidays)</f>
        <v>5</v>
      </c>
      <c r="N35" s="74" t="n">
        <f aca="false">NETWORKDAYS.INTL((ResourceWeekStart+7*((COLUMN()-COLUMN(rw_LoadOrigin)-1)-1)),(ResourceWeekStart+7*((COLUMN()-COLUMN(rw_LoadOrigin)-1)-1))+6,WorkWeek,Holidays)</f>
        <v>5</v>
      </c>
      <c r="O35" s="74" t="n">
        <f aca="false">NETWORKDAYS.INTL((ResourceWeekStart+7*((COLUMN()-COLUMN(rw_LoadOrigin)-1)-1)),(ResourceWeekStart+7*((COLUMN()-COLUMN(rw_LoadOrigin)-1)-1))+6,WorkWeek,Holidays)</f>
        <v>5</v>
      </c>
      <c r="P35" s="74" t="n">
        <f aca="false">NETWORKDAYS.INTL((ResourceWeekStart+7*((COLUMN()-COLUMN(rw_LoadOrigin)-1)-1)),(ResourceWeekStart+7*((COLUMN()-COLUMN(rw_LoadOrigin)-1)-1))+6,WorkWeek,Holidays)</f>
        <v>5</v>
      </c>
      <c r="Q35" s="74" t="n">
        <f aca="false">NETWORKDAYS.INTL((ResourceWeekStart+7*((COLUMN()-COLUMN(rw_LoadOrigin)-1)-1)),(ResourceWeekStart+7*((COLUMN()-COLUMN(rw_LoadOrigin)-1)-1))+6,WorkWeek,Holidays)</f>
        <v>5</v>
      </c>
      <c r="R35" s="74" t="n">
        <f aca="false">NETWORKDAYS.INTL((ResourceWeekStart+7*((COLUMN()-COLUMN(rw_LoadOrigin)-1)-1)),(ResourceWeekStart+7*((COLUMN()-COLUMN(rw_LoadOrigin)-1)-1))+6,WorkWeek,Holidays)</f>
        <v>5</v>
      </c>
      <c r="S35" s="74" t="n">
        <f aca="false">NETWORKDAYS.INTL((ResourceWeekStart+7*((COLUMN()-COLUMN(rw_LoadOrigin)-1)-1)),(ResourceWeekStart+7*((COLUMN()-COLUMN(rw_LoadOrigin)-1)-1))+6,WorkWeek,Holidays)</f>
        <v>5</v>
      </c>
      <c r="T35" s="74" t="n">
        <f aca="false">NETWORKDAYS.INTL((ResourceWeekStart+7*((COLUMN()-COLUMN(rw_LoadOrigin)-1)-1)),(ResourceWeekStart+7*((COLUMN()-COLUMN(rw_LoadOrigin)-1)-1))+6,WorkWeek,Holidays)</f>
        <v>5</v>
      </c>
      <c r="U35" s="74" t="n">
        <f aca="false">NETWORKDAYS.INTL((ResourceWeekStart+7*((COLUMN()-COLUMN(rw_LoadOrigin)-1)-1)),(ResourceWeekStart+7*((COLUMN()-COLUMN(rw_LoadOrigin)-1)-1))+6,WorkWeek,Holidays)</f>
        <v>5</v>
      </c>
      <c r="V35" s="74" t="n">
        <f aca="false">NETWORKDAYS.INTL((ResourceWeekStart+7*((COLUMN()-COLUMN(rw_LoadOrigin)-1)-1)),(ResourceWeekStart+7*((COLUMN()-COLUMN(rw_LoadOrigin)-1)-1))+6,WorkWeek,Holidays)</f>
        <v>5</v>
      </c>
      <c r="W35" s="74" t="n">
        <f aca="false">NETWORKDAYS.INTL((ResourceWeekStart+7*((COLUMN()-COLUMN(rw_LoadOrigin)-1)-1)),(ResourceWeekStart+7*((COLUMN()-COLUMN(rw_LoadOrigin)-1)-1))+6,WorkWeek,Holidays)</f>
        <v>5</v>
      </c>
      <c r="X35" s="74" t="n">
        <f aca="false">NETWORKDAYS.INTL((ResourceWeekStart+7*((COLUMN()-COLUMN(rw_LoadOrigin)-1)-1)),(ResourceWeekStart+7*((COLUMN()-COLUMN(rw_LoadOrigin)-1)-1))+6,WorkWeek,Holidays)</f>
        <v>5</v>
      </c>
      <c r="Y35" s="74" t="n">
        <f aca="false">NETWORKDAYS.INTL((ResourceWeekStart+7*((COLUMN()-COLUMN(rw_LoadOrigin)-1)-1)),(ResourceWeekStart+7*((COLUMN()-COLUMN(rw_LoadOrigin)-1)-1))+6,WorkWeek,Holidays)</f>
        <v>5</v>
      </c>
      <c r="Z35" s="74" t="n">
        <f aca="false">NETWORKDAYS.INTL((ResourceWeekStart+7*((COLUMN()-COLUMN(rw_LoadOrigin)-1)-1)),(ResourceWeekStart+7*((COLUMN()-COLUMN(rw_LoadOrigin)-1)-1))+6,WorkWeek,Holidays)</f>
        <v>5</v>
      </c>
      <c r="AA35" s="74" t="n">
        <f aca="false">NETWORKDAYS.INTL((ResourceWeekStart+7*((COLUMN()-COLUMN(rw_LoadOrigin)-1)-1)),(ResourceWeekStart+7*((COLUMN()-COLUMN(rw_LoadOrigin)-1)-1))+6,WorkWeek,Holidays)</f>
        <v>5</v>
      </c>
      <c r="AB35" s="74" t="n">
        <f aca="false">NETWORKDAYS.INTL((ResourceWeekStart+7*((COLUMN()-COLUMN(rw_LoadOrigin)-1)-1)),(ResourceWeekStart+7*((COLUMN()-COLUMN(rw_LoadOrigin)-1)-1))+6,WorkWeek,Holidays)</f>
        <v>5</v>
      </c>
      <c r="AC35" s="74" t="n">
        <f aca="false">NETWORKDAYS.INTL((ResourceWeekStart+7*((COLUMN()-COLUMN(rw_LoadOrigin)-1)-1)),(ResourceWeekStart+7*((COLUMN()-COLUMN(rw_LoadOrigin)-1)-1))+6,WorkWeek,Holidays)</f>
        <v>5</v>
      </c>
    </row>
    <row r="36" customFormat="false" ht="15" hidden="false" customHeight="false" outlineLevel="0" collapsed="false">
      <c r="B36" s="5" t="str">
        <f aca="false">IFERROR(INDEX(res_Name,(ROW()-ROW(rw_LoadOrigin)-1))&amp;"","")</f>
        <v/>
      </c>
      <c r="C36" s="75" t="str">
        <f aca="false">IFERROR(IF(INDEX(res_Name,(ROW()-ROW(rw_LoadOrigin)-1))="","",INDEX(res_MaxUnits,(ROW()-ROW(rw_LoadOrigin)-1))),"")</f>
        <v/>
      </c>
      <c r="D36" s="76" t="str">
        <f aca="false">IFERROR(IF(INDEX(res_Name,(ROW()-ROW(rw_LoadOrigin)-1))="","",INDEX(rw_Cum,(ROW()-ROW(rw_LoadOrigin)-1),(COLUMN()-COLUMN(rw_LoadOrigin)-1)+1)-INDEX(rw_Cum,(ROW()-ROW(rw_LoadOrigin)-1),(COLUMN()-COLUMN(rw_LoadOrigin)-1))),"")</f>
        <v/>
      </c>
      <c r="E36" s="76" t="str">
        <f aca="false">IFERROR(IF(INDEX(res_Name,(ROW()-ROW(rw_LoadOrigin)-1))="","",INDEX(rw_Cum,(ROW()-ROW(rw_LoadOrigin)-1),(COLUMN()-COLUMN(rw_LoadOrigin)-1)+1)-INDEX(rw_Cum,(ROW()-ROW(rw_LoadOrigin)-1),(COLUMN()-COLUMN(rw_LoadOrigin)-1))),"")</f>
        <v/>
      </c>
      <c r="F36" s="76" t="str">
        <f aca="false">IFERROR(IF(INDEX(res_Name,(ROW()-ROW(rw_LoadOrigin)-1))="","",INDEX(rw_Cum,(ROW()-ROW(rw_LoadOrigin)-1),(COLUMN()-COLUMN(rw_LoadOrigin)-1)+1)-INDEX(rw_Cum,(ROW()-ROW(rw_LoadOrigin)-1),(COLUMN()-COLUMN(rw_LoadOrigin)-1))),"")</f>
        <v/>
      </c>
      <c r="G36" s="76" t="str">
        <f aca="false">IFERROR(IF(INDEX(res_Name,(ROW()-ROW(rw_LoadOrigin)-1))="","",INDEX(rw_Cum,(ROW()-ROW(rw_LoadOrigin)-1),(COLUMN()-COLUMN(rw_LoadOrigin)-1)+1)-INDEX(rw_Cum,(ROW()-ROW(rw_LoadOrigin)-1),(COLUMN()-COLUMN(rw_LoadOrigin)-1))),"")</f>
        <v/>
      </c>
      <c r="H36" s="76" t="str">
        <f aca="false">IFERROR(IF(INDEX(res_Name,(ROW()-ROW(rw_LoadOrigin)-1))="","",INDEX(rw_Cum,(ROW()-ROW(rw_LoadOrigin)-1),(COLUMN()-COLUMN(rw_LoadOrigin)-1)+1)-INDEX(rw_Cum,(ROW()-ROW(rw_LoadOrigin)-1),(COLUMN()-COLUMN(rw_LoadOrigin)-1))),"")</f>
        <v/>
      </c>
      <c r="I36" s="76" t="str">
        <f aca="false">IFERROR(IF(INDEX(res_Name,(ROW()-ROW(rw_LoadOrigin)-1))="","",INDEX(rw_Cum,(ROW()-ROW(rw_LoadOrigin)-1),(COLUMN()-COLUMN(rw_LoadOrigin)-1)+1)-INDEX(rw_Cum,(ROW()-ROW(rw_LoadOrigin)-1),(COLUMN()-COLUMN(rw_LoadOrigin)-1))),"")</f>
        <v/>
      </c>
      <c r="J36" s="76" t="str">
        <f aca="false">IFERROR(IF(INDEX(res_Name,(ROW()-ROW(rw_LoadOrigin)-1))="","",INDEX(rw_Cum,(ROW()-ROW(rw_LoadOrigin)-1),(COLUMN()-COLUMN(rw_LoadOrigin)-1)+1)-INDEX(rw_Cum,(ROW()-ROW(rw_LoadOrigin)-1),(COLUMN()-COLUMN(rw_LoadOrigin)-1))),"")</f>
        <v/>
      </c>
      <c r="K36" s="76" t="str">
        <f aca="false">IFERROR(IF(INDEX(res_Name,(ROW()-ROW(rw_LoadOrigin)-1))="","",INDEX(rw_Cum,(ROW()-ROW(rw_LoadOrigin)-1),(COLUMN()-COLUMN(rw_LoadOrigin)-1)+1)-INDEX(rw_Cum,(ROW()-ROW(rw_LoadOrigin)-1),(COLUMN()-COLUMN(rw_LoadOrigin)-1))),"")</f>
        <v/>
      </c>
      <c r="L36" s="76" t="str">
        <f aca="false">IFERROR(IF(INDEX(res_Name,(ROW()-ROW(rw_LoadOrigin)-1))="","",INDEX(rw_Cum,(ROW()-ROW(rw_LoadOrigin)-1),(COLUMN()-COLUMN(rw_LoadOrigin)-1)+1)-INDEX(rw_Cum,(ROW()-ROW(rw_LoadOrigin)-1),(COLUMN()-COLUMN(rw_LoadOrigin)-1))),"")</f>
        <v/>
      </c>
      <c r="M36" s="76" t="str">
        <f aca="false">IFERROR(IF(INDEX(res_Name,(ROW()-ROW(rw_LoadOrigin)-1))="","",INDEX(rw_Cum,(ROW()-ROW(rw_LoadOrigin)-1),(COLUMN()-COLUMN(rw_LoadOrigin)-1)+1)-INDEX(rw_Cum,(ROW()-ROW(rw_LoadOrigin)-1),(COLUMN()-COLUMN(rw_LoadOrigin)-1))),"")</f>
        <v/>
      </c>
      <c r="N36" s="76" t="str">
        <f aca="false">IFERROR(IF(INDEX(res_Name,(ROW()-ROW(rw_LoadOrigin)-1))="","",INDEX(rw_Cum,(ROW()-ROW(rw_LoadOrigin)-1),(COLUMN()-COLUMN(rw_LoadOrigin)-1)+1)-INDEX(rw_Cum,(ROW()-ROW(rw_LoadOrigin)-1),(COLUMN()-COLUMN(rw_LoadOrigin)-1))),"")</f>
        <v/>
      </c>
      <c r="O36" s="76" t="str">
        <f aca="false">IFERROR(IF(INDEX(res_Name,(ROW()-ROW(rw_LoadOrigin)-1))="","",INDEX(rw_Cum,(ROW()-ROW(rw_LoadOrigin)-1),(COLUMN()-COLUMN(rw_LoadOrigin)-1)+1)-INDEX(rw_Cum,(ROW()-ROW(rw_LoadOrigin)-1),(COLUMN()-COLUMN(rw_LoadOrigin)-1))),"")</f>
        <v/>
      </c>
      <c r="P36" s="76" t="str">
        <f aca="false">IFERROR(IF(INDEX(res_Name,(ROW()-ROW(rw_LoadOrigin)-1))="","",INDEX(rw_Cum,(ROW()-ROW(rw_LoadOrigin)-1),(COLUMN()-COLUMN(rw_LoadOrigin)-1)+1)-INDEX(rw_Cum,(ROW()-ROW(rw_LoadOrigin)-1),(COLUMN()-COLUMN(rw_LoadOrigin)-1))),"")</f>
        <v/>
      </c>
      <c r="Q36" s="76" t="str">
        <f aca="false">IFERROR(IF(INDEX(res_Name,(ROW()-ROW(rw_LoadOrigin)-1))="","",INDEX(rw_Cum,(ROW()-ROW(rw_LoadOrigin)-1),(COLUMN()-COLUMN(rw_LoadOrigin)-1)+1)-INDEX(rw_Cum,(ROW()-ROW(rw_LoadOrigin)-1),(COLUMN()-COLUMN(rw_LoadOrigin)-1))),"")</f>
        <v/>
      </c>
      <c r="R36" s="76" t="str">
        <f aca="false">IFERROR(IF(INDEX(res_Name,(ROW()-ROW(rw_LoadOrigin)-1))="","",INDEX(rw_Cum,(ROW()-ROW(rw_LoadOrigin)-1),(COLUMN()-COLUMN(rw_LoadOrigin)-1)+1)-INDEX(rw_Cum,(ROW()-ROW(rw_LoadOrigin)-1),(COLUMN()-COLUMN(rw_LoadOrigin)-1))),"")</f>
        <v/>
      </c>
      <c r="S36" s="76" t="str">
        <f aca="false">IFERROR(IF(INDEX(res_Name,(ROW()-ROW(rw_LoadOrigin)-1))="","",INDEX(rw_Cum,(ROW()-ROW(rw_LoadOrigin)-1),(COLUMN()-COLUMN(rw_LoadOrigin)-1)+1)-INDEX(rw_Cum,(ROW()-ROW(rw_LoadOrigin)-1),(COLUMN()-COLUMN(rw_LoadOrigin)-1))),"")</f>
        <v/>
      </c>
      <c r="T36" s="76" t="str">
        <f aca="false">IFERROR(IF(INDEX(res_Name,(ROW()-ROW(rw_LoadOrigin)-1))="","",INDEX(rw_Cum,(ROW()-ROW(rw_LoadOrigin)-1),(COLUMN()-COLUMN(rw_LoadOrigin)-1)+1)-INDEX(rw_Cum,(ROW()-ROW(rw_LoadOrigin)-1),(COLUMN()-COLUMN(rw_LoadOrigin)-1))),"")</f>
        <v/>
      </c>
      <c r="U36" s="76" t="str">
        <f aca="false">IFERROR(IF(INDEX(res_Name,(ROW()-ROW(rw_LoadOrigin)-1))="","",INDEX(rw_Cum,(ROW()-ROW(rw_LoadOrigin)-1),(COLUMN()-COLUMN(rw_LoadOrigin)-1)+1)-INDEX(rw_Cum,(ROW()-ROW(rw_LoadOrigin)-1),(COLUMN()-COLUMN(rw_LoadOrigin)-1))),"")</f>
        <v/>
      </c>
      <c r="V36" s="76" t="str">
        <f aca="false">IFERROR(IF(INDEX(res_Name,(ROW()-ROW(rw_LoadOrigin)-1))="","",INDEX(rw_Cum,(ROW()-ROW(rw_LoadOrigin)-1),(COLUMN()-COLUMN(rw_LoadOrigin)-1)+1)-INDEX(rw_Cum,(ROW()-ROW(rw_LoadOrigin)-1),(COLUMN()-COLUMN(rw_LoadOrigin)-1))),"")</f>
        <v/>
      </c>
      <c r="W36" s="76" t="str">
        <f aca="false">IFERROR(IF(INDEX(res_Name,(ROW()-ROW(rw_LoadOrigin)-1))="","",INDEX(rw_Cum,(ROW()-ROW(rw_LoadOrigin)-1),(COLUMN()-COLUMN(rw_LoadOrigin)-1)+1)-INDEX(rw_Cum,(ROW()-ROW(rw_LoadOrigin)-1),(COLUMN()-COLUMN(rw_LoadOrigin)-1))),"")</f>
        <v/>
      </c>
      <c r="X36" s="76" t="str">
        <f aca="false">IFERROR(IF(INDEX(res_Name,(ROW()-ROW(rw_LoadOrigin)-1))="","",INDEX(rw_Cum,(ROW()-ROW(rw_LoadOrigin)-1),(COLUMN()-COLUMN(rw_LoadOrigin)-1)+1)-INDEX(rw_Cum,(ROW()-ROW(rw_LoadOrigin)-1),(COLUMN()-COLUMN(rw_LoadOrigin)-1))),"")</f>
        <v/>
      </c>
      <c r="Y36" s="76" t="str">
        <f aca="false">IFERROR(IF(INDEX(res_Name,(ROW()-ROW(rw_LoadOrigin)-1))="","",INDEX(rw_Cum,(ROW()-ROW(rw_LoadOrigin)-1),(COLUMN()-COLUMN(rw_LoadOrigin)-1)+1)-INDEX(rw_Cum,(ROW()-ROW(rw_LoadOrigin)-1),(COLUMN()-COLUMN(rw_LoadOrigin)-1))),"")</f>
        <v/>
      </c>
      <c r="Z36" s="76" t="str">
        <f aca="false">IFERROR(IF(INDEX(res_Name,(ROW()-ROW(rw_LoadOrigin)-1))="","",INDEX(rw_Cum,(ROW()-ROW(rw_LoadOrigin)-1),(COLUMN()-COLUMN(rw_LoadOrigin)-1)+1)-INDEX(rw_Cum,(ROW()-ROW(rw_LoadOrigin)-1),(COLUMN()-COLUMN(rw_LoadOrigin)-1))),"")</f>
        <v/>
      </c>
      <c r="AA36" s="76" t="str">
        <f aca="false">IFERROR(IF(INDEX(res_Name,(ROW()-ROW(rw_LoadOrigin)-1))="","",INDEX(rw_Cum,(ROW()-ROW(rw_LoadOrigin)-1),(COLUMN()-COLUMN(rw_LoadOrigin)-1)+1)-INDEX(rw_Cum,(ROW()-ROW(rw_LoadOrigin)-1),(COLUMN()-COLUMN(rw_LoadOrigin)-1))),"")</f>
        <v/>
      </c>
      <c r="AB36" s="76" t="str">
        <f aca="false">IFERROR(IF(INDEX(res_Name,(ROW()-ROW(rw_LoadOrigin)-1))="","",INDEX(rw_Cum,(ROW()-ROW(rw_LoadOrigin)-1),(COLUMN()-COLUMN(rw_LoadOrigin)-1)+1)-INDEX(rw_Cum,(ROW()-ROW(rw_LoadOrigin)-1),(COLUMN()-COLUMN(rw_LoadOrigin)-1))),"")</f>
        <v/>
      </c>
      <c r="AC36" s="76" t="str">
        <f aca="false">IFERROR(IF(INDEX(res_Name,(ROW()-ROW(rw_LoadOrigin)-1))="","",INDEX(rw_Cum,(ROW()-ROW(rw_LoadOrigin)-1),(COLUMN()-COLUMN(rw_LoadOrigin)-1)+1)-INDEX(rw_Cum,(ROW()-ROW(rw_LoadOrigin)-1),(COLUMN()-COLUMN(rw_LoadOrigin)-1))),"")</f>
        <v/>
      </c>
    </row>
    <row r="37" customFormat="false" ht="15" hidden="false" customHeight="false" outlineLevel="0" collapsed="false">
      <c r="B37" s="5" t="str">
        <f aca="false">IFERROR(INDEX(res_Name,(ROW()-ROW(rw_LoadOrigin)-1))&amp;"","")</f>
        <v/>
      </c>
      <c r="C37" s="75" t="str">
        <f aca="false">IFERROR(IF(INDEX(res_Name,(ROW()-ROW(rw_LoadOrigin)-1))="","",INDEX(res_MaxUnits,(ROW()-ROW(rw_LoadOrigin)-1))),"")</f>
        <v/>
      </c>
      <c r="D37" s="76" t="str">
        <f aca="false">IFERROR(IF(INDEX(res_Name,(ROW()-ROW(rw_LoadOrigin)-1))="","",INDEX(rw_Cum,(ROW()-ROW(rw_LoadOrigin)-1),(COLUMN()-COLUMN(rw_LoadOrigin)-1)+1)-INDEX(rw_Cum,(ROW()-ROW(rw_LoadOrigin)-1),(COLUMN()-COLUMN(rw_LoadOrigin)-1))),"")</f>
        <v/>
      </c>
      <c r="E37" s="76" t="str">
        <f aca="false">IFERROR(IF(INDEX(res_Name,(ROW()-ROW(rw_LoadOrigin)-1))="","",INDEX(rw_Cum,(ROW()-ROW(rw_LoadOrigin)-1),(COLUMN()-COLUMN(rw_LoadOrigin)-1)+1)-INDEX(rw_Cum,(ROW()-ROW(rw_LoadOrigin)-1),(COLUMN()-COLUMN(rw_LoadOrigin)-1))),"")</f>
        <v/>
      </c>
      <c r="F37" s="76" t="str">
        <f aca="false">IFERROR(IF(INDEX(res_Name,(ROW()-ROW(rw_LoadOrigin)-1))="","",INDEX(rw_Cum,(ROW()-ROW(rw_LoadOrigin)-1),(COLUMN()-COLUMN(rw_LoadOrigin)-1)+1)-INDEX(rw_Cum,(ROW()-ROW(rw_LoadOrigin)-1),(COLUMN()-COLUMN(rw_LoadOrigin)-1))),"")</f>
        <v/>
      </c>
      <c r="G37" s="76" t="str">
        <f aca="false">IFERROR(IF(INDEX(res_Name,(ROW()-ROW(rw_LoadOrigin)-1))="","",INDEX(rw_Cum,(ROW()-ROW(rw_LoadOrigin)-1),(COLUMN()-COLUMN(rw_LoadOrigin)-1)+1)-INDEX(rw_Cum,(ROW()-ROW(rw_LoadOrigin)-1),(COLUMN()-COLUMN(rw_LoadOrigin)-1))),"")</f>
        <v/>
      </c>
      <c r="H37" s="76" t="str">
        <f aca="false">IFERROR(IF(INDEX(res_Name,(ROW()-ROW(rw_LoadOrigin)-1))="","",INDEX(rw_Cum,(ROW()-ROW(rw_LoadOrigin)-1),(COLUMN()-COLUMN(rw_LoadOrigin)-1)+1)-INDEX(rw_Cum,(ROW()-ROW(rw_LoadOrigin)-1),(COLUMN()-COLUMN(rw_LoadOrigin)-1))),"")</f>
        <v/>
      </c>
      <c r="I37" s="76" t="str">
        <f aca="false">IFERROR(IF(INDEX(res_Name,(ROW()-ROW(rw_LoadOrigin)-1))="","",INDEX(rw_Cum,(ROW()-ROW(rw_LoadOrigin)-1),(COLUMN()-COLUMN(rw_LoadOrigin)-1)+1)-INDEX(rw_Cum,(ROW()-ROW(rw_LoadOrigin)-1),(COLUMN()-COLUMN(rw_LoadOrigin)-1))),"")</f>
        <v/>
      </c>
      <c r="J37" s="76" t="str">
        <f aca="false">IFERROR(IF(INDEX(res_Name,(ROW()-ROW(rw_LoadOrigin)-1))="","",INDEX(rw_Cum,(ROW()-ROW(rw_LoadOrigin)-1),(COLUMN()-COLUMN(rw_LoadOrigin)-1)+1)-INDEX(rw_Cum,(ROW()-ROW(rw_LoadOrigin)-1),(COLUMN()-COLUMN(rw_LoadOrigin)-1))),"")</f>
        <v/>
      </c>
      <c r="K37" s="76" t="str">
        <f aca="false">IFERROR(IF(INDEX(res_Name,(ROW()-ROW(rw_LoadOrigin)-1))="","",INDEX(rw_Cum,(ROW()-ROW(rw_LoadOrigin)-1),(COLUMN()-COLUMN(rw_LoadOrigin)-1)+1)-INDEX(rw_Cum,(ROW()-ROW(rw_LoadOrigin)-1),(COLUMN()-COLUMN(rw_LoadOrigin)-1))),"")</f>
        <v/>
      </c>
      <c r="L37" s="76" t="str">
        <f aca="false">IFERROR(IF(INDEX(res_Name,(ROW()-ROW(rw_LoadOrigin)-1))="","",INDEX(rw_Cum,(ROW()-ROW(rw_LoadOrigin)-1),(COLUMN()-COLUMN(rw_LoadOrigin)-1)+1)-INDEX(rw_Cum,(ROW()-ROW(rw_LoadOrigin)-1),(COLUMN()-COLUMN(rw_LoadOrigin)-1))),"")</f>
        <v/>
      </c>
      <c r="M37" s="76" t="str">
        <f aca="false">IFERROR(IF(INDEX(res_Name,(ROW()-ROW(rw_LoadOrigin)-1))="","",INDEX(rw_Cum,(ROW()-ROW(rw_LoadOrigin)-1),(COLUMN()-COLUMN(rw_LoadOrigin)-1)+1)-INDEX(rw_Cum,(ROW()-ROW(rw_LoadOrigin)-1),(COLUMN()-COLUMN(rw_LoadOrigin)-1))),"")</f>
        <v/>
      </c>
      <c r="N37" s="76" t="str">
        <f aca="false">IFERROR(IF(INDEX(res_Name,(ROW()-ROW(rw_LoadOrigin)-1))="","",INDEX(rw_Cum,(ROW()-ROW(rw_LoadOrigin)-1),(COLUMN()-COLUMN(rw_LoadOrigin)-1)+1)-INDEX(rw_Cum,(ROW()-ROW(rw_LoadOrigin)-1),(COLUMN()-COLUMN(rw_LoadOrigin)-1))),"")</f>
        <v/>
      </c>
      <c r="O37" s="76" t="str">
        <f aca="false">IFERROR(IF(INDEX(res_Name,(ROW()-ROW(rw_LoadOrigin)-1))="","",INDEX(rw_Cum,(ROW()-ROW(rw_LoadOrigin)-1),(COLUMN()-COLUMN(rw_LoadOrigin)-1)+1)-INDEX(rw_Cum,(ROW()-ROW(rw_LoadOrigin)-1),(COLUMN()-COLUMN(rw_LoadOrigin)-1))),"")</f>
        <v/>
      </c>
      <c r="P37" s="76" t="str">
        <f aca="false">IFERROR(IF(INDEX(res_Name,(ROW()-ROW(rw_LoadOrigin)-1))="","",INDEX(rw_Cum,(ROW()-ROW(rw_LoadOrigin)-1),(COLUMN()-COLUMN(rw_LoadOrigin)-1)+1)-INDEX(rw_Cum,(ROW()-ROW(rw_LoadOrigin)-1),(COLUMN()-COLUMN(rw_LoadOrigin)-1))),"")</f>
        <v/>
      </c>
      <c r="Q37" s="76" t="str">
        <f aca="false">IFERROR(IF(INDEX(res_Name,(ROW()-ROW(rw_LoadOrigin)-1))="","",INDEX(rw_Cum,(ROW()-ROW(rw_LoadOrigin)-1),(COLUMN()-COLUMN(rw_LoadOrigin)-1)+1)-INDEX(rw_Cum,(ROW()-ROW(rw_LoadOrigin)-1),(COLUMN()-COLUMN(rw_LoadOrigin)-1))),"")</f>
        <v/>
      </c>
      <c r="R37" s="76" t="str">
        <f aca="false">IFERROR(IF(INDEX(res_Name,(ROW()-ROW(rw_LoadOrigin)-1))="","",INDEX(rw_Cum,(ROW()-ROW(rw_LoadOrigin)-1),(COLUMN()-COLUMN(rw_LoadOrigin)-1)+1)-INDEX(rw_Cum,(ROW()-ROW(rw_LoadOrigin)-1),(COLUMN()-COLUMN(rw_LoadOrigin)-1))),"")</f>
        <v/>
      </c>
      <c r="S37" s="76" t="str">
        <f aca="false">IFERROR(IF(INDEX(res_Name,(ROW()-ROW(rw_LoadOrigin)-1))="","",INDEX(rw_Cum,(ROW()-ROW(rw_LoadOrigin)-1),(COLUMN()-COLUMN(rw_LoadOrigin)-1)+1)-INDEX(rw_Cum,(ROW()-ROW(rw_LoadOrigin)-1),(COLUMN()-COLUMN(rw_LoadOrigin)-1))),"")</f>
        <v/>
      </c>
      <c r="T37" s="76" t="str">
        <f aca="false">IFERROR(IF(INDEX(res_Name,(ROW()-ROW(rw_LoadOrigin)-1))="","",INDEX(rw_Cum,(ROW()-ROW(rw_LoadOrigin)-1),(COLUMN()-COLUMN(rw_LoadOrigin)-1)+1)-INDEX(rw_Cum,(ROW()-ROW(rw_LoadOrigin)-1),(COLUMN()-COLUMN(rw_LoadOrigin)-1))),"")</f>
        <v/>
      </c>
      <c r="U37" s="76" t="str">
        <f aca="false">IFERROR(IF(INDEX(res_Name,(ROW()-ROW(rw_LoadOrigin)-1))="","",INDEX(rw_Cum,(ROW()-ROW(rw_LoadOrigin)-1),(COLUMN()-COLUMN(rw_LoadOrigin)-1)+1)-INDEX(rw_Cum,(ROW()-ROW(rw_LoadOrigin)-1),(COLUMN()-COLUMN(rw_LoadOrigin)-1))),"")</f>
        <v/>
      </c>
      <c r="V37" s="76" t="str">
        <f aca="false">IFERROR(IF(INDEX(res_Name,(ROW()-ROW(rw_LoadOrigin)-1))="","",INDEX(rw_Cum,(ROW()-ROW(rw_LoadOrigin)-1),(COLUMN()-COLUMN(rw_LoadOrigin)-1)+1)-INDEX(rw_Cum,(ROW()-ROW(rw_LoadOrigin)-1),(COLUMN()-COLUMN(rw_LoadOrigin)-1))),"")</f>
        <v/>
      </c>
      <c r="W37" s="76" t="str">
        <f aca="false">IFERROR(IF(INDEX(res_Name,(ROW()-ROW(rw_LoadOrigin)-1))="","",INDEX(rw_Cum,(ROW()-ROW(rw_LoadOrigin)-1),(COLUMN()-COLUMN(rw_LoadOrigin)-1)+1)-INDEX(rw_Cum,(ROW()-ROW(rw_LoadOrigin)-1),(COLUMN()-COLUMN(rw_LoadOrigin)-1))),"")</f>
        <v/>
      </c>
      <c r="X37" s="76" t="str">
        <f aca="false">IFERROR(IF(INDEX(res_Name,(ROW()-ROW(rw_LoadOrigin)-1))="","",INDEX(rw_Cum,(ROW()-ROW(rw_LoadOrigin)-1),(COLUMN()-COLUMN(rw_LoadOrigin)-1)+1)-INDEX(rw_Cum,(ROW()-ROW(rw_LoadOrigin)-1),(COLUMN()-COLUMN(rw_LoadOrigin)-1))),"")</f>
        <v/>
      </c>
      <c r="Y37" s="76" t="str">
        <f aca="false">IFERROR(IF(INDEX(res_Name,(ROW()-ROW(rw_LoadOrigin)-1))="","",INDEX(rw_Cum,(ROW()-ROW(rw_LoadOrigin)-1),(COLUMN()-COLUMN(rw_LoadOrigin)-1)+1)-INDEX(rw_Cum,(ROW()-ROW(rw_LoadOrigin)-1),(COLUMN()-COLUMN(rw_LoadOrigin)-1))),"")</f>
        <v/>
      </c>
      <c r="Z37" s="76" t="str">
        <f aca="false">IFERROR(IF(INDEX(res_Name,(ROW()-ROW(rw_LoadOrigin)-1))="","",INDEX(rw_Cum,(ROW()-ROW(rw_LoadOrigin)-1),(COLUMN()-COLUMN(rw_LoadOrigin)-1)+1)-INDEX(rw_Cum,(ROW()-ROW(rw_LoadOrigin)-1),(COLUMN()-COLUMN(rw_LoadOrigin)-1))),"")</f>
        <v/>
      </c>
      <c r="AA37" s="76" t="str">
        <f aca="false">IFERROR(IF(INDEX(res_Name,(ROW()-ROW(rw_LoadOrigin)-1))="","",INDEX(rw_Cum,(ROW()-ROW(rw_LoadOrigin)-1),(COLUMN()-COLUMN(rw_LoadOrigin)-1)+1)-INDEX(rw_Cum,(ROW()-ROW(rw_LoadOrigin)-1),(COLUMN()-COLUMN(rw_LoadOrigin)-1))),"")</f>
        <v/>
      </c>
      <c r="AB37" s="76" t="str">
        <f aca="false">IFERROR(IF(INDEX(res_Name,(ROW()-ROW(rw_LoadOrigin)-1))="","",INDEX(rw_Cum,(ROW()-ROW(rw_LoadOrigin)-1),(COLUMN()-COLUMN(rw_LoadOrigin)-1)+1)-INDEX(rw_Cum,(ROW()-ROW(rw_LoadOrigin)-1),(COLUMN()-COLUMN(rw_LoadOrigin)-1))),"")</f>
        <v/>
      </c>
      <c r="AC37" s="76" t="str">
        <f aca="false">IFERROR(IF(INDEX(res_Name,(ROW()-ROW(rw_LoadOrigin)-1))="","",INDEX(rw_Cum,(ROW()-ROW(rw_LoadOrigin)-1),(COLUMN()-COLUMN(rw_LoadOrigin)-1)+1)-INDEX(rw_Cum,(ROW()-ROW(rw_LoadOrigin)-1),(COLUMN()-COLUMN(rw_LoadOrigin)-1))),"")</f>
        <v/>
      </c>
    </row>
    <row r="38" customFormat="false" ht="15" hidden="false" customHeight="false" outlineLevel="0" collapsed="false">
      <c r="B38" s="5" t="str">
        <f aca="false">IFERROR(INDEX(res_Name,(ROW()-ROW(rw_LoadOrigin)-1))&amp;"","")</f>
        <v/>
      </c>
      <c r="C38" s="75" t="str">
        <f aca="false">IFERROR(IF(INDEX(res_Name,(ROW()-ROW(rw_LoadOrigin)-1))="","",INDEX(res_MaxUnits,(ROW()-ROW(rw_LoadOrigin)-1))),"")</f>
        <v/>
      </c>
      <c r="D38" s="76" t="str">
        <f aca="false">IFERROR(IF(INDEX(res_Name,(ROW()-ROW(rw_LoadOrigin)-1))="","",INDEX(rw_Cum,(ROW()-ROW(rw_LoadOrigin)-1),(COLUMN()-COLUMN(rw_LoadOrigin)-1)+1)-INDEX(rw_Cum,(ROW()-ROW(rw_LoadOrigin)-1),(COLUMN()-COLUMN(rw_LoadOrigin)-1))),"")</f>
        <v/>
      </c>
      <c r="E38" s="76" t="str">
        <f aca="false">IFERROR(IF(INDEX(res_Name,(ROW()-ROW(rw_LoadOrigin)-1))="","",INDEX(rw_Cum,(ROW()-ROW(rw_LoadOrigin)-1),(COLUMN()-COLUMN(rw_LoadOrigin)-1)+1)-INDEX(rw_Cum,(ROW()-ROW(rw_LoadOrigin)-1),(COLUMN()-COLUMN(rw_LoadOrigin)-1))),"")</f>
        <v/>
      </c>
      <c r="F38" s="76" t="str">
        <f aca="false">IFERROR(IF(INDEX(res_Name,(ROW()-ROW(rw_LoadOrigin)-1))="","",INDEX(rw_Cum,(ROW()-ROW(rw_LoadOrigin)-1),(COLUMN()-COLUMN(rw_LoadOrigin)-1)+1)-INDEX(rw_Cum,(ROW()-ROW(rw_LoadOrigin)-1),(COLUMN()-COLUMN(rw_LoadOrigin)-1))),"")</f>
        <v/>
      </c>
      <c r="G38" s="76" t="str">
        <f aca="false">IFERROR(IF(INDEX(res_Name,(ROW()-ROW(rw_LoadOrigin)-1))="","",INDEX(rw_Cum,(ROW()-ROW(rw_LoadOrigin)-1),(COLUMN()-COLUMN(rw_LoadOrigin)-1)+1)-INDEX(rw_Cum,(ROW()-ROW(rw_LoadOrigin)-1),(COLUMN()-COLUMN(rw_LoadOrigin)-1))),"")</f>
        <v/>
      </c>
      <c r="H38" s="76" t="str">
        <f aca="false">IFERROR(IF(INDEX(res_Name,(ROW()-ROW(rw_LoadOrigin)-1))="","",INDEX(rw_Cum,(ROW()-ROW(rw_LoadOrigin)-1),(COLUMN()-COLUMN(rw_LoadOrigin)-1)+1)-INDEX(rw_Cum,(ROW()-ROW(rw_LoadOrigin)-1),(COLUMN()-COLUMN(rw_LoadOrigin)-1))),"")</f>
        <v/>
      </c>
      <c r="I38" s="76" t="str">
        <f aca="false">IFERROR(IF(INDEX(res_Name,(ROW()-ROW(rw_LoadOrigin)-1))="","",INDEX(rw_Cum,(ROW()-ROW(rw_LoadOrigin)-1),(COLUMN()-COLUMN(rw_LoadOrigin)-1)+1)-INDEX(rw_Cum,(ROW()-ROW(rw_LoadOrigin)-1),(COLUMN()-COLUMN(rw_LoadOrigin)-1))),"")</f>
        <v/>
      </c>
      <c r="J38" s="76" t="str">
        <f aca="false">IFERROR(IF(INDEX(res_Name,(ROW()-ROW(rw_LoadOrigin)-1))="","",INDEX(rw_Cum,(ROW()-ROW(rw_LoadOrigin)-1),(COLUMN()-COLUMN(rw_LoadOrigin)-1)+1)-INDEX(rw_Cum,(ROW()-ROW(rw_LoadOrigin)-1),(COLUMN()-COLUMN(rw_LoadOrigin)-1))),"")</f>
        <v/>
      </c>
      <c r="K38" s="76" t="str">
        <f aca="false">IFERROR(IF(INDEX(res_Name,(ROW()-ROW(rw_LoadOrigin)-1))="","",INDEX(rw_Cum,(ROW()-ROW(rw_LoadOrigin)-1),(COLUMN()-COLUMN(rw_LoadOrigin)-1)+1)-INDEX(rw_Cum,(ROW()-ROW(rw_LoadOrigin)-1),(COLUMN()-COLUMN(rw_LoadOrigin)-1))),"")</f>
        <v/>
      </c>
      <c r="L38" s="76" t="str">
        <f aca="false">IFERROR(IF(INDEX(res_Name,(ROW()-ROW(rw_LoadOrigin)-1))="","",INDEX(rw_Cum,(ROW()-ROW(rw_LoadOrigin)-1),(COLUMN()-COLUMN(rw_LoadOrigin)-1)+1)-INDEX(rw_Cum,(ROW()-ROW(rw_LoadOrigin)-1),(COLUMN()-COLUMN(rw_LoadOrigin)-1))),"")</f>
        <v/>
      </c>
      <c r="M38" s="76" t="str">
        <f aca="false">IFERROR(IF(INDEX(res_Name,(ROW()-ROW(rw_LoadOrigin)-1))="","",INDEX(rw_Cum,(ROW()-ROW(rw_LoadOrigin)-1),(COLUMN()-COLUMN(rw_LoadOrigin)-1)+1)-INDEX(rw_Cum,(ROW()-ROW(rw_LoadOrigin)-1),(COLUMN()-COLUMN(rw_LoadOrigin)-1))),"")</f>
        <v/>
      </c>
      <c r="N38" s="76" t="str">
        <f aca="false">IFERROR(IF(INDEX(res_Name,(ROW()-ROW(rw_LoadOrigin)-1))="","",INDEX(rw_Cum,(ROW()-ROW(rw_LoadOrigin)-1),(COLUMN()-COLUMN(rw_LoadOrigin)-1)+1)-INDEX(rw_Cum,(ROW()-ROW(rw_LoadOrigin)-1),(COLUMN()-COLUMN(rw_LoadOrigin)-1))),"")</f>
        <v/>
      </c>
      <c r="O38" s="76" t="str">
        <f aca="false">IFERROR(IF(INDEX(res_Name,(ROW()-ROW(rw_LoadOrigin)-1))="","",INDEX(rw_Cum,(ROW()-ROW(rw_LoadOrigin)-1),(COLUMN()-COLUMN(rw_LoadOrigin)-1)+1)-INDEX(rw_Cum,(ROW()-ROW(rw_LoadOrigin)-1),(COLUMN()-COLUMN(rw_LoadOrigin)-1))),"")</f>
        <v/>
      </c>
      <c r="P38" s="76" t="str">
        <f aca="false">IFERROR(IF(INDEX(res_Name,(ROW()-ROW(rw_LoadOrigin)-1))="","",INDEX(rw_Cum,(ROW()-ROW(rw_LoadOrigin)-1),(COLUMN()-COLUMN(rw_LoadOrigin)-1)+1)-INDEX(rw_Cum,(ROW()-ROW(rw_LoadOrigin)-1),(COLUMN()-COLUMN(rw_LoadOrigin)-1))),"")</f>
        <v/>
      </c>
      <c r="Q38" s="76" t="str">
        <f aca="false">IFERROR(IF(INDEX(res_Name,(ROW()-ROW(rw_LoadOrigin)-1))="","",INDEX(rw_Cum,(ROW()-ROW(rw_LoadOrigin)-1),(COLUMN()-COLUMN(rw_LoadOrigin)-1)+1)-INDEX(rw_Cum,(ROW()-ROW(rw_LoadOrigin)-1),(COLUMN()-COLUMN(rw_LoadOrigin)-1))),"")</f>
        <v/>
      </c>
      <c r="R38" s="76" t="str">
        <f aca="false">IFERROR(IF(INDEX(res_Name,(ROW()-ROW(rw_LoadOrigin)-1))="","",INDEX(rw_Cum,(ROW()-ROW(rw_LoadOrigin)-1),(COLUMN()-COLUMN(rw_LoadOrigin)-1)+1)-INDEX(rw_Cum,(ROW()-ROW(rw_LoadOrigin)-1),(COLUMN()-COLUMN(rw_LoadOrigin)-1))),"")</f>
        <v/>
      </c>
      <c r="S38" s="76" t="str">
        <f aca="false">IFERROR(IF(INDEX(res_Name,(ROW()-ROW(rw_LoadOrigin)-1))="","",INDEX(rw_Cum,(ROW()-ROW(rw_LoadOrigin)-1),(COLUMN()-COLUMN(rw_LoadOrigin)-1)+1)-INDEX(rw_Cum,(ROW()-ROW(rw_LoadOrigin)-1),(COLUMN()-COLUMN(rw_LoadOrigin)-1))),"")</f>
        <v/>
      </c>
      <c r="T38" s="76" t="str">
        <f aca="false">IFERROR(IF(INDEX(res_Name,(ROW()-ROW(rw_LoadOrigin)-1))="","",INDEX(rw_Cum,(ROW()-ROW(rw_LoadOrigin)-1),(COLUMN()-COLUMN(rw_LoadOrigin)-1)+1)-INDEX(rw_Cum,(ROW()-ROW(rw_LoadOrigin)-1),(COLUMN()-COLUMN(rw_LoadOrigin)-1))),"")</f>
        <v/>
      </c>
      <c r="U38" s="76" t="str">
        <f aca="false">IFERROR(IF(INDEX(res_Name,(ROW()-ROW(rw_LoadOrigin)-1))="","",INDEX(rw_Cum,(ROW()-ROW(rw_LoadOrigin)-1),(COLUMN()-COLUMN(rw_LoadOrigin)-1)+1)-INDEX(rw_Cum,(ROW()-ROW(rw_LoadOrigin)-1),(COLUMN()-COLUMN(rw_LoadOrigin)-1))),"")</f>
        <v/>
      </c>
      <c r="V38" s="76" t="str">
        <f aca="false">IFERROR(IF(INDEX(res_Name,(ROW()-ROW(rw_LoadOrigin)-1))="","",INDEX(rw_Cum,(ROW()-ROW(rw_LoadOrigin)-1),(COLUMN()-COLUMN(rw_LoadOrigin)-1)+1)-INDEX(rw_Cum,(ROW()-ROW(rw_LoadOrigin)-1),(COLUMN()-COLUMN(rw_LoadOrigin)-1))),"")</f>
        <v/>
      </c>
      <c r="W38" s="76" t="str">
        <f aca="false">IFERROR(IF(INDEX(res_Name,(ROW()-ROW(rw_LoadOrigin)-1))="","",INDEX(rw_Cum,(ROW()-ROW(rw_LoadOrigin)-1),(COLUMN()-COLUMN(rw_LoadOrigin)-1)+1)-INDEX(rw_Cum,(ROW()-ROW(rw_LoadOrigin)-1),(COLUMN()-COLUMN(rw_LoadOrigin)-1))),"")</f>
        <v/>
      </c>
      <c r="X38" s="76" t="str">
        <f aca="false">IFERROR(IF(INDEX(res_Name,(ROW()-ROW(rw_LoadOrigin)-1))="","",INDEX(rw_Cum,(ROW()-ROW(rw_LoadOrigin)-1),(COLUMN()-COLUMN(rw_LoadOrigin)-1)+1)-INDEX(rw_Cum,(ROW()-ROW(rw_LoadOrigin)-1),(COLUMN()-COLUMN(rw_LoadOrigin)-1))),"")</f>
        <v/>
      </c>
      <c r="Y38" s="76" t="str">
        <f aca="false">IFERROR(IF(INDEX(res_Name,(ROW()-ROW(rw_LoadOrigin)-1))="","",INDEX(rw_Cum,(ROW()-ROW(rw_LoadOrigin)-1),(COLUMN()-COLUMN(rw_LoadOrigin)-1)+1)-INDEX(rw_Cum,(ROW()-ROW(rw_LoadOrigin)-1),(COLUMN()-COLUMN(rw_LoadOrigin)-1))),"")</f>
        <v/>
      </c>
      <c r="Z38" s="76" t="str">
        <f aca="false">IFERROR(IF(INDEX(res_Name,(ROW()-ROW(rw_LoadOrigin)-1))="","",INDEX(rw_Cum,(ROW()-ROW(rw_LoadOrigin)-1),(COLUMN()-COLUMN(rw_LoadOrigin)-1)+1)-INDEX(rw_Cum,(ROW()-ROW(rw_LoadOrigin)-1),(COLUMN()-COLUMN(rw_LoadOrigin)-1))),"")</f>
        <v/>
      </c>
      <c r="AA38" s="76" t="str">
        <f aca="false">IFERROR(IF(INDEX(res_Name,(ROW()-ROW(rw_LoadOrigin)-1))="","",INDEX(rw_Cum,(ROW()-ROW(rw_LoadOrigin)-1),(COLUMN()-COLUMN(rw_LoadOrigin)-1)+1)-INDEX(rw_Cum,(ROW()-ROW(rw_LoadOrigin)-1),(COLUMN()-COLUMN(rw_LoadOrigin)-1))),"")</f>
        <v/>
      </c>
      <c r="AB38" s="76" t="str">
        <f aca="false">IFERROR(IF(INDEX(res_Name,(ROW()-ROW(rw_LoadOrigin)-1))="","",INDEX(rw_Cum,(ROW()-ROW(rw_LoadOrigin)-1),(COLUMN()-COLUMN(rw_LoadOrigin)-1)+1)-INDEX(rw_Cum,(ROW()-ROW(rw_LoadOrigin)-1),(COLUMN()-COLUMN(rw_LoadOrigin)-1))),"")</f>
        <v/>
      </c>
      <c r="AC38" s="76" t="str">
        <f aca="false">IFERROR(IF(INDEX(res_Name,(ROW()-ROW(rw_LoadOrigin)-1))="","",INDEX(rw_Cum,(ROW()-ROW(rw_LoadOrigin)-1),(COLUMN()-COLUMN(rw_LoadOrigin)-1)+1)-INDEX(rw_Cum,(ROW()-ROW(rw_LoadOrigin)-1),(COLUMN()-COLUMN(rw_LoadOrigin)-1))),"")</f>
        <v/>
      </c>
    </row>
    <row r="39" customFormat="false" ht="15" hidden="false" customHeight="false" outlineLevel="0" collapsed="false">
      <c r="B39" s="5" t="str">
        <f aca="false">IFERROR(INDEX(res_Name,(ROW()-ROW(rw_LoadOrigin)-1))&amp;"","")</f>
        <v/>
      </c>
      <c r="C39" s="75" t="str">
        <f aca="false">IFERROR(IF(INDEX(res_Name,(ROW()-ROW(rw_LoadOrigin)-1))="","",INDEX(res_MaxUnits,(ROW()-ROW(rw_LoadOrigin)-1))),"")</f>
        <v/>
      </c>
      <c r="D39" s="76" t="str">
        <f aca="false">IFERROR(IF(INDEX(res_Name,(ROW()-ROW(rw_LoadOrigin)-1))="","",INDEX(rw_Cum,(ROW()-ROW(rw_LoadOrigin)-1),(COLUMN()-COLUMN(rw_LoadOrigin)-1)+1)-INDEX(rw_Cum,(ROW()-ROW(rw_LoadOrigin)-1),(COLUMN()-COLUMN(rw_LoadOrigin)-1))),"")</f>
        <v/>
      </c>
      <c r="E39" s="76" t="str">
        <f aca="false">IFERROR(IF(INDEX(res_Name,(ROW()-ROW(rw_LoadOrigin)-1))="","",INDEX(rw_Cum,(ROW()-ROW(rw_LoadOrigin)-1),(COLUMN()-COLUMN(rw_LoadOrigin)-1)+1)-INDEX(rw_Cum,(ROW()-ROW(rw_LoadOrigin)-1),(COLUMN()-COLUMN(rw_LoadOrigin)-1))),"")</f>
        <v/>
      </c>
      <c r="F39" s="76" t="str">
        <f aca="false">IFERROR(IF(INDEX(res_Name,(ROW()-ROW(rw_LoadOrigin)-1))="","",INDEX(rw_Cum,(ROW()-ROW(rw_LoadOrigin)-1),(COLUMN()-COLUMN(rw_LoadOrigin)-1)+1)-INDEX(rw_Cum,(ROW()-ROW(rw_LoadOrigin)-1),(COLUMN()-COLUMN(rw_LoadOrigin)-1))),"")</f>
        <v/>
      </c>
      <c r="G39" s="76" t="str">
        <f aca="false">IFERROR(IF(INDEX(res_Name,(ROW()-ROW(rw_LoadOrigin)-1))="","",INDEX(rw_Cum,(ROW()-ROW(rw_LoadOrigin)-1),(COLUMN()-COLUMN(rw_LoadOrigin)-1)+1)-INDEX(rw_Cum,(ROW()-ROW(rw_LoadOrigin)-1),(COLUMN()-COLUMN(rw_LoadOrigin)-1))),"")</f>
        <v/>
      </c>
      <c r="H39" s="76" t="str">
        <f aca="false">IFERROR(IF(INDEX(res_Name,(ROW()-ROW(rw_LoadOrigin)-1))="","",INDEX(rw_Cum,(ROW()-ROW(rw_LoadOrigin)-1),(COLUMN()-COLUMN(rw_LoadOrigin)-1)+1)-INDEX(rw_Cum,(ROW()-ROW(rw_LoadOrigin)-1),(COLUMN()-COLUMN(rw_LoadOrigin)-1))),"")</f>
        <v/>
      </c>
      <c r="I39" s="76" t="str">
        <f aca="false">IFERROR(IF(INDEX(res_Name,(ROW()-ROW(rw_LoadOrigin)-1))="","",INDEX(rw_Cum,(ROW()-ROW(rw_LoadOrigin)-1),(COLUMN()-COLUMN(rw_LoadOrigin)-1)+1)-INDEX(rw_Cum,(ROW()-ROW(rw_LoadOrigin)-1),(COLUMN()-COLUMN(rw_LoadOrigin)-1))),"")</f>
        <v/>
      </c>
      <c r="J39" s="76" t="str">
        <f aca="false">IFERROR(IF(INDEX(res_Name,(ROW()-ROW(rw_LoadOrigin)-1))="","",INDEX(rw_Cum,(ROW()-ROW(rw_LoadOrigin)-1),(COLUMN()-COLUMN(rw_LoadOrigin)-1)+1)-INDEX(rw_Cum,(ROW()-ROW(rw_LoadOrigin)-1),(COLUMN()-COLUMN(rw_LoadOrigin)-1))),"")</f>
        <v/>
      </c>
      <c r="K39" s="76" t="str">
        <f aca="false">IFERROR(IF(INDEX(res_Name,(ROW()-ROW(rw_LoadOrigin)-1))="","",INDEX(rw_Cum,(ROW()-ROW(rw_LoadOrigin)-1),(COLUMN()-COLUMN(rw_LoadOrigin)-1)+1)-INDEX(rw_Cum,(ROW()-ROW(rw_LoadOrigin)-1),(COLUMN()-COLUMN(rw_LoadOrigin)-1))),"")</f>
        <v/>
      </c>
      <c r="L39" s="76" t="str">
        <f aca="false">IFERROR(IF(INDEX(res_Name,(ROW()-ROW(rw_LoadOrigin)-1))="","",INDEX(rw_Cum,(ROW()-ROW(rw_LoadOrigin)-1),(COLUMN()-COLUMN(rw_LoadOrigin)-1)+1)-INDEX(rw_Cum,(ROW()-ROW(rw_LoadOrigin)-1),(COLUMN()-COLUMN(rw_LoadOrigin)-1))),"")</f>
        <v/>
      </c>
      <c r="M39" s="76" t="str">
        <f aca="false">IFERROR(IF(INDEX(res_Name,(ROW()-ROW(rw_LoadOrigin)-1))="","",INDEX(rw_Cum,(ROW()-ROW(rw_LoadOrigin)-1),(COLUMN()-COLUMN(rw_LoadOrigin)-1)+1)-INDEX(rw_Cum,(ROW()-ROW(rw_LoadOrigin)-1),(COLUMN()-COLUMN(rw_LoadOrigin)-1))),"")</f>
        <v/>
      </c>
      <c r="N39" s="76" t="str">
        <f aca="false">IFERROR(IF(INDEX(res_Name,(ROW()-ROW(rw_LoadOrigin)-1))="","",INDEX(rw_Cum,(ROW()-ROW(rw_LoadOrigin)-1),(COLUMN()-COLUMN(rw_LoadOrigin)-1)+1)-INDEX(rw_Cum,(ROW()-ROW(rw_LoadOrigin)-1),(COLUMN()-COLUMN(rw_LoadOrigin)-1))),"")</f>
        <v/>
      </c>
      <c r="O39" s="76" t="str">
        <f aca="false">IFERROR(IF(INDEX(res_Name,(ROW()-ROW(rw_LoadOrigin)-1))="","",INDEX(rw_Cum,(ROW()-ROW(rw_LoadOrigin)-1),(COLUMN()-COLUMN(rw_LoadOrigin)-1)+1)-INDEX(rw_Cum,(ROW()-ROW(rw_LoadOrigin)-1),(COLUMN()-COLUMN(rw_LoadOrigin)-1))),"")</f>
        <v/>
      </c>
      <c r="P39" s="76" t="str">
        <f aca="false">IFERROR(IF(INDEX(res_Name,(ROW()-ROW(rw_LoadOrigin)-1))="","",INDEX(rw_Cum,(ROW()-ROW(rw_LoadOrigin)-1),(COLUMN()-COLUMN(rw_LoadOrigin)-1)+1)-INDEX(rw_Cum,(ROW()-ROW(rw_LoadOrigin)-1),(COLUMN()-COLUMN(rw_LoadOrigin)-1))),"")</f>
        <v/>
      </c>
      <c r="Q39" s="76" t="str">
        <f aca="false">IFERROR(IF(INDEX(res_Name,(ROW()-ROW(rw_LoadOrigin)-1))="","",INDEX(rw_Cum,(ROW()-ROW(rw_LoadOrigin)-1),(COLUMN()-COLUMN(rw_LoadOrigin)-1)+1)-INDEX(rw_Cum,(ROW()-ROW(rw_LoadOrigin)-1),(COLUMN()-COLUMN(rw_LoadOrigin)-1))),"")</f>
        <v/>
      </c>
      <c r="R39" s="76" t="str">
        <f aca="false">IFERROR(IF(INDEX(res_Name,(ROW()-ROW(rw_LoadOrigin)-1))="","",INDEX(rw_Cum,(ROW()-ROW(rw_LoadOrigin)-1),(COLUMN()-COLUMN(rw_LoadOrigin)-1)+1)-INDEX(rw_Cum,(ROW()-ROW(rw_LoadOrigin)-1),(COLUMN()-COLUMN(rw_LoadOrigin)-1))),"")</f>
        <v/>
      </c>
      <c r="S39" s="76" t="str">
        <f aca="false">IFERROR(IF(INDEX(res_Name,(ROW()-ROW(rw_LoadOrigin)-1))="","",INDEX(rw_Cum,(ROW()-ROW(rw_LoadOrigin)-1),(COLUMN()-COLUMN(rw_LoadOrigin)-1)+1)-INDEX(rw_Cum,(ROW()-ROW(rw_LoadOrigin)-1),(COLUMN()-COLUMN(rw_LoadOrigin)-1))),"")</f>
        <v/>
      </c>
      <c r="T39" s="76" t="str">
        <f aca="false">IFERROR(IF(INDEX(res_Name,(ROW()-ROW(rw_LoadOrigin)-1))="","",INDEX(rw_Cum,(ROW()-ROW(rw_LoadOrigin)-1),(COLUMN()-COLUMN(rw_LoadOrigin)-1)+1)-INDEX(rw_Cum,(ROW()-ROW(rw_LoadOrigin)-1),(COLUMN()-COLUMN(rw_LoadOrigin)-1))),"")</f>
        <v/>
      </c>
      <c r="U39" s="76" t="str">
        <f aca="false">IFERROR(IF(INDEX(res_Name,(ROW()-ROW(rw_LoadOrigin)-1))="","",INDEX(rw_Cum,(ROW()-ROW(rw_LoadOrigin)-1),(COLUMN()-COLUMN(rw_LoadOrigin)-1)+1)-INDEX(rw_Cum,(ROW()-ROW(rw_LoadOrigin)-1),(COLUMN()-COLUMN(rw_LoadOrigin)-1))),"")</f>
        <v/>
      </c>
      <c r="V39" s="76" t="str">
        <f aca="false">IFERROR(IF(INDEX(res_Name,(ROW()-ROW(rw_LoadOrigin)-1))="","",INDEX(rw_Cum,(ROW()-ROW(rw_LoadOrigin)-1),(COLUMN()-COLUMN(rw_LoadOrigin)-1)+1)-INDEX(rw_Cum,(ROW()-ROW(rw_LoadOrigin)-1),(COLUMN()-COLUMN(rw_LoadOrigin)-1))),"")</f>
        <v/>
      </c>
      <c r="W39" s="76" t="str">
        <f aca="false">IFERROR(IF(INDEX(res_Name,(ROW()-ROW(rw_LoadOrigin)-1))="","",INDEX(rw_Cum,(ROW()-ROW(rw_LoadOrigin)-1),(COLUMN()-COLUMN(rw_LoadOrigin)-1)+1)-INDEX(rw_Cum,(ROW()-ROW(rw_LoadOrigin)-1),(COLUMN()-COLUMN(rw_LoadOrigin)-1))),"")</f>
        <v/>
      </c>
      <c r="X39" s="76" t="str">
        <f aca="false">IFERROR(IF(INDEX(res_Name,(ROW()-ROW(rw_LoadOrigin)-1))="","",INDEX(rw_Cum,(ROW()-ROW(rw_LoadOrigin)-1),(COLUMN()-COLUMN(rw_LoadOrigin)-1)+1)-INDEX(rw_Cum,(ROW()-ROW(rw_LoadOrigin)-1),(COLUMN()-COLUMN(rw_LoadOrigin)-1))),"")</f>
        <v/>
      </c>
      <c r="Y39" s="76" t="str">
        <f aca="false">IFERROR(IF(INDEX(res_Name,(ROW()-ROW(rw_LoadOrigin)-1))="","",INDEX(rw_Cum,(ROW()-ROW(rw_LoadOrigin)-1),(COLUMN()-COLUMN(rw_LoadOrigin)-1)+1)-INDEX(rw_Cum,(ROW()-ROW(rw_LoadOrigin)-1),(COLUMN()-COLUMN(rw_LoadOrigin)-1))),"")</f>
        <v/>
      </c>
      <c r="Z39" s="76" t="str">
        <f aca="false">IFERROR(IF(INDEX(res_Name,(ROW()-ROW(rw_LoadOrigin)-1))="","",INDEX(rw_Cum,(ROW()-ROW(rw_LoadOrigin)-1),(COLUMN()-COLUMN(rw_LoadOrigin)-1)+1)-INDEX(rw_Cum,(ROW()-ROW(rw_LoadOrigin)-1),(COLUMN()-COLUMN(rw_LoadOrigin)-1))),"")</f>
        <v/>
      </c>
      <c r="AA39" s="76" t="str">
        <f aca="false">IFERROR(IF(INDEX(res_Name,(ROW()-ROW(rw_LoadOrigin)-1))="","",INDEX(rw_Cum,(ROW()-ROW(rw_LoadOrigin)-1),(COLUMN()-COLUMN(rw_LoadOrigin)-1)+1)-INDEX(rw_Cum,(ROW()-ROW(rw_LoadOrigin)-1),(COLUMN()-COLUMN(rw_LoadOrigin)-1))),"")</f>
        <v/>
      </c>
      <c r="AB39" s="76" t="str">
        <f aca="false">IFERROR(IF(INDEX(res_Name,(ROW()-ROW(rw_LoadOrigin)-1))="","",INDEX(rw_Cum,(ROW()-ROW(rw_LoadOrigin)-1),(COLUMN()-COLUMN(rw_LoadOrigin)-1)+1)-INDEX(rw_Cum,(ROW()-ROW(rw_LoadOrigin)-1),(COLUMN()-COLUMN(rw_LoadOrigin)-1))),"")</f>
        <v/>
      </c>
      <c r="AC39" s="76" t="str">
        <f aca="false">IFERROR(IF(INDEX(res_Name,(ROW()-ROW(rw_LoadOrigin)-1))="","",INDEX(rw_Cum,(ROW()-ROW(rw_LoadOrigin)-1),(COLUMN()-COLUMN(rw_LoadOrigin)-1)+1)-INDEX(rw_Cum,(ROW()-ROW(rw_LoadOrigin)-1),(COLUMN()-COLUMN(rw_LoadOrigin)-1))),"")</f>
        <v/>
      </c>
    </row>
    <row r="40" customFormat="false" ht="15" hidden="false" customHeight="false" outlineLevel="0" collapsed="false">
      <c r="B40" s="5" t="str">
        <f aca="false">IFERROR(INDEX(res_Name,(ROW()-ROW(rw_LoadOrigin)-1))&amp;"","")</f>
        <v/>
      </c>
      <c r="C40" s="75" t="str">
        <f aca="false">IFERROR(IF(INDEX(res_Name,(ROW()-ROW(rw_LoadOrigin)-1))="","",INDEX(res_MaxUnits,(ROW()-ROW(rw_LoadOrigin)-1))),"")</f>
        <v/>
      </c>
      <c r="D40" s="76" t="str">
        <f aca="false">IFERROR(IF(INDEX(res_Name,(ROW()-ROW(rw_LoadOrigin)-1))="","",INDEX(rw_Cum,(ROW()-ROW(rw_LoadOrigin)-1),(COLUMN()-COLUMN(rw_LoadOrigin)-1)+1)-INDEX(rw_Cum,(ROW()-ROW(rw_LoadOrigin)-1),(COLUMN()-COLUMN(rw_LoadOrigin)-1))),"")</f>
        <v/>
      </c>
      <c r="E40" s="76" t="str">
        <f aca="false">IFERROR(IF(INDEX(res_Name,(ROW()-ROW(rw_LoadOrigin)-1))="","",INDEX(rw_Cum,(ROW()-ROW(rw_LoadOrigin)-1),(COLUMN()-COLUMN(rw_LoadOrigin)-1)+1)-INDEX(rw_Cum,(ROW()-ROW(rw_LoadOrigin)-1),(COLUMN()-COLUMN(rw_LoadOrigin)-1))),"")</f>
        <v/>
      </c>
      <c r="F40" s="76" t="str">
        <f aca="false">IFERROR(IF(INDEX(res_Name,(ROW()-ROW(rw_LoadOrigin)-1))="","",INDEX(rw_Cum,(ROW()-ROW(rw_LoadOrigin)-1),(COLUMN()-COLUMN(rw_LoadOrigin)-1)+1)-INDEX(rw_Cum,(ROW()-ROW(rw_LoadOrigin)-1),(COLUMN()-COLUMN(rw_LoadOrigin)-1))),"")</f>
        <v/>
      </c>
      <c r="G40" s="76" t="str">
        <f aca="false">IFERROR(IF(INDEX(res_Name,(ROW()-ROW(rw_LoadOrigin)-1))="","",INDEX(rw_Cum,(ROW()-ROW(rw_LoadOrigin)-1),(COLUMN()-COLUMN(rw_LoadOrigin)-1)+1)-INDEX(rw_Cum,(ROW()-ROW(rw_LoadOrigin)-1),(COLUMN()-COLUMN(rw_LoadOrigin)-1))),"")</f>
        <v/>
      </c>
      <c r="H40" s="76" t="str">
        <f aca="false">IFERROR(IF(INDEX(res_Name,(ROW()-ROW(rw_LoadOrigin)-1))="","",INDEX(rw_Cum,(ROW()-ROW(rw_LoadOrigin)-1),(COLUMN()-COLUMN(rw_LoadOrigin)-1)+1)-INDEX(rw_Cum,(ROW()-ROW(rw_LoadOrigin)-1),(COLUMN()-COLUMN(rw_LoadOrigin)-1))),"")</f>
        <v/>
      </c>
      <c r="I40" s="76" t="str">
        <f aca="false">IFERROR(IF(INDEX(res_Name,(ROW()-ROW(rw_LoadOrigin)-1))="","",INDEX(rw_Cum,(ROW()-ROW(rw_LoadOrigin)-1),(COLUMN()-COLUMN(rw_LoadOrigin)-1)+1)-INDEX(rw_Cum,(ROW()-ROW(rw_LoadOrigin)-1),(COLUMN()-COLUMN(rw_LoadOrigin)-1))),"")</f>
        <v/>
      </c>
      <c r="J40" s="76" t="str">
        <f aca="false">IFERROR(IF(INDEX(res_Name,(ROW()-ROW(rw_LoadOrigin)-1))="","",INDEX(rw_Cum,(ROW()-ROW(rw_LoadOrigin)-1),(COLUMN()-COLUMN(rw_LoadOrigin)-1)+1)-INDEX(rw_Cum,(ROW()-ROW(rw_LoadOrigin)-1),(COLUMN()-COLUMN(rw_LoadOrigin)-1))),"")</f>
        <v/>
      </c>
      <c r="K40" s="76" t="str">
        <f aca="false">IFERROR(IF(INDEX(res_Name,(ROW()-ROW(rw_LoadOrigin)-1))="","",INDEX(rw_Cum,(ROW()-ROW(rw_LoadOrigin)-1),(COLUMN()-COLUMN(rw_LoadOrigin)-1)+1)-INDEX(rw_Cum,(ROW()-ROW(rw_LoadOrigin)-1),(COLUMN()-COLUMN(rw_LoadOrigin)-1))),"")</f>
        <v/>
      </c>
      <c r="L40" s="76" t="str">
        <f aca="false">IFERROR(IF(INDEX(res_Name,(ROW()-ROW(rw_LoadOrigin)-1))="","",INDEX(rw_Cum,(ROW()-ROW(rw_LoadOrigin)-1),(COLUMN()-COLUMN(rw_LoadOrigin)-1)+1)-INDEX(rw_Cum,(ROW()-ROW(rw_LoadOrigin)-1),(COLUMN()-COLUMN(rw_LoadOrigin)-1))),"")</f>
        <v/>
      </c>
      <c r="M40" s="76" t="str">
        <f aca="false">IFERROR(IF(INDEX(res_Name,(ROW()-ROW(rw_LoadOrigin)-1))="","",INDEX(rw_Cum,(ROW()-ROW(rw_LoadOrigin)-1),(COLUMN()-COLUMN(rw_LoadOrigin)-1)+1)-INDEX(rw_Cum,(ROW()-ROW(rw_LoadOrigin)-1),(COLUMN()-COLUMN(rw_LoadOrigin)-1))),"")</f>
        <v/>
      </c>
      <c r="N40" s="76" t="str">
        <f aca="false">IFERROR(IF(INDEX(res_Name,(ROW()-ROW(rw_LoadOrigin)-1))="","",INDEX(rw_Cum,(ROW()-ROW(rw_LoadOrigin)-1),(COLUMN()-COLUMN(rw_LoadOrigin)-1)+1)-INDEX(rw_Cum,(ROW()-ROW(rw_LoadOrigin)-1),(COLUMN()-COLUMN(rw_LoadOrigin)-1))),"")</f>
        <v/>
      </c>
      <c r="O40" s="76" t="str">
        <f aca="false">IFERROR(IF(INDEX(res_Name,(ROW()-ROW(rw_LoadOrigin)-1))="","",INDEX(rw_Cum,(ROW()-ROW(rw_LoadOrigin)-1),(COLUMN()-COLUMN(rw_LoadOrigin)-1)+1)-INDEX(rw_Cum,(ROW()-ROW(rw_LoadOrigin)-1),(COLUMN()-COLUMN(rw_LoadOrigin)-1))),"")</f>
        <v/>
      </c>
      <c r="P40" s="76" t="str">
        <f aca="false">IFERROR(IF(INDEX(res_Name,(ROW()-ROW(rw_LoadOrigin)-1))="","",INDEX(rw_Cum,(ROW()-ROW(rw_LoadOrigin)-1),(COLUMN()-COLUMN(rw_LoadOrigin)-1)+1)-INDEX(rw_Cum,(ROW()-ROW(rw_LoadOrigin)-1),(COLUMN()-COLUMN(rw_LoadOrigin)-1))),"")</f>
        <v/>
      </c>
      <c r="Q40" s="76" t="str">
        <f aca="false">IFERROR(IF(INDEX(res_Name,(ROW()-ROW(rw_LoadOrigin)-1))="","",INDEX(rw_Cum,(ROW()-ROW(rw_LoadOrigin)-1),(COLUMN()-COLUMN(rw_LoadOrigin)-1)+1)-INDEX(rw_Cum,(ROW()-ROW(rw_LoadOrigin)-1),(COLUMN()-COLUMN(rw_LoadOrigin)-1))),"")</f>
        <v/>
      </c>
      <c r="R40" s="76" t="str">
        <f aca="false">IFERROR(IF(INDEX(res_Name,(ROW()-ROW(rw_LoadOrigin)-1))="","",INDEX(rw_Cum,(ROW()-ROW(rw_LoadOrigin)-1),(COLUMN()-COLUMN(rw_LoadOrigin)-1)+1)-INDEX(rw_Cum,(ROW()-ROW(rw_LoadOrigin)-1),(COLUMN()-COLUMN(rw_LoadOrigin)-1))),"")</f>
        <v/>
      </c>
      <c r="S40" s="76" t="str">
        <f aca="false">IFERROR(IF(INDEX(res_Name,(ROW()-ROW(rw_LoadOrigin)-1))="","",INDEX(rw_Cum,(ROW()-ROW(rw_LoadOrigin)-1),(COLUMN()-COLUMN(rw_LoadOrigin)-1)+1)-INDEX(rw_Cum,(ROW()-ROW(rw_LoadOrigin)-1),(COLUMN()-COLUMN(rw_LoadOrigin)-1))),"")</f>
        <v/>
      </c>
      <c r="T40" s="76" t="str">
        <f aca="false">IFERROR(IF(INDEX(res_Name,(ROW()-ROW(rw_LoadOrigin)-1))="","",INDEX(rw_Cum,(ROW()-ROW(rw_LoadOrigin)-1),(COLUMN()-COLUMN(rw_LoadOrigin)-1)+1)-INDEX(rw_Cum,(ROW()-ROW(rw_LoadOrigin)-1),(COLUMN()-COLUMN(rw_LoadOrigin)-1))),"")</f>
        <v/>
      </c>
      <c r="U40" s="76" t="str">
        <f aca="false">IFERROR(IF(INDEX(res_Name,(ROW()-ROW(rw_LoadOrigin)-1))="","",INDEX(rw_Cum,(ROW()-ROW(rw_LoadOrigin)-1),(COLUMN()-COLUMN(rw_LoadOrigin)-1)+1)-INDEX(rw_Cum,(ROW()-ROW(rw_LoadOrigin)-1),(COLUMN()-COLUMN(rw_LoadOrigin)-1))),"")</f>
        <v/>
      </c>
      <c r="V40" s="76" t="str">
        <f aca="false">IFERROR(IF(INDEX(res_Name,(ROW()-ROW(rw_LoadOrigin)-1))="","",INDEX(rw_Cum,(ROW()-ROW(rw_LoadOrigin)-1),(COLUMN()-COLUMN(rw_LoadOrigin)-1)+1)-INDEX(rw_Cum,(ROW()-ROW(rw_LoadOrigin)-1),(COLUMN()-COLUMN(rw_LoadOrigin)-1))),"")</f>
        <v/>
      </c>
      <c r="W40" s="76" t="str">
        <f aca="false">IFERROR(IF(INDEX(res_Name,(ROW()-ROW(rw_LoadOrigin)-1))="","",INDEX(rw_Cum,(ROW()-ROW(rw_LoadOrigin)-1),(COLUMN()-COLUMN(rw_LoadOrigin)-1)+1)-INDEX(rw_Cum,(ROW()-ROW(rw_LoadOrigin)-1),(COLUMN()-COLUMN(rw_LoadOrigin)-1))),"")</f>
        <v/>
      </c>
      <c r="X40" s="76" t="str">
        <f aca="false">IFERROR(IF(INDEX(res_Name,(ROW()-ROW(rw_LoadOrigin)-1))="","",INDEX(rw_Cum,(ROW()-ROW(rw_LoadOrigin)-1),(COLUMN()-COLUMN(rw_LoadOrigin)-1)+1)-INDEX(rw_Cum,(ROW()-ROW(rw_LoadOrigin)-1),(COLUMN()-COLUMN(rw_LoadOrigin)-1))),"")</f>
        <v/>
      </c>
      <c r="Y40" s="76" t="str">
        <f aca="false">IFERROR(IF(INDEX(res_Name,(ROW()-ROW(rw_LoadOrigin)-1))="","",INDEX(rw_Cum,(ROW()-ROW(rw_LoadOrigin)-1),(COLUMN()-COLUMN(rw_LoadOrigin)-1)+1)-INDEX(rw_Cum,(ROW()-ROW(rw_LoadOrigin)-1),(COLUMN()-COLUMN(rw_LoadOrigin)-1))),"")</f>
        <v/>
      </c>
      <c r="Z40" s="76" t="str">
        <f aca="false">IFERROR(IF(INDEX(res_Name,(ROW()-ROW(rw_LoadOrigin)-1))="","",INDEX(rw_Cum,(ROW()-ROW(rw_LoadOrigin)-1),(COLUMN()-COLUMN(rw_LoadOrigin)-1)+1)-INDEX(rw_Cum,(ROW()-ROW(rw_LoadOrigin)-1),(COLUMN()-COLUMN(rw_LoadOrigin)-1))),"")</f>
        <v/>
      </c>
      <c r="AA40" s="76" t="str">
        <f aca="false">IFERROR(IF(INDEX(res_Name,(ROW()-ROW(rw_LoadOrigin)-1))="","",INDEX(rw_Cum,(ROW()-ROW(rw_LoadOrigin)-1),(COLUMN()-COLUMN(rw_LoadOrigin)-1)+1)-INDEX(rw_Cum,(ROW()-ROW(rw_LoadOrigin)-1),(COLUMN()-COLUMN(rw_LoadOrigin)-1))),"")</f>
        <v/>
      </c>
      <c r="AB40" s="76" t="str">
        <f aca="false">IFERROR(IF(INDEX(res_Name,(ROW()-ROW(rw_LoadOrigin)-1))="","",INDEX(rw_Cum,(ROW()-ROW(rw_LoadOrigin)-1),(COLUMN()-COLUMN(rw_LoadOrigin)-1)+1)-INDEX(rw_Cum,(ROW()-ROW(rw_LoadOrigin)-1),(COLUMN()-COLUMN(rw_LoadOrigin)-1))),"")</f>
        <v/>
      </c>
      <c r="AC40" s="76" t="str">
        <f aca="false">IFERROR(IF(INDEX(res_Name,(ROW()-ROW(rw_LoadOrigin)-1))="","",INDEX(rw_Cum,(ROW()-ROW(rw_LoadOrigin)-1),(COLUMN()-COLUMN(rw_LoadOrigin)-1)+1)-INDEX(rw_Cum,(ROW()-ROW(rw_LoadOrigin)-1),(COLUMN()-COLUMN(rw_LoadOrigin)-1))),"")</f>
        <v/>
      </c>
    </row>
    <row r="41" customFormat="false" ht="15" hidden="false" customHeight="false" outlineLevel="0" collapsed="false">
      <c r="B41" s="5" t="str">
        <f aca="false">IFERROR(INDEX(res_Name,(ROW()-ROW(rw_LoadOrigin)-1))&amp;"","")</f>
        <v/>
      </c>
      <c r="C41" s="75" t="str">
        <f aca="false">IFERROR(IF(INDEX(res_Name,(ROW()-ROW(rw_LoadOrigin)-1))="","",INDEX(res_MaxUnits,(ROW()-ROW(rw_LoadOrigin)-1))),"")</f>
        <v/>
      </c>
      <c r="D41" s="76" t="str">
        <f aca="false">IFERROR(IF(INDEX(res_Name,(ROW()-ROW(rw_LoadOrigin)-1))="","",INDEX(rw_Cum,(ROW()-ROW(rw_LoadOrigin)-1),(COLUMN()-COLUMN(rw_LoadOrigin)-1)+1)-INDEX(rw_Cum,(ROW()-ROW(rw_LoadOrigin)-1),(COLUMN()-COLUMN(rw_LoadOrigin)-1))),"")</f>
        <v/>
      </c>
      <c r="E41" s="76" t="str">
        <f aca="false">IFERROR(IF(INDEX(res_Name,(ROW()-ROW(rw_LoadOrigin)-1))="","",INDEX(rw_Cum,(ROW()-ROW(rw_LoadOrigin)-1),(COLUMN()-COLUMN(rw_LoadOrigin)-1)+1)-INDEX(rw_Cum,(ROW()-ROW(rw_LoadOrigin)-1),(COLUMN()-COLUMN(rw_LoadOrigin)-1))),"")</f>
        <v/>
      </c>
      <c r="F41" s="76" t="str">
        <f aca="false">IFERROR(IF(INDEX(res_Name,(ROW()-ROW(rw_LoadOrigin)-1))="","",INDEX(rw_Cum,(ROW()-ROW(rw_LoadOrigin)-1),(COLUMN()-COLUMN(rw_LoadOrigin)-1)+1)-INDEX(rw_Cum,(ROW()-ROW(rw_LoadOrigin)-1),(COLUMN()-COLUMN(rw_LoadOrigin)-1))),"")</f>
        <v/>
      </c>
      <c r="G41" s="76" t="str">
        <f aca="false">IFERROR(IF(INDEX(res_Name,(ROW()-ROW(rw_LoadOrigin)-1))="","",INDEX(rw_Cum,(ROW()-ROW(rw_LoadOrigin)-1),(COLUMN()-COLUMN(rw_LoadOrigin)-1)+1)-INDEX(rw_Cum,(ROW()-ROW(rw_LoadOrigin)-1),(COLUMN()-COLUMN(rw_LoadOrigin)-1))),"")</f>
        <v/>
      </c>
      <c r="H41" s="76" t="str">
        <f aca="false">IFERROR(IF(INDEX(res_Name,(ROW()-ROW(rw_LoadOrigin)-1))="","",INDEX(rw_Cum,(ROW()-ROW(rw_LoadOrigin)-1),(COLUMN()-COLUMN(rw_LoadOrigin)-1)+1)-INDEX(rw_Cum,(ROW()-ROW(rw_LoadOrigin)-1),(COLUMN()-COLUMN(rw_LoadOrigin)-1))),"")</f>
        <v/>
      </c>
      <c r="I41" s="76" t="str">
        <f aca="false">IFERROR(IF(INDEX(res_Name,(ROW()-ROW(rw_LoadOrigin)-1))="","",INDEX(rw_Cum,(ROW()-ROW(rw_LoadOrigin)-1),(COLUMN()-COLUMN(rw_LoadOrigin)-1)+1)-INDEX(rw_Cum,(ROW()-ROW(rw_LoadOrigin)-1),(COLUMN()-COLUMN(rw_LoadOrigin)-1))),"")</f>
        <v/>
      </c>
      <c r="J41" s="76" t="str">
        <f aca="false">IFERROR(IF(INDEX(res_Name,(ROW()-ROW(rw_LoadOrigin)-1))="","",INDEX(rw_Cum,(ROW()-ROW(rw_LoadOrigin)-1),(COLUMN()-COLUMN(rw_LoadOrigin)-1)+1)-INDEX(rw_Cum,(ROW()-ROW(rw_LoadOrigin)-1),(COLUMN()-COLUMN(rw_LoadOrigin)-1))),"")</f>
        <v/>
      </c>
      <c r="K41" s="76" t="str">
        <f aca="false">IFERROR(IF(INDEX(res_Name,(ROW()-ROW(rw_LoadOrigin)-1))="","",INDEX(rw_Cum,(ROW()-ROW(rw_LoadOrigin)-1),(COLUMN()-COLUMN(rw_LoadOrigin)-1)+1)-INDEX(rw_Cum,(ROW()-ROW(rw_LoadOrigin)-1),(COLUMN()-COLUMN(rw_LoadOrigin)-1))),"")</f>
        <v/>
      </c>
      <c r="L41" s="76" t="str">
        <f aca="false">IFERROR(IF(INDEX(res_Name,(ROW()-ROW(rw_LoadOrigin)-1))="","",INDEX(rw_Cum,(ROW()-ROW(rw_LoadOrigin)-1),(COLUMN()-COLUMN(rw_LoadOrigin)-1)+1)-INDEX(rw_Cum,(ROW()-ROW(rw_LoadOrigin)-1),(COLUMN()-COLUMN(rw_LoadOrigin)-1))),"")</f>
        <v/>
      </c>
      <c r="M41" s="76" t="str">
        <f aca="false">IFERROR(IF(INDEX(res_Name,(ROW()-ROW(rw_LoadOrigin)-1))="","",INDEX(rw_Cum,(ROW()-ROW(rw_LoadOrigin)-1),(COLUMN()-COLUMN(rw_LoadOrigin)-1)+1)-INDEX(rw_Cum,(ROW()-ROW(rw_LoadOrigin)-1),(COLUMN()-COLUMN(rw_LoadOrigin)-1))),"")</f>
        <v/>
      </c>
      <c r="N41" s="76" t="str">
        <f aca="false">IFERROR(IF(INDEX(res_Name,(ROW()-ROW(rw_LoadOrigin)-1))="","",INDEX(rw_Cum,(ROW()-ROW(rw_LoadOrigin)-1),(COLUMN()-COLUMN(rw_LoadOrigin)-1)+1)-INDEX(rw_Cum,(ROW()-ROW(rw_LoadOrigin)-1),(COLUMN()-COLUMN(rw_LoadOrigin)-1))),"")</f>
        <v/>
      </c>
      <c r="O41" s="76" t="str">
        <f aca="false">IFERROR(IF(INDEX(res_Name,(ROW()-ROW(rw_LoadOrigin)-1))="","",INDEX(rw_Cum,(ROW()-ROW(rw_LoadOrigin)-1),(COLUMN()-COLUMN(rw_LoadOrigin)-1)+1)-INDEX(rw_Cum,(ROW()-ROW(rw_LoadOrigin)-1),(COLUMN()-COLUMN(rw_LoadOrigin)-1))),"")</f>
        <v/>
      </c>
      <c r="P41" s="76" t="str">
        <f aca="false">IFERROR(IF(INDEX(res_Name,(ROW()-ROW(rw_LoadOrigin)-1))="","",INDEX(rw_Cum,(ROW()-ROW(rw_LoadOrigin)-1),(COLUMN()-COLUMN(rw_LoadOrigin)-1)+1)-INDEX(rw_Cum,(ROW()-ROW(rw_LoadOrigin)-1),(COLUMN()-COLUMN(rw_LoadOrigin)-1))),"")</f>
        <v/>
      </c>
      <c r="Q41" s="76" t="str">
        <f aca="false">IFERROR(IF(INDEX(res_Name,(ROW()-ROW(rw_LoadOrigin)-1))="","",INDEX(rw_Cum,(ROW()-ROW(rw_LoadOrigin)-1),(COLUMN()-COLUMN(rw_LoadOrigin)-1)+1)-INDEX(rw_Cum,(ROW()-ROW(rw_LoadOrigin)-1),(COLUMN()-COLUMN(rw_LoadOrigin)-1))),"")</f>
        <v/>
      </c>
      <c r="R41" s="76" t="str">
        <f aca="false">IFERROR(IF(INDEX(res_Name,(ROW()-ROW(rw_LoadOrigin)-1))="","",INDEX(rw_Cum,(ROW()-ROW(rw_LoadOrigin)-1),(COLUMN()-COLUMN(rw_LoadOrigin)-1)+1)-INDEX(rw_Cum,(ROW()-ROW(rw_LoadOrigin)-1),(COLUMN()-COLUMN(rw_LoadOrigin)-1))),"")</f>
        <v/>
      </c>
      <c r="S41" s="76" t="str">
        <f aca="false">IFERROR(IF(INDEX(res_Name,(ROW()-ROW(rw_LoadOrigin)-1))="","",INDEX(rw_Cum,(ROW()-ROW(rw_LoadOrigin)-1),(COLUMN()-COLUMN(rw_LoadOrigin)-1)+1)-INDEX(rw_Cum,(ROW()-ROW(rw_LoadOrigin)-1),(COLUMN()-COLUMN(rw_LoadOrigin)-1))),"")</f>
        <v/>
      </c>
      <c r="T41" s="76" t="str">
        <f aca="false">IFERROR(IF(INDEX(res_Name,(ROW()-ROW(rw_LoadOrigin)-1))="","",INDEX(rw_Cum,(ROW()-ROW(rw_LoadOrigin)-1),(COLUMN()-COLUMN(rw_LoadOrigin)-1)+1)-INDEX(rw_Cum,(ROW()-ROW(rw_LoadOrigin)-1),(COLUMN()-COLUMN(rw_LoadOrigin)-1))),"")</f>
        <v/>
      </c>
      <c r="U41" s="76" t="str">
        <f aca="false">IFERROR(IF(INDEX(res_Name,(ROW()-ROW(rw_LoadOrigin)-1))="","",INDEX(rw_Cum,(ROW()-ROW(rw_LoadOrigin)-1),(COLUMN()-COLUMN(rw_LoadOrigin)-1)+1)-INDEX(rw_Cum,(ROW()-ROW(rw_LoadOrigin)-1),(COLUMN()-COLUMN(rw_LoadOrigin)-1))),"")</f>
        <v/>
      </c>
      <c r="V41" s="76" t="str">
        <f aca="false">IFERROR(IF(INDEX(res_Name,(ROW()-ROW(rw_LoadOrigin)-1))="","",INDEX(rw_Cum,(ROW()-ROW(rw_LoadOrigin)-1),(COLUMN()-COLUMN(rw_LoadOrigin)-1)+1)-INDEX(rw_Cum,(ROW()-ROW(rw_LoadOrigin)-1),(COLUMN()-COLUMN(rw_LoadOrigin)-1))),"")</f>
        <v/>
      </c>
      <c r="W41" s="76" t="str">
        <f aca="false">IFERROR(IF(INDEX(res_Name,(ROW()-ROW(rw_LoadOrigin)-1))="","",INDEX(rw_Cum,(ROW()-ROW(rw_LoadOrigin)-1),(COLUMN()-COLUMN(rw_LoadOrigin)-1)+1)-INDEX(rw_Cum,(ROW()-ROW(rw_LoadOrigin)-1),(COLUMN()-COLUMN(rw_LoadOrigin)-1))),"")</f>
        <v/>
      </c>
      <c r="X41" s="76" t="str">
        <f aca="false">IFERROR(IF(INDEX(res_Name,(ROW()-ROW(rw_LoadOrigin)-1))="","",INDEX(rw_Cum,(ROW()-ROW(rw_LoadOrigin)-1),(COLUMN()-COLUMN(rw_LoadOrigin)-1)+1)-INDEX(rw_Cum,(ROW()-ROW(rw_LoadOrigin)-1),(COLUMN()-COLUMN(rw_LoadOrigin)-1))),"")</f>
        <v/>
      </c>
      <c r="Y41" s="76" t="str">
        <f aca="false">IFERROR(IF(INDEX(res_Name,(ROW()-ROW(rw_LoadOrigin)-1))="","",INDEX(rw_Cum,(ROW()-ROW(rw_LoadOrigin)-1),(COLUMN()-COLUMN(rw_LoadOrigin)-1)+1)-INDEX(rw_Cum,(ROW()-ROW(rw_LoadOrigin)-1),(COLUMN()-COLUMN(rw_LoadOrigin)-1))),"")</f>
        <v/>
      </c>
      <c r="Z41" s="76" t="str">
        <f aca="false">IFERROR(IF(INDEX(res_Name,(ROW()-ROW(rw_LoadOrigin)-1))="","",INDEX(rw_Cum,(ROW()-ROW(rw_LoadOrigin)-1),(COLUMN()-COLUMN(rw_LoadOrigin)-1)+1)-INDEX(rw_Cum,(ROW()-ROW(rw_LoadOrigin)-1),(COLUMN()-COLUMN(rw_LoadOrigin)-1))),"")</f>
        <v/>
      </c>
      <c r="AA41" s="76" t="str">
        <f aca="false">IFERROR(IF(INDEX(res_Name,(ROW()-ROW(rw_LoadOrigin)-1))="","",INDEX(rw_Cum,(ROW()-ROW(rw_LoadOrigin)-1),(COLUMN()-COLUMN(rw_LoadOrigin)-1)+1)-INDEX(rw_Cum,(ROW()-ROW(rw_LoadOrigin)-1),(COLUMN()-COLUMN(rw_LoadOrigin)-1))),"")</f>
        <v/>
      </c>
      <c r="AB41" s="76" t="str">
        <f aca="false">IFERROR(IF(INDEX(res_Name,(ROW()-ROW(rw_LoadOrigin)-1))="","",INDEX(rw_Cum,(ROW()-ROW(rw_LoadOrigin)-1),(COLUMN()-COLUMN(rw_LoadOrigin)-1)+1)-INDEX(rw_Cum,(ROW()-ROW(rw_LoadOrigin)-1),(COLUMN()-COLUMN(rw_LoadOrigin)-1))),"")</f>
        <v/>
      </c>
      <c r="AC41" s="76" t="str">
        <f aca="false">IFERROR(IF(INDEX(res_Name,(ROW()-ROW(rw_LoadOrigin)-1))="","",INDEX(rw_Cum,(ROW()-ROW(rw_LoadOrigin)-1),(COLUMN()-COLUMN(rw_LoadOrigin)-1)+1)-INDEX(rw_Cum,(ROW()-ROW(rw_LoadOrigin)-1),(COLUMN()-COLUMN(rw_LoadOrigin)-1))),"")</f>
        <v/>
      </c>
    </row>
    <row r="42" customFormat="false" ht="15" hidden="false" customHeight="false" outlineLevel="0" collapsed="false">
      <c r="B42" s="5" t="str">
        <f aca="false">IFERROR(INDEX(res_Name,(ROW()-ROW(rw_LoadOrigin)-1))&amp;"","")</f>
        <v/>
      </c>
      <c r="C42" s="75" t="str">
        <f aca="false">IFERROR(IF(INDEX(res_Name,(ROW()-ROW(rw_LoadOrigin)-1))="","",INDEX(res_MaxUnits,(ROW()-ROW(rw_LoadOrigin)-1))),"")</f>
        <v/>
      </c>
      <c r="D42" s="76" t="str">
        <f aca="false">IFERROR(IF(INDEX(res_Name,(ROW()-ROW(rw_LoadOrigin)-1))="","",INDEX(rw_Cum,(ROW()-ROW(rw_LoadOrigin)-1),(COLUMN()-COLUMN(rw_LoadOrigin)-1)+1)-INDEX(rw_Cum,(ROW()-ROW(rw_LoadOrigin)-1),(COLUMN()-COLUMN(rw_LoadOrigin)-1))),"")</f>
        <v/>
      </c>
      <c r="E42" s="76" t="str">
        <f aca="false">IFERROR(IF(INDEX(res_Name,(ROW()-ROW(rw_LoadOrigin)-1))="","",INDEX(rw_Cum,(ROW()-ROW(rw_LoadOrigin)-1),(COLUMN()-COLUMN(rw_LoadOrigin)-1)+1)-INDEX(rw_Cum,(ROW()-ROW(rw_LoadOrigin)-1),(COLUMN()-COLUMN(rw_LoadOrigin)-1))),"")</f>
        <v/>
      </c>
      <c r="F42" s="76" t="str">
        <f aca="false">IFERROR(IF(INDEX(res_Name,(ROW()-ROW(rw_LoadOrigin)-1))="","",INDEX(rw_Cum,(ROW()-ROW(rw_LoadOrigin)-1),(COLUMN()-COLUMN(rw_LoadOrigin)-1)+1)-INDEX(rw_Cum,(ROW()-ROW(rw_LoadOrigin)-1),(COLUMN()-COLUMN(rw_LoadOrigin)-1))),"")</f>
        <v/>
      </c>
      <c r="G42" s="76" t="str">
        <f aca="false">IFERROR(IF(INDEX(res_Name,(ROW()-ROW(rw_LoadOrigin)-1))="","",INDEX(rw_Cum,(ROW()-ROW(rw_LoadOrigin)-1),(COLUMN()-COLUMN(rw_LoadOrigin)-1)+1)-INDEX(rw_Cum,(ROW()-ROW(rw_LoadOrigin)-1),(COLUMN()-COLUMN(rw_LoadOrigin)-1))),"")</f>
        <v/>
      </c>
      <c r="H42" s="76" t="str">
        <f aca="false">IFERROR(IF(INDEX(res_Name,(ROW()-ROW(rw_LoadOrigin)-1))="","",INDEX(rw_Cum,(ROW()-ROW(rw_LoadOrigin)-1),(COLUMN()-COLUMN(rw_LoadOrigin)-1)+1)-INDEX(rw_Cum,(ROW()-ROW(rw_LoadOrigin)-1),(COLUMN()-COLUMN(rw_LoadOrigin)-1))),"")</f>
        <v/>
      </c>
      <c r="I42" s="76" t="str">
        <f aca="false">IFERROR(IF(INDEX(res_Name,(ROW()-ROW(rw_LoadOrigin)-1))="","",INDEX(rw_Cum,(ROW()-ROW(rw_LoadOrigin)-1),(COLUMN()-COLUMN(rw_LoadOrigin)-1)+1)-INDEX(rw_Cum,(ROW()-ROW(rw_LoadOrigin)-1),(COLUMN()-COLUMN(rw_LoadOrigin)-1))),"")</f>
        <v/>
      </c>
      <c r="J42" s="76" t="str">
        <f aca="false">IFERROR(IF(INDEX(res_Name,(ROW()-ROW(rw_LoadOrigin)-1))="","",INDEX(rw_Cum,(ROW()-ROW(rw_LoadOrigin)-1),(COLUMN()-COLUMN(rw_LoadOrigin)-1)+1)-INDEX(rw_Cum,(ROW()-ROW(rw_LoadOrigin)-1),(COLUMN()-COLUMN(rw_LoadOrigin)-1))),"")</f>
        <v/>
      </c>
      <c r="K42" s="76" t="str">
        <f aca="false">IFERROR(IF(INDEX(res_Name,(ROW()-ROW(rw_LoadOrigin)-1))="","",INDEX(rw_Cum,(ROW()-ROW(rw_LoadOrigin)-1),(COLUMN()-COLUMN(rw_LoadOrigin)-1)+1)-INDEX(rw_Cum,(ROW()-ROW(rw_LoadOrigin)-1),(COLUMN()-COLUMN(rw_LoadOrigin)-1))),"")</f>
        <v/>
      </c>
      <c r="L42" s="76" t="str">
        <f aca="false">IFERROR(IF(INDEX(res_Name,(ROW()-ROW(rw_LoadOrigin)-1))="","",INDEX(rw_Cum,(ROW()-ROW(rw_LoadOrigin)-1),(COLUMN()-COLUMN(rw_LoadOrigin)-1)+1)-INDEX(rw_Cum,(ROW()-ROW(rw_LoadOrigin)-1),(COLUMN()-COLUMN(rw_LoadOrigin)-1))),"")</f>
        <v/>
      </c>
      <c r="M42" s="76" t="str">
        <f aca="false">IFERROR(IF(INDEX(res_Name,(ROW()-ROW(rw_LoadOrigin)-1))="","",INDEX(rw_Cum,(ROW()-ROW(rw_LoadOrigin)-1),(COLUMN()-COLUMN(rw_LoadOrigin)-1)+1)-INDEX(rw_Cum,(ROW()-ROW(rw_LoadOrigin)-1),(COLUMN()-COLUMN(rw_LoadOrigin)-1))),"")</f>
        <v/>
      </c>
      <c r="N42" s="76" t="str">
        <f aca="false">IFERROR(IF(INDEX(res_Name,(ROW()-ROW(rw_LoadOrigin)-1))="","",INDEX(rw_Cum,(ROW()-ROW(rw_LoadOrigin)-1),(COLUMN()-COLUMN(rw_LoadOrigin)-1)+1)-INDEX(rw_Cum,(ROW()-ROW(rw_LoadOrigin)-1),(COLUMN()-COLUMN(rw_LoadOrigin)-1))),"")</f>
        <v/>
      </c>
      <c r="O42" s="76" t="str">
        <f aca="false">IFERROR(IF(INDEX(res_Name,(ROW()-ROW(rw_LoadOrigin)-1))="","",INDEX(rw_Cum,(ROW()-ROW(rw_LoadOrigin)-1),(COLUMN()-COLUMN(rw_LoadOrigin)-1)+1)-INDEX(rw_Cum,(ROW()-ROW(rw_LoadOrigin)-1),(COLUMN()-COLUMN(rw_LoadOrigin)-1))),"")</f>
        <v/>
      </c>
      <c r="P42" s="76" t="str">
        <f aca="false">IFERROR(IF(INDEX(res_Name,(ROW()-ROW(rw_LoadOrigin)-1))="","",INDEX(rw_Cum,(ROW()-ROW(rw_LoadOrigin)-1),(COLUMN()-COLUMN(rw_LoadOrigin)-1)+1)-INDEX(rw_Cum,(ROW()-ROW(rw_LoadOrigin)-1),(COLUMN()-COLUMN(rw_LoadOrigin)-1))),"")</f>
        <v/>
      </c>
      <c r="Q42" s="76" t="str">
        <f aca="false">IFERROR(IF(INDEX(res_Name,(ROW()-ROW(rw_LoadOrigin)-1))="","",INDEX(rw_Cum,(ROW()-ROW(rw_LoadOrigin)-1),(COLUMN()-COLUMN(rw_LoadOrigin)-1)+1)-INDEX(rw_Cum,(ROW()-ROW(rw_LoadOrigin)-1),(COLUMN()-COLUMN(rw_LoadOrigin)-1))),"")</f>
        <v/>
      </c>
      <c r="R42" s="76" t="str">
        <f aca="false">IFERROR(IF(INDEX(res_Name,(ROW()-ROW(rw_LoadOrigin)-1))="","",INDEX(rw_Cum,(ROW()-ROW(rw_LoadOrigin)-1),(COLUMN()-COLUMN(rw_LoadOrigin)-1)+1)-INDEX(rw_Cum,(ROW()-ROW(rw_LoadOrigin)-1),(COLUMN()-COLUMN(rw_LoadOrigin)-1))),"")</f>
        <v/>
      </c>
      <c r="S42" s="76" t="str">
        <f aca="false">IFERROR(IF(INDEX(res_Name,(ROW()-ROW(rw_LoadOrigin)-1))="","",INDEX(rw_Cum,(ROW()-ROW(rw_LoadOrigin)-1),(COLUMN()-COLUMN(rw_LoadOrigin)-1)+1)-INDEX(rw_Cum,(ROW()-ROW(rw_LoadOrigin)-1),(COLUMN()-COLUMN(rw_LoadOrigin)-1))),"")</f>
        <v/>
      </c>
      <c r="T42" s="76" t="str">
        <f aca="false">IFERROR(IF(INDEX(res_Name,(ROW()-ROW(rw_LoadOrigin)-1))="","",INDEX(rw_Cum,(ROW()-ROW(rw_LoadOrigin)-1),(COLUMN()-COLUMN(rw_LoadOrigin)-1)+1)-INDEX(rw_Cum,(ROW()-ROW(rw_LoadOrigin)-1),(COLUMN()-COLUMN(rw_LoadOrigin)-1))),"")</f>
        <v/>
      </c>
      <c r="U42" s="76" t="str">
        <f aca="false">IFERROR(IF(INDEX(res_Name,(ROW()-ROW(rw_LoadOrigin)-1))="","",INDEX(rw_Cum,(ROW()-ROW(rw_LoadOrigin)-1),(COLUMN()-COLUMN(rw_LoadOrigin)-1)+1)-INDEX(rw_Cum,(ROW()-ROW(rw_LoadOrigin)-1),(COLUMN()-COLUMN(rw_LoadOrigin)-1))),"")</f>
        <v/>
      </c>
      <c r="V42" s="76" t="str">
        <f aca="false">IFERROR(IF(INDEX(res_Name,(ROW()-ROW(rw_LoadOrigin)-1))="","",INDEX(rw_Cum,(ROW()-ROW(rw_LoadOrigin)-1),(COLUMN()-COLUMN(rw_LoadOrigin)-1)+1)-INDEX(rw_Cum,(ROW()-ROW(rw_LoadOrigin)-1),(COLUMN()-COLUMN(rw_LoadOrigin)-1))),"")</f>
        <v/>
      </c>
      <c r="W42" s="76" t="str">
        <f aca="false">IFERROR(IF(INDEX(res_Name,(ROW()-ROW(rw_LoadOrigin)-1))="","",INDEX(rw_Cum,(ROW()-ROW(rw_LoadOrigin)-1),(COLUMN()-COLUMN(rw_LoadOrigin)-1)+1)-INDEX(rw_Cum,(ROW()-ROW(rw_LoadOrigin)-1),(COLUMN()-COLUMN(rw_LoadOrigin)-1))),"")</f>
        <v/>
      </c>
      <c r="X42" s="76" t="str">
        <f aca="false">IFERROR(IF(INDEX(res_Name,(ROW()-ROW(rw_LoadOrigin)-1))="","",INDEX(rw_Cum,(ROW()-ROW(rw_LoadOrigin)-1),(COLUMN()-COLUMN(rw_LoadOrigin)-1)+1)-INDEX(rw_Cum,(ROW()-ROW(rw_LoadOrigin)-1),(COLUMN()-COLUMN(rw_LoadOrigin)-1))),"")</f>
        <v/>
      </c>
      <c r="Y42" s="76" t="str">
        <f aca="false">IFERROR(IF(INDEX(res_Name,(ROW()-ROW(rw_LoadOrigin)-1))="","",INDEX(rw_Cum,(ROW()-ROW(rw_LoadOrigin)-1),(COLUMN()-COLUMN(rw_LoadOrigin)-1)+1)-INDEX(rw_Cum,(ROW()-ROW(rw_LoadOrigin)-1),(COLUMN()-COLUMN(rw_LoadOrigin)-1))),"")</f>
        <v/>
      </c>
      <c r="Z42" s="76" t="str">
        <f aca="false">IFERROR(IF(INDEX(res_Name,(ROW()-ROW(rw_LoadOrigin)-1))="","",INDEX(rw_Cum,(ROW()-ROW(rw_LoadOrigin)-1),(COLUMN()-COLUMN(rw_LoadOrigin)-1)+1)-INDEX(rw_Cum,(ROW()-ROW(rw_LoadOrigin)-1),(COLUMN()-COLUMN(rw_LoadOrigin)-1))),"")</f>
        <v/>
      </c>
      <c r="AA42" s="76" t="str">
        <f aca="false">IFERROR(IF(INDEX(res_Name,(ROW()-ROW(rw_LoadOrigin)-1))="","",INDEX(rw_Cum,(ROW()-ROW(rw_LoadOrigin)-1),(COLUMN()-COLUMN(rw_LoadOrigin)-1)+1)-INDEX(rw_Cum,(ROW()-ROW(rw_LoadOrigin)-1),(COLUMN()-COLUMN(rw_LoadOrigin)-1))),"")</f>
        <v/>
      </c>
      <c r="AB42" s="76" t="str">
        <f aca="false">IFERROR(IF(INDEX(res_Name,(ROW()-ROW(rw_LoadOrigin)-1))="","",INDEX(rw_Cum,(ROW()-ROW(rw_LoadOrigin)-1),(COLUMN()-COLUMN(rw_LoadOrigin)-1)+1)-INDEX(rw_Cum,(ROW()-ROW(rw_LoadOrigin)-1),(COLUMN()-COLUMN(rw_LoadOrigin)-1))),"")</f>
        <v/>
      </c>
      <c r="AC42" s="76" t="str">
        <f aca="false">IFERROR(IF(INDEX(res_Name,(ROW()-ROW(rw_LoadOrigin)-1))="","",INDEX(rw_Cum,(ROW()-ROW(rw_LoadOrigin)-1),(COLUMN()-COLUMN(rw_LoadOrigin)-1)+1)-INDEX(rw_Cum,(ROW()-ROW(rw_LoadOrigin)-1),(COLUMN()-COLUMN(rw_LoadOrigin)-1))),"")</f>
        <v/>
      </c>
    </row>
    <row r="43" customFormat="false" ht="15" hidden="false" customHeight="false" outlineLevel="0" collapsed="false">
      <c r="B43" s="5" t="str">
        <f aca="false">IFERROR(INDEX(res_Name,(ROW()-ROW(rw_LoadOrigin)-1))&amp;"","")</f>
        <v/>
      </c>
      <c r="C43" s="75" t="str">
        <f aca="false">IFERROR(IF(INDEX(res_Name,(ROW()-ROW(rw_LoadOrigin)-1))="","",INDEX(res_MaxUnits,(ROW()-ROW(rw_LoadOrigin)-1))),"")</f>
        <v/>
      </c>
      <c r="D43" s="76" t="str">
        <f aca="false">IFERROR(IF(INDEX(res_Name,(ROW()-ROW(rw_LoadOrigin)-1))="","",INDEX(rw_Cum,(ROW()-ROW(rw_LoadOrigin)-1),(COLUMN()-COLUMN(rw_LoadOrigin)-1)+1)-INDEX(rw_Cum,(ROW()-ROW(rw_LoadOrigin)-1),(COLUMN()-COLUMN(rw_LoadOrigin)-1))),"")</f>
        <v/>
      </c>
      <c r="E43" s="76" t="str">
        <f aca="false">IFERROR(IF(INDEX(res_Name,(ROW()-ROW(rw_LoadOrigin)-1))="","",INDEX(rw_Cum,(ROW()-ROW(rw_LoadOrigin)-1),(COLUMN()-COLUMN(rw_LoadOrigin)-1)+1)-INDEX(rw_Cum,(ROW()-ROW(rw_LoadOrigin)-1),(COLUMN()-COLUMN(rw_LoadOrigin)-1))),"")</f>
        <v/>
      </c>
      <c r="F43" s="76" t="str">
        <f aca="false">IFERROR(IF(INDEX(res_Name,(ROW()-ROW(rw_LoadOrigin)-1))="","",INDEX(rw_Cum,(ROW()-ROW(rw_LoadOrigin)-1),(COLUMN()-COLUMN(rw_LoadOrigin)-1)+1)-INDEX(rw_Cum,(ROW()-ROW(rw_LoadOrigin)-1),(COLUMN()-COLUMN(rw_LoadOrigin)-1))),"")</f>
        <v/>
      </c>
      <c r="G43" s="76" t="str">
        <f aca="false">IFERROR(IF(INDEX(res_Name,(ROW()-ROW(rw_LoadOrigin)-1))="","",INDEX(rw_Cum,(ROW()-ROW(rw_LoadOrigin)-1),(COLUMN()-COLUMN(rw_LoadOrigin)-1)+1)-INDEX(rw_Cum,(ROW()-ROW(rw_LoadOrigin)-1),(COLUMN()-COLUMN(rw_LoadOrigin)-1))),"")</f>
        <v/>
      </c>
      <c r="H43" s="76" t="str">
        <f aca="false">IFERROR(IF(INDEX(res_Name,(ROW()-ROW(rw_LoadOrigin)-1))="","",INDEX(rw_Cum,(ROW()-ROW(rw_LoadOrigin)-1),(COLUMN()-COLUMN(rw_LoadOrigin)-1)+1)-INDEX(rw_Cum,(ROW()-ROW(rw_LoadOrigin)-1),(COLUMN()-COLUMN(rw_LoadOrigin)-1))),"")</f>
        <v/>
      </c>
      <c r="I43" s="76" t="str">
        <f aca="false">IFERROR(IF(INDEX(res_Name,(ROW()-ROW(rw_LoadOrigin)-1))="","",INDEX(rw_Cum,(ROW()-ROW(rw_LoadOrigin)-1),(COLUMN()-COLUMN(rw_LoadOrigin)-1)+1)-INDEX(rw_Cum,(ROW()-ROW(rw_LoadOrigin)-1),(COLUMN()-COLUMN(rw_LoadOrigin)-1))),"")</f>
        <v/>
      </c>
      <c r="J43" s="76" t="str">
        <f aca="false">IFERROR(IF(INDEX(res_Name,(ROW()-ROW(rw_LoadOrigin)-1))="","",INDEX(rw_Cum,(ROW()-ROW(rw_LoadOrigin)-1),(COLUMN()-COLUMN(rw_LoadOrigin)-1)+1)-INDEX(rw_Cum,(ROW()-ROW(rw_LoadOrigin)-1),(COLUMN()-COLUMN(rw_LoadOrigin)-1))),"")</f>
        <v/>
      </c>
      <c r="K43" s="76" t="str">
        <f aca="false">IFERROR(IF(INDEX(res_Name,(ROW()-ROW(rw_LoadOrigin)-1))="","",INDEX(rw_Cum,(ROW()-ROW(rw_LoadOrigin)-1),(COLUMN()-COLUMN(rw_LoadOrigin)-1)+1)-INDEX(rw_Cum,(ROW()-ROW(rw_LoadOrigin)-1),(COLUMN()-COLUMN(rw_LoadOrigin)-1))),"")</f>
        <v/>
      </c>
      <c r="L43" s="76" t="str">
        <f aca="false">IFERROR(IF(INDEX(res_Name,(ROW()-ROW(rw_LoadOrigin)-1))="","",INDEX(rw_Cum,(ROW()-ROW(rw_LoadOrigin)-1),(COLUMN()-COLUMN(rw_LoadOrigin)-1)+1)-INDEX(rw_Cum,(ROW()-ROW(rw_LoadOrigin)-1),(COLUMN()-COLUMN(rw_LoadOrigin)-1))),"")</f>
        <v/>
      </c>
      <c r="M43" s="76" t="str">
        <f aca="false">IFERROR(IF(INDEX(res_Name,(ROW()-ROW(rw_LoadOrigin)-1))="","",INDEX(rw_Cum,(ROW()-ROW(rw_LoadOrigin)-1),(COLUMN()-COLUMN(rw_LoadOrigin)-1)+1)-INDEX(rw_Cum,(ROW()-ROW(rw_LoadOrigin)-1),(COLUMN()-COLUMN(rw_LoadOrigin)-1))),"")</f>
        <v/>
      </c>
      <c r="N43" s="76" t="str">
        <f aca="false">IFERROR(IF(INDEX(res_Name,(ROW()-ROW(rw_LoadOrigin)-1))="","",INDEX(rw_Cum,(ROW()-ROW(rw_LoadOrigin)-1),(COLUMN()-COLUMN(rw_LoadOrigin)-1)+1)-INDEX(rw_Cum,(ROW()-ROW(rw_LoadOrigin)-1),(COLUMN()-COLUMN(rw_LoadOrigin)-1))),"")</f>
        <v/>
      </c>
      <c r="O43" s="76" t="str">
        <f aca="false">IFERROR(IF(INDEX(res_Name,(ROW()-ROW(rw_LoadOrigin)-1))="","",INDEX(rw_Cum,(ROW()-ROW(rw_LoadOrigin)-1),(COLUMN()-COLUMN(rw_LoadOrigin)-1)+1)-INDEX(rw_Cum,(ROW()-ROW(rw_LoadOrigin)-1),(COLUMN()-COLUMN(rw_LoadOrigin)-1))),"")</f>
        <v/>
      </c>
      <c r="P43" s="76" t="str">
        <f aca="false">IFERROR(IF(INDEX(res_Name,(ROW()-ROW(rw_LoadOrigin)-1))="","",INDEX(rw_Cum,(ROW()-ROW(rw_LoadOrigin)-1),(COLUMN()-COLUMN(rw_LoadOrigin)-1)+1)-INDEX(rw_Cum,(ROW()-ROW(rw_LoadOrigin)-1),(COLUMN()-COLUMN(rw_LoadOrigin)-1))),"")</f>
        <v/>
      </c>
      <c r="Q43" s="76" t="str">
        <f aca="false">IFERROR(IF(INDEX(res_Name,(ROW()-ROW(rw_LoadOrigin)-1))="","",INDEX(rw_Cum,(ROW()-ROW(rw_LoadOrigin)-1),(COLUMN()-COLUMN(rw_LoadOrigin)-1)+1)-INDEX(rw_Cum,(ROW()-ROW(rw_LoadOrigin)-1),(COLUMN()-COLUMN(rw_LoadOrigin)-1))),"")</f>
        <v/>
      </c>
      <c r="R43" s="76" t="str">
        <f aca="false">IFERROR(IF(INDEX(res_Name,(ROW()-ROW(rw_LoadOrigin)-1))="","",INDEX(rw_Cum,(ROW()-ROW(rw_LoadOrigin)-1),(COLUMN()-COLUMN(rw_LoadOrigin)-1)+1)-INDEX(rw_Cum,(ROW()-ROW(rw_LoadOrigin)-1),(COLUMN()-COLUMN(rw_LoadOrigin)-1))),"")</f>
        <v/>
      </c>
      <c r="S43" s="76" t="str">
        <f aca="false">IFERROR(IF(INDEX(res_Name,(ROW()-ROW(rw_LoadOrigin)-1))="","",INDEX(rw_Cum,(ROW()-ROW(rw_LoadOrigin)-1),(COLUMN()-COLUMN(rw_LoadOrigin)-1)+1)-INDEX(rw_Cum,(ROW()-ROW(rw_LoadOrigin)-1),(COLUMN()-COLUMN(rw_LoadOrigin)-1))),"")</f>
        <v/>
      </c>
      <c r="T43" s="76" t="str">
        <f aca="false">IFERROR(IF(INDEX(res_Name,(ROW()-ROW(rw_LoadOrigin)-1))="","",INDEX(rw_Cum,(ROW()-ROW(rw_LoadOrigin)-1),(COLUMN()-COLUMN(rw_LoadOrigin)-1)+1)-INDEX(rw_Cum,(ROW()-ROW(rw_LoadOrigin)-1),(COLUMN()-COLUMN(rw_LoadOrigin)-1))),"")</f>
        <v/>
      </c>
      <c r="U43" s="76" t="str">
        <f aca="false">IFERROR(IF(INDEX(res_Name,(ROW()-ROW(rw_LoadOrigin)-1))="","",INDEX(rw_Cum,(ROW()-ROW(rw_LoadOrigin)-1),(COLUMN()-COLUMN(rw_LoadOrigin)-1)+1)-INDEX(rw_Cum,(ROW()-ROW(rw_LoadOrigin)-1),(COLUMN()-COLUMN(rw_LoadOrigin)-1))),"")</f>
        <v/>
      </c>
      <c r="V43" s="76" t="str">
        <f aca="false">IFERROR(IF(INDEX(res_Name,(ROW()-ROW(rw_LoadOrigin)-1))="","",INDEX(rw_Cum,(ROW()-ROW(rw_LoadOrigin)-1),(COLUMN()-COLUMN(rw_LoadOrigin)-1)+1)-INDEX(rw_Cum,(ROW()-ROW(rw_LoadOrigin)-1),(COLUMN()-COLUMN(rw_LoadOrigin)-1))),"")</f>
        <v/>
      </c>
      <c r="W43" s="76" t="str">
        <f aca="false">IFERROR(IF(INDEX(res_Name,(ROW()-ROW(rw_LoadOrigin)-1))="","",INDEX(rw_Cum,(ROW()-ROW(rw_LoadOrigin)-1),(COLUMN()-COLUMN(rw_LoadOrigin)-1)+1)-INDEX(rw_Cum,(ROW()-ROW(rw_LoadOrigin)-1),(COLUMN()-COLUMN(rw_LoadOrigin)-1))),"")</f>
        <v/>
      </c>
      <c r="X43" s="76" t="str">
        <f aca="false">IFERROR(IF(INDEX(res_Name,(ROW()-ROW(rw_LoadOrigin)-1))="","",INDEX(rw_Cum,(ROW()-ROW(rw_LoadOrigin)-1),(COLUMN()-COLUMN(rw_LoadOrigin)-1)+1)-INDEX(rw_Cum,(ROW()-ROW(rw_LoadOrigin)-1),(COLUMN()-COLUMN(rw_LoadOrigin)-1))),"")</f>
        <v/>
      </c>
      <c r="Y43" s="76" t="str">
        <f aca="false">IFERROR(IF(INDEX(res_Name,(ROW()-ROW(rw_LoadOrigin)-1))="","",INDEX(rw_Cum,(ROW()-ROW(rw_LoadOrigin)-1),(COLUMN()-COLUMN(rw_LoadOrigin)-1)+1)-INDEX(rw_Cum,(ROW()-ROW(rw_LoadOrigin)-1),(COLUMN()-COLUMN(rw_LoadOrigin)-1))),"")</f>
        <v/>
      </c>
      <c r="Z43" s="76" t="str">
        <f aca="false">IFERROR(IF(INDEX(res_Name,(ROW()-ROW(rw_LoadOrigin)-1))="","",INDEX(rw_Cum,(ROW()-ROW(rw_LoadOrigin)-1),(COLUMN()-COLUMN(rw_LoadOrigin)-1)+1)-INDEX(rw_Cum,(ROW()-ROW(rw_LoadOrigin)-1),(COLUMN()-COLUMN(rw_LoadOrigin)-1))),"")</f>
        <v/>
      </c>
      <c r="AA43" s="76" t="str">
        <f aca="false">IFERROR(IF(INDEX(res_Name,(ROW()-ROW(rw_LoadOrigin)-1))="","",INDEX(rw_Cum,(ROW()-ROW(rw_LoadOrigin)-1),(COLUMN()-COLUMN(rw_LoadOrigin)-1)+1)-INDEX(rw_Cum,(ROW()-ROW(rw_LoadOrigin)-1),(COLUMN()-COLUMN(rw_LoadOrigin)-1))),"")</f>
        <v/>
      </c>
      <c r="AB43" s="76" t="str">
        <f aca="false">IFERROR(IF(INDEX(res_Name,(ROW()-ROW(rw_LoadOrigin)-1))="","",INDEX(rw_Cum,(ROW()-ROW(rw_LoadOrigin)-1),(COLUMN()-COLUMN(rw_LoadOrigin)-1)+1)-INDEX(rw_Cum,(ROW()-ROW(rw_LoadOrigin)-1),(COLUMN()-COLUMN(rw_LoadOrigin)-1))),"")</f>
        <v/>
      </c>
      <c r="AC43" s="76"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5" t="str">
        <f aca="false">IFERROR(INDEX(res_Name,(ROW()-ROW(rw_LoadOrigin)-1))&amp;"","")</f>
        <v/>
      </c>
      <c r="C44" s="75" t="str">
        <f aca="false">IFERROR(IF(INDEX(res_Name,(ROW()-ROW(rw_LoadOrigin)-1))="","",INDEX(res_MaxUnits,(ROW()-ROW(rw_LoadOrigin)-1))),"")</f>
        <v/>
      </c>
      <c r="D44" s="76" t="str">
        <f aca="false">IFERROR(IF(INDEX(res_Name,(ROW()-ROW(rw_LoadOrigin)-1))="","",INDEX(rw_Cum,(ROW()-ROW(rw_LoadOrigin)-1),(COLUMN()-COLUMN(rw_LoadOrigin)-1)+1)-INDEX(rw_Cum,(ROW()-ROW(rw_LoadOrigin)-1),(COLUMN()-COLUMN(rw_LoadOrigin)-1))),"")</f>
        <v/>
      </c>
      <c r="E44" s="76" t="str">
        <f aca="false">IFERROR(IF(INDEX(res_Name,(ROW()-ROW(rw_LoadOrigin)-1))="","",INDEX(rw_Cum,(ROW()-ROW(rw_LoadOrigin)-1),(COLUMN()-COLUMN(rw_LoadOrigin)-1)+1)-INDEX(rw_Cum,(ROW()-ROW(rw_LoadOrigin)-1),(COLUMN()-COLUMN(rw_LoadOrigin)-1))),"")</f>
        <v/>
      </c>
      <c r="F44" s="76" t="str">
        <f aca="false">IFERROR(IF(INDEX(res_Name,(ROW()-ROW(rw_LoadOrigin)-1))="","",INDEX(rw_Cum,(ROW()-ROW(rw_LoadOrigin)-1),(COLUMN()-COLUMN(rw_LoadOrigin)-1)+1)-INDEX(rw_Cum,(ROW()-ROW(rw_LoadOrigin)-1),(COLUMN()-COLUMN(rw_LoadOrigin)-1))),"")</f>
        <v/>
      </c>
      <c r="G44" s="76" t="str">
        <f aca="false">IFERROR(IF(INDEX(res_Name,(ROW()-ROW(rw_LoadOrigin)-1))="","",INDEX(rw_Cum,(ROW()-ROW(rw_LoadOrigin)-1),(COLUMN()-COLUMN(rw_LoadOrigin)-1)+1)-INDEX(rw_Cum,(ROW()-ROW(rw_LoadOrigin)-1),(COLUMN()-COLUMN(rw_LoadOrigin)-1))),"")</f>
        <v/>
      </c>
      <c r="H44" s="76" t="str">
        <f aca="false">IFERROR(IF(INDEX(res_Name,(ROW()-ROW(rw_LoadOrigin)-1))="","",INDEX(rw_Cum,(ROW()-ROW(rw_LoadOrigin)-1),(COLUMN()-COLUMN(rw_LoadOrigin)-1)+1)-INDEX(rw_Cum,(ROW()-ROW(rw_LoadOrigin)-1),(COLUMN()-COLUMN(rw_LoadOrigin)-1))),"")</f>
        <v/>
      </c>
      <c r="I44" s="76" t="str">
        <f aca="false">IFERROR(IF(INDEX(res_Name,(ROW()-ROW(rw_LoadOrigin)-1))="","",INDEX(rw_Cum,(ROW()-ROW(rw_LoadOrigin)-1),(COLUMN()-COLUMN(rw_LoadOrigin)-1)+1)-INDEX(rw_Cum,(ROW()-ROW(rw_LoadOrigin)-1),(COLUMN()-COLUMN(rw_LoadOrigin)-1))),"")</f>
        <v/>
      </c>
      <c r="J44" s="76" t="str">
        <f aca="false">IFERROR(IF(INDEX(res_Name,(ROW()-ROW(rw_LoadOrigin)-1))="","",INDEX(rw_Cum,(ROW()-ROW(rw_LoadOrigin)-1),(COLUMN()-COLUMN(rw_LoadOrigin)-1)+1)-INDEX(rw_Cum,(ROW()-ROW(rw_LoadOrigin)-1),(COLUMN()-COLUMN(rw_LoadOrigin)-1))),"")</f>
        <v/>
      </c>
      <c r="K44" s="76" t="str">
        <f aca="false">IFERROR(IF(INDEX(res_Name,(ROW()-ROW(rw_LoadOrigin)-1))="","",INDEX(rw_Cum,(ROW()-ROW(rw_LoadOrigin)-1),(COLUMN()-COLUMN(rw_LoadOrigin)-1)+1)-INDEX(rw_Cum,(ROW()-ROW(rw_LoadOrigin)-1),(COLUMN()-COLUMN(rw_LoadOrigin)-1))),"")</f>
        <v/>
      </c>
      <c r="L44" s="76" t="str">
        <f aca="false">IFERROR(IF(INDEX(res_Name,(ROW()-ROW(rw_LoadOrigin)-1))="","",INDEX(rw_Cum,(ROW()-ROW(rw_LoadOrigin)-1),(COLUMN()-COLUMN(rw_LoadOrigin)-1)+1)-INDEX(rw_Cum,(ROW()-ROW(rw_LoadOrigin)-1),(COLUMN()-COLUMN(rw_LoadOrigin)-1))),"")</f>
        <v/>
      </c>
      <c r="M44" s="76" t="str">
        <f aca="false">IFERROR(IF(INDEX(res_Name,(ROW()-ROW(rw_LoadOrigin)-1))="","",INDEX(rw_Cum,(ROW()-ROW(rw_LoadOrigin)-1),(COLUMN()-COLUMN(rw_LoadOrigin)-1)+1)-INDEX(rw_Cum,(ROW()-ROW(rw_LoadOrigin)-1),(COLUMN()-COLUMN(rw_LoadOrigin)-1))),"")</f>
        <v/>
      </c>
      <c r="N44" s="76" t="str">
        <f aca="false">IFERROR(IF(INDEX(res_Name,(ROW()-ROW(rw_LoadOrigin)-1))="","",INDEX(rw_Cum,(ROW()-ROW(rw_LoadOrigin)-1),(COLUMN()-COLUMN(rw_LoadOrigin)-1)+1)-INDEX(rw_Cum,(ROW()-ROW(rw_LoadOrigin)-1),(COLUMN()-COLUMN(rw_LoadOrigin)-1))),"")</f>
        <v/>
      </c>
      <c r="O44" s="76" t="str">
        <f aca="false">IFERROR(IF(INDEX(res_Name,(ROW()-ROW(rw_LoadOrigin)-1))="","",INDEX(rw_Cum,(ROW()-ROW(rw_LoadOrigin)-1),(COLUMN()-COLUMN(rw_LoadOrigin)-1)+1)-INDEX(rw_Cum,(ROW()-ROW(rw_LoadOrigin)-1),(COLUMN()-COLUMN(rw_LoadOrigin)-1))),"")</f>
        <v/>
      </c>
      <c r="P44" s="76" t="str">
        <f aca="false">IFERROR(IF(INDEX(res_Name,(ROW()-ROW(rw_LoadOrigin)-1))="","",INDEX(rw_Cum,(ROW()-ROW(rw_LoadOrigin)-1),(COLUMN()-COLUMN(rw_LoadOrigin)-1)+1)-INDEX(rw_Cum,(ROW()-ROW(rw_LoadOrigin)-1),(COLUMN()-COLUMN(rw_LoadOrigin)-1))),"")</f>
        <v/>
      </c>
      <c r="Q44" s="76" t="str">
        <f aca="false">IFERROR(IF(INDEX(res_Name,(ROW()-ROW(rw_LoadOrigin)-1))="","",INDEX(rw_Cum,(ROW()-ROW(rw_LoadOrigin)-1),(COLUMN()-COLUMN(rw_LoadOrigin)-1)+1)-INDEX(rw_Cum,(ROW()-ROW(rw_LoadOrigin)-1),(COLUMN()-COLUMN(rw_LoadOrigin)-1))),"")</f>
        <v/>
      </c>
      <c r="R44" s="76" t="str">
        <f aca="false">IFERROR(IF(INDEX(res_Name,(ROW()-ROW(rw_LoadOrigin)-1))="","",INDEX(rw_Cum,(ROW()-ROW(rw_LoadOrigin)-1),(COLUMN()-COLUMN(rw_LoadOrigin)-1)+1)-INDEX(rw_Cum,(ROW()-ROW(rw_LoadOrigin)-1),(COLUMN()-COLUMN(rw_LoadOrigin)-1))),"")</f>
        <v/>
      </c>
      <c r="S44" s="76" t="str">
        <f aca="false">IFERROR(IF(INDEX(res_Name,(ROW()-ROW(rw_LoadOrigin)-1))="","",INDEX(rw_Cum,(ROW()-ROW(rw_LoadOrigin)-1),(COLUMN()-COLUMN(rw_LoadOrigin)-1)+1)-INDEX(rw_Cum,(ROW()-ROW(rw_LoadOrigin)-1),(COLUMN()-COLUMN(rw_LoadOrigin)-1))),"")</f>
        <v/>
      </c>
      <c r="T44" s="76" t="str">
        <f aca="false">IFERROR(IF(INDEX(res_Name,(ROW()-ROW(rw_LoadOrigin)-1))="","",INDEX(rw_Cum,(ROW()-ROW(rw_LoadOrigin)-1),(COLUMN()-COLUMN(rw_LoadOrigin)-1)+1)-INDEX(rw_Cum,(ROW()-ROW(rw_LoadOrigin)-1),(COLUMN()-COLUMN(rw_LoadOrigin)-1))),"")</f>
        <v/>
      </c>
      <c r="U44" s="76" t="str">
        <f aca="false">IFERROR(IF(INDEX(res_Name,(ROW()-ROW(rw_LoadOrigin)-1))="","",INDEX(rw_Cum,(ROW()-ROW(rw_LoadOrigin)-1),(COLUMN()-COLUMN(rw_LoadOrigin)-1)+1)-INDEX(rw_Cum,(ROW()-ROW(rw_LoadOrigin)-1),(COLUMN()-COLUMN(rw_LoadOrigin)-1))),"")</f>
        <v/>
      </c>
      <c r="V44" s="76" t="str">
        <f aca="false">IFERROR(IF(INDEX(res_Name,(ROW()-ROW(rw_LoadOrigin)-1))="","",INDEX(rw_Cum,(ROW()-ROW(rw_LoadOrigin)-1),(COLUMN()-COLUMN(rw_LoadOrigin)-1)+1)-INDEX(rw_Cum,(ROW()-ROW(rw_LoadOrigin)-1),(COLUMN()-COLUMN(rw_LoadOrigin)-1))),"")</f>
        <v/>
      </c>
      <c r="W44" s="76" t="str">
        <f aca="false">IFERROR(IF(INDEX(res_Name,(ROW()-ROW(rw_LoadOrigin)-1))="","",INDEX(rw_Cum,(ROW()-ROW(rw_LoadOrigin)-1),(COLUMN()-COLUMN(rw_LoadOrigin)-1)+1)-INDEX(rw_Cum,(ROW()-ROW(rw_LoadOrigin)-1),(COLUMN()-COLUMN(rw_LoadOrigin)-1))),"")</f>
        <v/>
      </c>
      <c r="X44" s="76" t="str">
        <f aca="false">IFERROR(IF(INDEX(res_Name,(ROW()-ROW(rw_LoadOrigin)-1))="","",INDEX(rw_Cum,(ROW()-ROW(rw_LoadOrigin)-1),(COLUMN()-COLUMN(rw_LoadOrigin)-1)+1)-INDEX(rw_Cum,(ROW()-ROW(rw_LoadOrigin)-1),(COLUMN()-COLUMN(rw_LoadOrigin)-1))),"")</f>
        <v/>
      </c>
      <c r="Y44" s="76" t="str">
        <f aca="false">IFERROR(IF(INDEX(res_Name,(ROW()-ROW(rw_LoadOrigin)-1))="","",INDEX(rw_Cum,(ROW()-ROW(rw_LoadOrigin)-1),(COLUMN()-COLUMN(rw_LoadOrigin)-1)+1)-INDEX(rw_Cum,(ROW()-ROW(rw_LoadOrigin)-1),(COLUMN()-COLUMN(rw_LoadOrigin)-1))),"")</f>
        <v/>
      </c>
      <c r="Z44" s="76" t="str">
        <f aca="false">IFERROR(IF(INDEX(res_Name,(ROW()-ROW(rw_LoadOrigin)-1))="","",INDEX(rw_Cum,(ROW()-ROW(rw_LoadOrigin)-1),(COLUMN()-COLUMN(rw_LoadOrigin)-1)+1)-INDEX(rw_Cum,(ROW()-ROW(rw_LoadOrigin)-1),(COLUMN()-COLUMN(rw_LoadOrigin)-1))),"")</f>
        <v/>
      </c>
      <c r="AA44" s="76" t="str">
        <f aca="false">IFERROR(IF(INDEX(res_Name,(ROW()-ROW(rw_LoadOrigin)-1))="","",INDEX(rw_Cum,(ROW()-ROW(rw_LoadOrigin)-1),(COLUMN()-COLUMN(rw_LoadOrigin)-1)+1)-INDEX(rw_Cum,(ROW()-ROW(rw_LoadOrigin)-1),(COLUMN()-COLUMN(rw_LoadOrigin)-1))),"")</f>
        <v/>
      </c>
      <c r="AB44" s="76" t="str">
        <f aca="false">IFERROR(IF(INDEX(res_Name,(ROW()-ROW(rw_LoadOrigin)-1))="","",INDEX(rw_Cum,(ROW()-ROW(rw_LoadOrigin)-1),(COLUMN()-COLUMN(rw_LoadOrigin)-1)+1)-INDEX(rw_Cum,(ROW()-ROW(rw_LoadOrigin)-1),(COLUMN()-COLUMN(rw_LoadOrigin)-1))),"")</f>
        <v/>
      </c>
      <c r="AC44" s="76"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5" t="str">
        <f aca="false">IFERROR(INDEX(res_Name,(ROW()-ROW(rw_LoadOrigin)-1))&amp;"","")</f>
        <v/>
      </c>
      <c r="C45" s="75" t="str">
        <f aca="false">IFERROR(IF(INDEX(res_Name,(ROW()-ROW(rw_LoadOrigin)-1))="","",INDEX(res_MaxUnits,(ROW()-ROW(rw_LoadOrigin)-1))),"")</f>
        <v/>
      </c>
      <c r="D45" s="76" t="str">
        <f aca="false">IFERROR(IF(INDEX(res_Name,(ROW()-ROW(rw_LoadOrigin)-1))="","",INDEX(rw_Cum,(ROW()-ROW(rw_LoadOrigin)-1),(COLUMN()-COLUMN(rw_LoadOrigin)-1)+1)-INDEX(rw_Cum,(ROW()-ROW(rw_LoadOrigin)-1),(COLUMN()-COLUMN(rw_LoadOrigin)-1))),"")</f>
        <v/>
      </c>
      <c r="E45" s="76" t="str">
        <f aca="false">IFERROR(IF(INDEX(res_Name,(ROW()-ROW(rw_LoadOrigin)-1))="","",INDEX(rw_Cum,(ROW()-ROW(rw_LoadOrigin)-1),(COLUMN()-COLUMN(rw_LoadOrigin)-1)+1)-INDEX(rw_Cum,(ROW()-ROW(rw_LoadOrigin)-1),(COLUMN()-COLUMN(rw_LoadOrigin)-1))),"")</f>
        <v/>
      </c>
      <c r="F45" s="76" t="str">
        <f aca="false">IFERROR(IF(INDEX(res_Name,(ROW()-ROW(rw_LoadOrigin)-1))="","",INDEX(rw_Cum,(ROW()-ROW(rw_LoadOrigin)-1),(COLUMN()-COLUMN(rw_LoadOrigin)-1)+1)-INDEX(rw_Cum,(ROW()-ROW(rw_LoadOrigin)-1),(COLUMN()-COLUMN(rw_LoadOrigin)-1))),"")</f>
        <v/>
      </c>
      <c r="G45" s="76" t="str">
        <f aca="false">IFERROR(IF(INDEX(res_Name,(ROW()-ROW(rw_LoadOrigin)-1))="","",INDEX(rw_Cum,(ROW()-ROW(rw_LoadOrigin)-1),(COLUMN()-COLUMN(rw_LoadOrigin)-1)+1)-INDEX(rw_Cum,(ROW()-ROW(rw_LoadOrigin)-1),(COLUMN()-COLUMN(rw_LoadOrigin)-1))),"")</f>
        <v/>
      </c>
      <c r="H45" s="76" t="str">
        <f aca="false">IFERROR(IF(INDEX(res_Name,(ROW()-ROW(rw_LoadOrigin)-1))="","",INDEX(rw_Cum,(ROW()-ROW(rw_LoadOrigin)-1),(COLUMN()-COLUMN(rw_LoadOrigin)-1)+1)-INDEX(rw_Cum,(ROW()-ROW(rw_LoadOrigin)-1),(COLUMN()-COLUMN(rw_LoadOrigin)-1))),"")</f>
        <v/>
      </c>
      <c r="I45" s="76" t="str">
        <f aca="false">IFERROR(IF(INDEX(res_Name,(ROW()-ROW(rw_LoadOrigin)-1))="","",INDEX(rw_Cum,(ROW()-ROW(rw_LoadOrigin)-1),(COLUMN()-COLUMN(rw_LoadOrigin)-1)+1)-INDEX(rw_Cum,(ROW()-ROW(rw_LoadOrigin)-1),(COLUMN()-COLUMN(rw_LoadOrigin)-1))),"")</f>
        <v/>
      </c>
      <c r="J45" s="76" t="str">
        <f aca="false">IFERROR(IF(INDEX(res_Name,(ROW()-ROW(rw_LoadOrigin)-1))="","",INDEX(rw_Cum,(ROW()-ROW(rw_LoadOrigin)-1),(COLUMN()-COLUMN(rw_LoadOrigin)-1)+1)-INDEX(rw_Cum,(ROW()-ROW(rw_LoadOrigin)-1),(COLUMN()-COLUMN(rw_LoadOrigin)-1))),"")</f>
        <v/>
      </c>
      <c r="K45" s="76" t="str">
        <f aca="false">IFERROR(IF(INDEX(res_Name,(ROW()-ROW(rw_LoadOrigin)-1))="","",INDEX(rw_Cum,(ROW()-ROW(rw_LoadOrigin)-1),(COLUMN()-COLUMN(rw_LoadOrigin)-1)+1)-INDEX(rw_Cum,(ROW()-ROW(rw_LoadOrigin)-1),(COLUMN()-COLUMN(rw_LoadOrigin)-1))),"")</f>
        <v/>
      </c>
      <c r="L45" s="76" t="str">
        <f aca="false">IFERROR(IF(INDEX(res_Name,(ROW()-ROW(rw_LoadOrigin)-1))="","",INDEX(rw_Cum,(ROW()-ROW(rw_LoadOrigin)-1),(COLUMN()-COLUMN(rw_LoadOrigin)-1)+1)-INDEX(rw_Cum,(ROW()-ROW(rw_LoadOrigin)-1),(COLUMN()-COLUMN(rw_LoadOrigin)-1))),"")</f>
        <v/>
      </c>
      <c r="M45" s="76" t="str">
        <f aca="false">IFERROR(IF(INDEX(res_Name,(ROW()-ROW(rw_LoadOrigin)-1))="","",INDEX(rw_Cum,(ROW()-ROW(rw_LoadOrigin)-1),(COLUMN()-COLUMN(rw_LoadOrigin)-1)+1)-INDEX(rw_Cum,(ROW()-ROW(rw_LoadOrigin)-1),(COLUMN()-COLUMN(rw_LoadOrigin)-1))),"")</f>
        <v/>
      </c>
      <c r="N45" s="76" t="str">
        <f aca="false">IFERROR(IF(INDEX(res_Name,(ROW()-ROW(rw_LoadOrigin)-1))="","",INDEX(rw_Cum,(ROW()-ROW(rw_LoadOrigin)-1),(COLUMN()-COLUMN(rw_LoadOrigin)-1)+1)-INDEX(rw_Cum,(ROW()-ROW(rw_LoadOrigin)-1),(COLUMN()-COLUMN(rw_LoadOrigin)-1))),"")</f>
        <v/>
      </c>
      <c r="O45" s="76" t="str">
        <f aca="false">IFERROR(IF(INDEX(res_Name,(ROW()-ROW(rw_LoadOrigin)-1))="","",INDEX(rw_Cum,(ROW()-ROW(rw_LoadOrigin)-1),(COLUMN()-COLUMN(rw_LoadOrigin)-1)+1)-INDEX(rw_Cum,(ROW()-ROW(rw_LoadOrigin)-1),(COLUMN()-COLUMN(rw_LoadOrigin)-1))),"")</f>
        <v/>
      </c>
      <c r="P45" s="76" t="str">
        <f aca="false">IFERROR(IF(INDEX(res_Name,(ROW()-ROW(rw_LoadOrigin)-1))="","",INDEX(rw_Cum,(ROW()-ROW(rw_LoadOrigin)-1),(COLUMN()-COLUMN(rw_LoadOrigin)-1)+1)-INDEX(rw_Cum,(ROW()-ROW(rw_LoadOrigin)-1),(COLUMN()-COLUMN(rw_LoadOrigin)-1))),"")</f>
        <v/>
      </c>
      <c r="Q45" s="76" t="str">
        <f aca="false">IFERROR(IF(INDEX(res_Name,(ROW()-ROW(rw_LoadOrigin)-1))="","",INDEX(rw_Cum,(ROW()-ROW(rw_LoadOrigin)-1),(COLUMN()-COLUMN(rw_LoadOrigin)-1)+1)-INDEX(rw_Cum,(ROW()-ROW(rw_LoadOrigin)-1),(COLUMN()-COLUMN(rw_LoadOrigin)-1))),"")</f>
        <v/>
      </c>
      <c r="R45" s="76" t="str">
        <f aca="false">IFERROR(IF(INDEX(res_Name,(ROW()-ROW(rw_LoadOrigin)-1))="","",INDEX(rw_Cum,(ROW()-ROW(rw_LoadOrigin)-1),(COLUMN()-COLUMN(rw_LoadOrigin)-1)+1)-INDEX(rw_Cum,(ROW()-ROW(rw_LoadOrigin)-1),(COLUMN()-COLUMN(rw_LoadOrigin)-1))),"")</f>
        <v/>
      </c>
      <c r="S45" s="76" t="str">
        <f aca="false">IFERROR(IF(INDEX(res_Name,(ROW()-ROW(rw_LoadOrigin)-1))="","",INDEX(rw_Cum,(ROW()-ROW(rw_LoadOrigin)-1),(COLUMN()-COLUMN(rw_LoadOrigin)-1)+1)-INDEX(rw_Cum,(ROW()-ROW(rw_LoadOrigin)-1),(COLUMN()-COLUMN(rw_LoadOrigin)-1))),"")</f>
        <v/>
      </c>
      <c r="T45" s="76" t="str">
        <f aca="false">IFERROR(IF(INDEX(res_Name,(ROW()-ROW(rw_LoadOrigin)-1))="","",INDEX(rw_Cum,(ROW()-ROW(rw_LoadOrigin)-1),(COLUMN()-COLUMN(rw_LoadOrigin)-1)+1)-INDEX(rw_Cum,(ROW()-ROW(rw_LoadOrigin)-1),(COLUMN()-COLUMN(rw_LoadOrigin)-1))),"")</f>
        <v/>
      </c>
      <c r="U45" s="76" t="str">
        <f aca="false">IFERROR(IF(INDEX(res_Name,(ROW()-ROW(rw_LoadOrigin)-1))="","",INDEX(rw_Cum,(ROW()-ROW(rw_LoadOrigin)-1),(COLUMN()-COLUMN(rw_LoadOrigin)-1)+1)-INDEX(rw_Cum,(ROW()-ROW(rw_LoadOrigin)-1),(COLUMN()-COLUMN(rw_LoadOrigin)-1))),"")</f>
        <v/>
      </c>
      <c r="V45" s="76" t="str">
        <f aca="false">IFERROR(IF(INDEX(res_Name,(ROW()-ROW(rw_LoadOrigin)-1))="","",INDEX(rw_Cum,(ROW()-ROW(rw_LoadOrigin)-1),(COLUMN()-COLUMN(rw_LoadOrigin)-1)+1)-INDEX(rw_Cum,(ROW()-ROW(rw_LoadOrigin)-1),(COLUMN()-COLUMN(rw_LoadOrigin)-1))),"")</f>
        <v/>
      </c>
      <c r="W45" s="76" t="str">
        <f aca="false">IFERROR(IF(INDEX(res_Name,(ROW()-ROW(rw_LoadOrigin)-1))="","",INDEX(rw_Cum,(ROW()-ROW(rw_LoadOrigin)-1),(COLUMN()-COLUMN(rw_LoadOrigin)-1)+1)-INDEX(rw_Cum,(ROW()-ROW(rw_LoadOrigin)-1),(COLUMN()-COLUMN(rw_LoadOrigin)-1))),"")</f>
        <v/>
      </c>
      <c r="X45" s="76" t="str">
        <f aca="false">IFERROR(IF(INDEX(res_Name,(ROW()-ROW(rw_LoadOrigin)-1))="","",INDEX(rw_Cum,(ROW()-ROW(rw_LoadOrigin)-1),(COLUMN()-COLUMN(rw_LoadOrigin)-1)+1)-INDEX(rw_Cum,(ROW()-ROW(rw_LoadOrigin)-1),(COLUMN()-COLUMN(rw_LoadOrigin)-1))),"")</f>
        <v/>
      </c>
      <c r="Y45" s="76" t="str">
        <f aca="false">IFERROR(IF(INDEX(res_Name,(ROW()-ROW(rw_LoadOrigin)-1))="","",INDEX(rw_Cum,(ROW()-ROW(rw_LoadOrigin)-1),(COLUMN()-COLUMN(rw_LoadOrigin)-1)+1)-INDEX(rw_Cum,(ROW()-ROW(rw_LoadOrigin)-1),(COLUMN()-COLUMN(rw_LoadOrigin)-1))),"")</f>
        <v/>
      </c>
      <c r="Z45" s="76" t="str">
        <f aca="false">IFERROR(IF(INDEX(res_Name,(ROW()-ROW(rw_LoadOrigin)-1))="","",INDEX(rw_Cum,(ROW()-ROW(rw_LoadOrigin)-1),(COLUMN()-COLUMN(rw_LoadOrigin)-1)+1)-INDEX(rw_Cum,(ROW()-ROW(rw_LoadOrigin)-1),(COLUMN()-COLUMN(rw_LoadOrigin)-1))),"")</f>
        <v/>
      </c>
      <c r="AA45" s="76" t="str">
        <f aca="false">IFERROR(IF(INDEX(res_Name,(ROW()-ROW(rw_LoadOrigin)-1))="","",INDEX(rw_Cum,(ROW()-ROW(rw_LoadOrigin)-1),(COLUMN()-COLUMN(rw_LoadOrigin)-1)+1)-INDEX(rw_Cum,(ROW()-ROW(rw_LoadOrigin)-1),(COLUMN()-COLUMN(rw_LoadOrigin)-1))),"")</f>
        <v/>
      </c>
      <c r="AB45" s="76" t="str">
        <f aca="false">IFERROR(IF(INDEX(res_Name,(ROW()-ROW(rw_LoadOrigin)-1))="","",INDEX(rw_Cum,(ROW()-ROW(rw_LoadOrigin)-1),(COLUMN()-COLUMN(rw_LoadOrigin)-1)+1)-INDEX(rw_Cum,(ROW()-ROW(rw_LoadOrigin)-1),(COLUMN()-COLUMN(rw_LoadOrigin)-1))),"")</f>
        <v/>
      </c>
      <c r="AC45" s="76"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5" t="str">
        <f aca="false">IFERROR(INDEX(res_Name,(ROW()-ROW(rw_LoadOrigin)-1))&amp;"","")</f>
        <v/>
      </c>
      <c r="C46" s="75" t="str">
        <f aca="false">IFERROR(IF(INDEX(res_Name,(ROW()-ROW(rw_LoadOrigin)-1))="","",INDEX(res_MaxUnits,(ROW()-ROW(rw_LoadOrigin)-1))),"")</f>
        <v/>
      </c>
      <c r="D46" s="76" t="str">
        <f aca="false">IFERROR(IF(INDEX(res_Name,(ROW()-ROW(rw_LoadOrigin)-1))="","",INDEX(rw_Cum,(ROW()-ROW(rw_LoadOrigin)-1),(COLUMN()-COLUMN(rw_LoadOrigin)-1)+1)-INDEX(rw_Cum,(ROW()-ROW(rw_LoadOrigin)-1),(COLUMN()-COLUMN(rw_LoadOrigin)-1))),"")</f>
        <v/>
      </c>
      <c r="E46" s="76" t="str">
        <f aca="false">IFERROR(IF(INDEX(res_Name,(ROW()-ROW(rw_LoadOrigin)-1))="","",INDEX(rw_Cum,(ROW()-ROW(rw_LoadOrigin)-1),(COLUMN()-COLUMN(rw_LoadOrigin)-1)+1)-INDEX(rw_Cum,(ROW()-ROW(rw_LoadOrigin)-1),(COLUMN()-COLUMN(rw_LoadOrigin)-1))),"")</f>
        <v/>
      </c>
      <c r="F46" s="76" t="str">
        <f aca="false">IFERROR(IF(INDEX(res_Name,(ROW()-ROW(rw_LoadOrigin)-1))="","",INDEX(rw_Cum,(ROW()-ROW(rw_LoadOrigin)-1),(COLUMN()-COLUMN(rw_LoadOrigin)-1)+1)-INDEX(rw_Cum,(ROW()-ROW(rw_LoadOrigin)-1),(COLUMN()-COLUMN(rw_LoadOrigin)-1))),"")</f>
        <v/>
      </c>
      <c r="G46" s="76" t="str">
        <f aca="false">IFERROR(IF(INDEX(res_Name,(ROW()-ROW(rw_LoadOrigin)-1))="","",INDEX(rw_Cum,(ROW()-ROW(rw_LoadOrigin)-1),(COLUMN()-COLUMN(rw_LoadOrigin)-1)+1)-INDEX(rw_Cum,(ROW()-ROW(rw_LoadOrigin)-1),(COLUMN()-COLUMN(rw_LoadOrigin)-1))),"")</f>
        <v/>
      </c>
      <c r="H46" s="76" t="str">
        <f aca="false">IFERROR(IF(INDEX(res_Name,(ROW()-ROW(rw_LoadOrigin)-1))="","",INDEX(rw_Cum,(ROW()-ROW(rw_LoadOrigin)-1),(COLUMN()-COLUMN(rw_LoadOrigin)-1)+1)-INDEX(rw_Cum,(ROW()-ROW(rw_LoadOrigin)-1),(COLUMN()-COLUMN(rw_LoadOrigin)-1))),"")</f>
        <v/>
      </c>
      <c r="I46" s="76" t="str">
        <f aca="false">IFERROR(IF(INDEX(res_Name,(ROW()-ROW(rw_LoadOrigin)-1))="","",INDEX(rw_Cum,(ROW()-ROW(rw_LoadOrigin)-1),(COLUMN()-COLUMN(rw_LoadOrigin)-1)+1)-INDEX(rw_Cum,(ROW()-ROW(rw_LoadOrigin)-1),(COLUMN()-COLUMN(rw_LoadOrigin)-1))),"")</f>
        <v/>
      </c>
      <c r="J46" s="76" t="str">
        <f aca="false">IFERROR(IF(INDEX(res_Name,(ROW()-ROW(rw_LoadOrigin)-1))="","",INDEX(rw_Cum,(ROW()-ROW(rw_LoadOrigin)-1),(COLUMN()-COLUMN(rw_LoadOrigin)-1)+1)-INDEX(rw_Cum,(ROW()-ROW(rw_LoadOrigin)-1),(COLUMN()-COLUMN(rw_LoadOrigin)-1))),"")</f>
        <v/>
      </c>
      <c r="K46" s="76" t="str">
        <f aca="false">IFERROR(IF(INDEX(res_Name,(ROW()-ROW(rw_LoadOrigin)-1))="","",INDEX(rw_Cum,(ROW()-ROW(rw_LoadOrigin)-1),(COLUMN()-COLUMN(rw_LoadOrigin)-1)+1)-INDEX(rw_Cum,(ROW()-ROW(rw_LoadOrigin)-1),(COLUMN()-COLUMN(rw_LoadOrigin)-1))),"")</f>
        <v/>
      </c>
      <c r="L46" s="76" t="str">
        <f aca="false">IFERROR(IF(INDEX(res_Name,(ROW()-ROW(rw_LoadOrigin)-1))="","",INDEX(rw_Cum,(ROW()-ROW(rw_LoadOrigin)-1),(COLUMN()-COLUMN(rw_LoadOrigin)-1)+1)-INDEX(rw_Cum,(ROW()-ROW(rw_LoadOrigin)-1),(COLUMN()-COLUMN(rw_LoadOrigin)-1))),"")</f>
        <v/>
      </c>
      <c r="M46" s="76" t="str">
        <f aca="false">IFERROR(IF(INDEX(res_Name,(ROW()-ROW(rw_LoadOrigin)-1))="","",INDEX(rw_Cum,(ROW()-ROW(rw_LoadOrigin)-1),(COLUMN()-COLUMN(rw_LoadOrigin)-1)+1)-INDEX(rw_Cum,(ROW()-ROW(rw_LoadOrigin)-1),(COLUMN()-COLUMN(rw_LoadOrigin)-1))),"")</f>
        <v/>
      </c>
      <c r="N46" s="76" t="str">
        <f aca="false">IFERROR(IF(INDEX(res_Name,(ROW()-ROW(rw_LoadOrigin)-1))="","",INDEX(rw_Cum,(ROW()-ROW(rw_LoadOrigin)-1),(COLUMN()-COLUMN(rw_LoadOrigin)-1)+1)-INDEX(rw_Cum,(ROW()-ROW(rw_LoadOrigin)-1),(COLUMN()-COLUMN(rw_LoadOrigin)-1))),"")</f>
        <v/>
      </c>
      <c r="O46" s="76" t="str">
        <f aca="false">IFERROR(IF(INDEX(res_Name,(ROW()-ROW(rw_LoadOrigin)-1))="","",INDEX(rw_Cum,(ROW()-ROW(rw_LoadOrigin)-1),(COLUMN()-COLUMN(rw_LoadOrigin)-1)+1)-INDEX(rw_Cum,(ROW()-ROW(rw_LoadOrigin)-1),(COLUMN()-COLUMN(rw_LoadOrigin)-1))),"")</f>
        <v/>
      </c>
      <c r="P46" s="76" t="str">
        <f aca="false">IFERROR(IF(INDEX(res_Name,(ROW()-ROW(rw_LoadOrigin)-1))="","",INDEX(rw_Cum,(ROW()-ROW(rw_LoadOrigin)-1),(COLUMN()-COLUMN(rw_LoadOrigin)-1)+1)-INDEX(rw_Cum,(ROW()-ROW(rw_LoadOrigin)-1),(COLUMN()-COLUMN(rw_LoadOrigin)-1))),"")</f>
        <v/>
      </c>
      <c r="Q46" s="76" t="str">
        <f aca="false">IFERROR(IF(INDEX(res_Name,(ROW()-ROW(rw_LoadOrigin)-1))="","",INDEX(rw_Cum,(ROW()-ROW(rw_LoadOrigin)-1),(COLUMN()-COLUMN(rw_LoadOrigin)-1)+1)-INDEX(rw_Cum,(ROW()-ROW(rw_LoadOrigin)-1),(COLUMN()-COLUMN(rw_LoadOrigin)-1))),"")</f>
        <v/>
      </c>
      <c r="R46" s="76" t="str">
        <f aca="false">IFERROR(IF(INDEX(res_Name,(ROW()-ROW(rw_LoadOrigin)-1))="","",INDEX(rw_Cum,(ROW()-ROW(rw_LoadOrigin)-1),(COLUMN()-COLUMN(rw_LoadOrigin)-1)+1)-INDEX(rw_Cum,(ROW()-ROW(rw_LoadOrigin)-1),(COLUMN()-COLUMN(rw_LoadOrigin)-1))),"")</f>
        <v/>
      </c>
      <c r="S46" s="76" t="str">
        <f aca="false">IFERROR(IF(INDEX(res_Name,(ROW()-ROW(rw_LoadOrigin)-1))="","",INDEX(rw_Cum,(ROW()-ROW(rw_LoadOrigin)-1),(COLUMN()-COLUMN(rw_LoadOrigin)-1)+1)-INDEX(rw_Cum,(ROW()-ROW(rw_LoadOrigin)-1),(COLUMN()-COLUMN(rw_LoadOrigin)-1))),"")</f>
        <v/>
      </c>
      <c r="T46" s="76" t="str">
        <f aca="false">IFERROR(IF(INDEX(res_Name,(ROW()-ROW(rw_LoadOrigin)-1))="","",INDEX(rw_Cum,(ROW()-ROW(rw_LoadOrigin)-1),(COLUMN()-COLUMN(rw_LoadOrigin)-1)+1)-INDEX(rw_Cum,(ROW()-ROW(rw_LoadOrigin)-1),(COLUMN()-COLUMN(rw_LoadOrigin)-1))),"")</f>
        <v/>
      </c>
      <c r="U46" s="76" t="str">
        <f aca="false">IFERROR(IF(INDEX(res_Name,(ROW()-ROW(rw_LoadOrigin)-1))="","",INDEX(rw_Cum,(ROW()-ROW(rw_LoadOrigin)-1),(COLUMN()-COLUMN(rw_LoadOrigin)-1)+1)-INDEX(rw_Cum,(ROW()-ROW(rw_LoadOrigin)-1),(COLUMN()-COLUMN(rw_LoadOrigin)-1))),"")</f>
        <v/>
      </c>
      <c r="V46" s="76" t="str">
        <f aca="false">IFERROR(IF(INDEX(res_Name,(ROW()-ROW(rw_LoadOrigin)-1))="","",INDEX(rw_Cum,(ROW()-ROW(rw_LoadOrigin)-1),(COLUMN()-COLUMN(rw_LoadOrigin)-1)+1)-INDEX(rw_Cum,(ROW()-ROW(rw_LoadOrigin)-1),(COLUMN()-COLUMN(rw_LoadOrigin)-1))),"")</f>
        <v/>
      </c>
      <c r="W46" s="76" t="str">
        <f aca="false">IFERROR(IF(INDEX(res_Name,(ROW()-ROW(rw_LoadOrigin)-1))="","",INDEX(rw_Cum,(ROW()-ROW(rw_LoadOrigin)-1),(COLUMN()-COLUMN(rw_LoadOrigin)-1)+1)-INDEX(rw_Cum,(ROW()-ROW(rw_LoadOrigin)-1),(COLUMN()-COLUMN(rw_LoadOrigin)-1))),"")</f>
        <v/>
      </c>
      <c r="X46" s="76" t="str">
        <f aca="false">IFERROR(IF(INDEX(res_Name,(ROW()-ROW(rw_LoadOrigin)-1))="","",INDEX(rw_Cum,(ROW()-ROW(rw_LoadOrigin)-1),(COLUMN()-COLUMN(rw_LoadOrigin)-1)+1)-INDEX(rw_Cum,(ROW()-ROW(rw_LoadOrigin)-1),(COLUMN()-COLUMN(rw_LoadOrigin)-1))),"")</f>
        <v/>
      </c>
      <c r="Y46" s="76" t="str">
        <f aca="false">IFERROR(IF(INDEX(res_Name,(ROW()-ROW(rw_LoadOrigin)-1))="","",INDEX(rw_Cum,(ROW()-ROW(rw_LoadOrigin)-1),(COLUMN()-COLUMN(rw_LoadOrigin)-1)+1)-INDEX(rw_Cum,(ROW()-ROW(rw_LoadOrigin)-1),(COLUMN()-COLUMN(rw_LoadOrigin)-1))),"")</f>
        <v/>
      </c>
      <c r="Z46" s="76" t="str">
        <f aca="false">IFERROR(IF(INDEX(res_Name,(ROW()-ROW(rw_LoadOrigin)-1))="","",INDEX(rw_Cum,(ROW()-ROW(rw_LoadOrigin)-1),(COLUMN()-COLUMN(rw_LoadOrigin)-1)+1)-INDEX(rw_Cum,(ROW()-ROW(rw_LoadOrigin)-1),(COLUMN()-COLUMN(rw_LoadOrigin)-1))),"")</f>
        <v/>
      </c>
      <c r="AA46" s="76" t="str">
        <f aca="false">IFERROR(IF(INDEX(res_Name,(ROW()-ROW(rw_LoadOrigin)-1))="","",INDEX(rw_Cum,(ROW()-ROW(rw_LoadOrigin)-1),(COLUMN()-COLUMN(rw_LoadOrigin)-1)+1)-INDEX(rw_Cum,(ROW()-ROW(rw_LoadOrigin)-1),(COLUMN()-COLUMN(rw_LoadOrigin)-1))),"")</f>
        <v/>
      </c>
      <c r="AB46" s="76" t="str">
        <f aca="false">IFERROR(IF(INDEX(res_Name,(ROW()-ROW(rw_LoadOrigin)-1))="","",INDEX(rw_Cum,(ROW()-ROW(rw_LoadOrigin)-1),(COLUMN()-COLUMN(rw_LoadOrigin)-1)+1)-INDEX(rw_Cum,(ROW()-ROW(rw_LoadOrigin)-1),(COLUMN()-COLUMN(rw_LoadOrigin)-1))),"")</f>
        <v/>
      </c>
      <c r="AC46" s="76"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5" t="str">
        <f aca="false">IFERROR(INDEX(res_Name,(ROW()-ROW(rw_LoadOrigin)-1))&amp;"","")</f>
        <v/>
      </c>
      <c r="C47" s="75" t="str">
        <f aca="false">IFERROR(IF(INDEX(res_Name,(ROW()-ROW(rw_LoadOrigin)-1))="","",INDEX(res_MaxUnits,(ROW()-ROW(rw_LoadOrigin)-1))),"")</f>
        <v/>
      </c>
      <c r="D47" s="76" t="str">
        <f aca="false">IFERROR(IF(INDEX(res_Name,(ROW()-ROW(rw_LoadOrigin)-1))="","",INDEX(rw_Cum,(ROW()-ROW(rw_LoadOrigin)-1),(COLUMN()-COLUMN(rw_LoadOrigin)-1)+1)-INDEX(rw_Cum,(ROW()-ROW(rw_LoadOrigin)-1),(COLUMN()-COLUMN(rw_LoadOrigin)-1))),"")</f>
        <v/>
      </c>
      <c r="E47" s="76" t="str">
        <f aca="false">IFERROR(IF(INDEX(res_Name,(ROW()-ROW(rw_LoadOrigin)-1))="","",INDEX(rw_Cum,(ROW()-ROW(rw_LoadOrigin)-1),(COLUMN()-COLUMN(rw_LoadOrigin)-1)+1)-INDEX(rw_Cum,(ROW()-ROW(rw_LoadOrigin)-1),(COLUMN()-COLUMN(rw_LoadOrigin)-1))),"")</f>
        <v/>
      </c>
      <c r="F47" s="76" t="str">
        <f aca="false">IFERROR(IF(INDEX(res_Name,(ROW()-ROW(rw_LoadOrigin)-1))="","",INDEX(rw_Cum,(ROW()-ROW(rw_LoadOrigin)-1),(COLUMN()-COLUMN(rw_LoadOrigin)-1)+1)-INDEX(rw_Cum,(ROW()-ROW(rw_LoadOrigin)-1),(COLUMN()-COLUMN(rw_LoadOrigin)-1))),"")</f>
        <v/>
      </c>
      <c r="G47" s="76" t="str">
        <f aca="false">IFERROR(IF(INDEX(res_Name,(ROW()-ROW(rw_LoadOrigin)-1))="","",INDEX(rw_Cum,(ROW()-ROW(rw_LoadOrigin)-1),(COLUMN()-COLUMN(rw_LoadOrigin)-1)+1)-INDEX(rw_Cum,(ROW()-ROW(rw_LoadOrigin)-1),(COLUMN()-COLUMN(rw_LoadOrigin)-1))),"")</f>
        <v/>
      </c>
      <c r="H47" s="76" t="str">
        <f aca="false">IFERROR(IF(INDEX(res_Name,(ROW()-ROW(rw_LoadOrigin)-1))="","",INDEX(rw_Cum,(ROW()-ROW(rw_LoadOrigin)-1),(COLUMN()-COLUMN(rw_LoadOrigin)-1)+1)-INDEX(rw_Cum,(ROW()-ROW(rw_LoadOrigin)-1),(COLUMN()-COLUMN(rw_LoadOrigin)-1))),"")</f>
        <v/>
      </c>
      <c r="I47" s="76" t="str">
        <f aca="false">IFERROR(IF(INDEX(res_Name,(ROW()-ROW(rw_LoadOrigin)-1))="","",INDEX(rw_Cum,(ROW()-ROW(rw_LoadOrigin)-1),(COLUMN()-COLUMN(rw_LoadOrigin)-1)+1)-INDEX(rw_Cum,(ROW()-ROW(rw_LoadOrigin)-1),(COLUMN()-COLUMN(rw_LoadOrigin)-1))),"")</f>
        <v/>
      </c>
      <c r="J47" s="76" t="str">
        <f aca="false">IFERROR(IF(INDEX(res_Name,(ROW()-ROW(rw_LoadOrigin)-1))="","",INDEX(rw_Cum,(ROW()-ROW(rw_LoadOrigin)-1),(COLUMN()-COLUMN(rw_LoadOrigin)-1)+1)-INDEX(rw_Cum,(ROW()-ROW(rw_LoadOrigin)-1),(COLUMN()-COLUMN(rw_LoadOrigin)-1))),"")</f>
        <v/>
      </c>
      <c r="K47" s="76" t="str">
        <f aca="false">IFERROR(IF(INDEX(res_Name,(ROW()-ROW(rw_LoadOrigin)-1))="","",INDEX(rw_Cum,(ROW()-ROW(rw_LoadOrigin)-1),(COLUMN()-COLUMN(rw_LoadOrigin)-1)+1)-INDEX(rw_Cum,(ROW()-ROW(rw_LoadOrigin)-1),(COLUMN()-COLUMN(rw_LoadOrigin)-1))),"")</f>
        <v/>
      </c>
      <c r="L47" s="76" t="str">
        <f aca="false">IFERROR(IF(INDEX(res_Name,(ROW()-ROW(rw_LoadOrigin)-1))="","",INDEX(rw_Cum,(ROW()-ROW(rw_LoadOrigin)-1),(COLUMN()-COLUMN(rw_LoadOrigin)-1)+1)-INDEX(rw_Cum,(ROW()-ROW(rw_LoadOrigin)-1),(COLUMN()-COLUMN(rw_LoadOrigin)-1))),"")</f>
        <v/>
      </c>
      <c r="M47" s="76" t="str">
        <f aca="false">IFERROR(IF(INDEX(res_Name,(ROW()-ROW(rw_LoadOrigin)-1))="","",INDEX(rw_Cum,(ROW()-ROW(rw_LoadOrigin)-1),(COLUMN()-COLUMN(rw_LoadOrigin)-1)+1)-INDEX(rw_Cum,(ROW()-ROW(rw_LoadOrigin)-1),(COLUMN()-COLUMN(rw_LoadOrigin)-1))),"")</f>
        <v/>
      </c>
      <c r="N47" s="76" t="str">
        <f aca="false">IFERROR(IF(INDEX(res_Name,(ROW()-ROW(rw_LoadOrigin)-1))="","",INDEX(rw_Cum,(ROW()-ROW(rw_LoadOrigin)-1),(COLUMN()-COLUMN(rw_LoadOrigin)-1)+1)-INDEX(rw_Cum,(ROW()-ROW(rw_LoadOrigin)-1),(COLUMN()-COLUMN(rw_LoadOrigin)-1))),"")</f>
        <v/>
      </c>
      <c r="O47" s="76" t="str">
        <f aca="false">IFERROR(IF(INDEX(res_Name,(ROW()-ROW(rw_LoadOrigin)-1))="","",INDEX(rw_Cum,(ROW()-ROW(rw_LoadOrigin)-1),(COLUMN()-COLUMN(rw_LoadOrigin)-1)+1)-INDEX(rw_Cum,(ROW()-ROW(rw_LoadOrigin)-1),(COLUMN()-COLUMN(rw_LoadOrigin)-1))),"")</f>
        <v/>
      </c>
      <c r="P47" s="76" t="str">
        <f aca="false">IFERROR(IF(INDEX(res_Name,(ROW()-ROW(rw_LoadOrigin)-1))="","",INDEX(rw_Cum,(ROW()-ROW(rw_LoadOrigin)-1),(COLUMN()-COLUMN(rw_LoadOrigin)-1)+1)-INDEX(rw_Cum,(ROW()-ROW(rw_LoadOrigin)-1),(COLUMN()-COLUMN(rw_LoadOrigin)-1))),"")</f>
        <v/>
      </c>
      <c r="Q47" s="76" t="str">
        <f aca="false">IFERROR(IF(INDEX(res_Name,(ROW()-ROW(rw_LoadOrigin)-1))="","",INDEX(rw_Cum,(ROW()-ROW(rw_LoadOrigin)-1),(COLUMN()-COLUMN(rw_LoadOrigin)-1)+1)-INDEX(rw_Cum,(ROW()-ROW(rw_LoadOrigin)-1),(COLUMN()-COLUMN(rw_LoadOrigin)-1))),"")</f>
        <v/>
      </c>
      <c r="R47" s="76" t="str">
        <f aca="false">IFERROR(IF(INDEX(res_Name,(ROW()-ROW(rw_LoadOrigin)-1))="","",INDEX(rw_Cum,(ROW()-ROW(rw_LoadOrigin)-1),(COLUMN()-COLUMN(rw_LoadOrigin)-1)+1)-INDEX(rw_Cum,(ROW()-ROW(rw_LoadOrigin)-1),(COLUMN()-COLUMN(rw_LoadOrigin)-1))),"")</f>
        <v/>
      </c>
      <c r="S47" s="76" t="str">
        <f aca="false">IFERROR(IF(INDEX(res_Name,(ROW()-ROW(rw_LoadOrigin)-1))="","",INDEX(rw_Cum,(ROW()-ROW(rw_LoadOrigin)-1),(COLUMN()-COLUMN(rw_LoadOrigin)-1)+1)-INDEX(rw_Cum,(ROW()-ROW(rw_LoadOrigin)-1),(COLUMN()-COLUMN(rw_LoadOrigin)-1))),"")</f>
        <v/>
      </c>
      <c r="T47" s="76" t="str">
        <f aca="false">IFERROR(IF(INDEX(res_Name,(ROW()-ROW(rw_LoadOrigin)-1))="","",INDEX(rw_Cum,(ROW()-ROW(rw_LoadOrigin)-1),(COLUMN()-COLUMN(rw_LoadOrigin)-1)+1)-INDEX(rw_Cum,(ROW()-ROW(rw_LoadOrigin)-1),(COLUMN()-COLUMN(rw_LoadOrigin)-1))),"")</f>
        <v/>
      </c>
      <c r="U47" s="76" t="str">
        <f aca="false">IFERROR(IF(INDEX(res_Name,(ROW()-ROW(rw_LoadOrigin)-1))="","",INDEX(rw_Cum,(ROW()-ROW(rw_LoadOrigin)-1),(COLUMN()-COLUMN(rw_LoadOrigin)-1)+1)-INDEX(rw_Cum,(ROW()-ROW(rw_LoadOrigin)-1),(COLUMN()-COLUMN(rw_LoadOrigin)-1))),"")</f>
        <v/>
      </c>
      <c r="V47" s="76" t="str">
        <f aca="false">IFERROR(IF(INDEX(res_Name,(ROW()-ROW(rw_LoadOrigin)-1))="","",INDEX(rw_Cum,(ROW()-ROW(rw_LoadOrigin)-1),(COLUMN()-COLUMN(rw_LoadOrigin)-1)+1)-INDEX(rw_Cum,(ROW()-ROW(rw_LoadOrigin)-1),(COLUMN()-COLUMN(rw_LoadOrigin)-1))),"")</f>
        <v/>
      </c>
      <c r="W47" s="76" t="str">
        <f aca="false">IFERROR(IF(INDEX(res_Name,(ROW()-ROW(rw_LoadOrigin)-1))="","",INDEX(rw_Cum,(ROW()-ROW(rw_LoadOrigin)-1),(COLUMN()-COLUMN(rw_LoadOrigin)-1)+1)-INDEX(rw_Cum,(ROW()-ROW(rw_LoadOrigin)-1),(COLUMN()-COLUMN(rw_LoadOrigin)-1))),"")</f>
        <v/>
      </c>
      <c r="X47" s="76" t="str">
        <f aca="false">IFERROR(IF(INDEX(res_Name,(ROW()-ROW(rw_LoadOrigin)-1))="","",INDEX(rw_Cum,(ROW()-ROW(rw_LoadOrigin)-1),(COLUMN()-COLUMN(rw_LoadOrigin)-1)+1)-INDEX(rw_Cum,(ROW()-ROW(rw_LoadOrigin)-1),(COLUMN()-COLUMN(rw_LoadOrigin)-1))),"")</f>
        <v/>
      </c>
      <c r="Y47" s="76" t="str">
        <f aca="false">IFERROR(IF(INDEX(res_Name,(ROW()-ROW(rw_LoadOrigin)-1))="","",INDEX(rw_Cum,(ROW()-ROW(rw_LoadOrigin)-1),(COLUMN()-COLUMN(rw_LoadOrigin)-1)+1)-INDEX(rw_Cum,(ROW()-ROW(rw_LoadOrigin)-1),(COLUMN()-COLUMN(rw_LoadOrigin)-1))),"")</f>
        <v/>
      </c>
      <c r="Z47" s="76" t="str">
        <f aca="false">IFERROR(IF(INDEX(res_Name,(ROW()-ROW(rw_LoadOrigin)-1))="","",INDEX(rw_Cum,(ROW()-ROW(rw_LoadOrigin)-1),(COLUMN()-COLUMN(rw_LoadOrigin)-1)+1)-INDEX(rw_Cum,(ROW()-ROW(rw_LoadOrigin)-1),(COLUMN()-COLUMN(rw_LoadOrigin)-1))),"")</f>
        <v/>
      </c>
      <c r="AA47" s="76" t="str">
        <f aca="false">IFERROR(IF(INDEX(res_Name,(ROW()-ROW(rw_LoadOrigin)-1))="","",INDEX(rw_Cum,(ROW()-ROW(rw_LoadOrigin)-1),(COLUMN()-COLUMN(rw_LoadOrigin)-1)+1)-INDEX(rw_Cum,(ROW()-ROW(rw_LoadOrigin)-1),(COLUMN()-COLUMN(rw_LoadOrigin)-1))),"")</f>
        <v/>
      </c>
      <c r="AB47" s="76" t="str">
        <f aca="false">IFERROR(IF(INDEX(res_Name,(ROW()-ROW(rw_LoadOrigin)-1))="","",INDEX(rw_Cum,(ROW()-ROW(rw_LoadOrigin)-1),(COLUMN()-COLUMN(rw_LoadOrigin)-1)+1)-INDEX(rw_Cum,(ROW()-ROW(rw_LoadOrigin)-1),(COLUMN()-COLUMN(rw_LoadOrigin)-1))),"")</f>
        <v/>
      </c>
      <c r="AC47" s="76"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5" t="str">
        <f aca="false">IFERROR(INDEX(res_Name,(ROW()-ROW(rw_LoadOrigin)-1))&amp;"","")</f>
        <v/>
      </c>
      <c r="C48" s="75" t="str">
        <f aca="false">IFERROR(IF(INDEX(res_Name,(ROW()-ROW(rw_LoadOrigin)-1))="","",INDEX(res_MaxUnits,(ROW()-ROW(rw_LoadOrigin)-1))),"")</f>
        <v/>
      </c>
      <c r="D48" s="76" t="str">
        <f aca="false">IFERROR(IF(INDEX(res_Name,(ROW()-ROW(rw_LoadOrigin)-1))="","",INDEX(rw_Cum,(ROW()-ROW(rw_LoadOrigin)-1),(COLUMN()-COLUMN(rw_LoadOrigin)-1)+1)-INDEX(rw_Cum,(ROW()-ROW(rw_LoadOrigin)-1),(COLUMN()-COLUMN(rw_LoadOrigin)-1))),"")</f>
        <v/>
      </c>
      <c r="E48" s="76" t="str">
        <f aca="false">IFERROR(IF(INDEX(res_Name,(ROW()-ROW(rw_LoadOrigin)-1))="","",INDEX(rw_Cum,(ROW()-ROW(rw_LoadOrigin)-1),(COLUMN()-COLUMN(rw_LoadOrigin)-1)+1)-INDEX(rw_Cum,(ROW()-ROW(rw_LoadOrigin)-1),(COLUMN()-COLUMN(rw_LoadOrigin)-1))),"")</f>
        <v/>
      </c>
      <c r="F48" s="76" t="str">
        <f aca="false">IFERROR(IF(INDEX(res_Name,(ROW()-ROW(rw_LoadOrigin)-1))="","",INDEX(rw_Cum,(ROW()-ROW(rw_LoadOrigin)-1),(COLUMN()-COLUMN(rw_LoadOrigin)-1)+1)-INDEX(rw_Cum,(ROW()-ROW(rw_LoadOrigin)-1),(COLUMN()-COLUMN(rw_LoadOrigin)-1))),"")</f>
        <v/>
      </c>
      <c r="G48" s="76" t="str">
        <f aca="false">IFERROR(IF(INDEX(res_Name,(ROW()-ROW(rw_LoadOrigin)-1))="","",INDEX(rw_Cum,(ROW()-ROW(rw_LoadOrigin)-1),(COLUMN()-COLUMN(rw_LoadOrigin)-1)+1)-INDEX(rw_Cum,(ROW()-ROW(rw_LoadOrigin)-1),(COLUMN()-COLUMN(rw_LoadOrigin)-1))),"")</f>
        <v/>
      </c>
      <c r="H48" s="76" t="str">
        <f aca="false">IFERROR(IF(INDEX(res_Name,(ROW()-ROW(rw_LoadOrigin)-1))="","",INDEX(rw_Cum,(ROW()-ROW(rw_LoadOrigin)-1),(COLUMN()-COLUMN(rw_LoadOrigin)-1)+1)-INDEX(rw_Cum,(ROW()-ROW(rw_LoadOrigin)-1),(COLUMN()-COLUMN(rw_LoadOrigin)-1))),"")</f>
        <v/>
      </c>
      <c r="I48" s="76" t="str">
        <f aca="false">IFERROR(IF(INDEX(res_Name,(ROW()-ROW(rw_LoadOrigin)-1))="","",INDEX(rw_Cum,(ROW()-ROW(rw_LoadOrigin)-1),(COLUMN()-COLUMN(rw_LoadOrigin)-1)+1)-INDEX(rw_Cum,(ROW()-ROW(rw_LoadOrigin)-1),(COLUMN()-COLUMN(rw_LoadOrigin)-1))),"")</f>
        <v/>
      </c>
      <c r="J48" s="76" t="str">
        <f aca="false">IFERROR(IF(INDEX(res_Name,(ROW()-ROW(rw_LoadOrigin)-1))="","",INDEX(rw_Cum,(ROW()-ROW(rw_LoadOrigin)-1),(COLUMN()-COLUMN(rw_LoadOrigin)-1)+1)-INDEX(rw_Cum,(ROW()-ROW(rw_LoadOrigin)-1),(COLUMN()-COLUMN(rw_LoadOrigin)-1))),"")</f>
        <v/>
      </c>
      <c r="K48" s="76" t="str">
        <f aca="false">IFERROR(IF(INDEX(res_Name,(ROW()-ROW(rw_LoadOrigin)-1))="","",INDEX(rw_Cum,(ROW()-ROW(rw_LoadOrigin)-1),(COLUMN()-COLUMN(rw_LoadOrigin)-1)+1)-INDEX(rw_Cum,(ROW()-ROW(rw_LoadOrigin)-1),(COLUMN()-COLUMN(rw_LoadOrigin)-1))),"")</f>
        <v/>
      </c>
      <c r="L48" s="76" t="str">
        <f aca="false">IFERROR(IF(INDEX(res_Name,(ROW()-ROW(rw_LoadOrigin)-1))="","",INDEX(rw_Cum,(ROW()-ROW(rw_LoadOrigin)-1),(COLUMN()-COLUMN(rw_LoadOrigin)-1)+1)-INDEX(rw_Cum,(ROW()-ROW(rw_LoadOrigin)-1),(COLUMN()-COLUMN(rw_LoadOrigin)-1))),"")</f>
        <v/>
      </c>
      <c r="M48" s="76" t="str">
        <f aca="false">IFERROR(IF(INDEX(res_Name,(ROW()-ROW(rw_LoadOrigin)-1))="","",INDEX(rw_Cum,(ROW()-ROW(rw_LoadOrigin)-1),(COLUMN()-COLUMN(rw_LoadOrigin)-1)+1)-INDEX(rw_Cum,(ROW()-ROW(rw_LoadOrigin)-1),(COLUMN()-COLUMN(rw_LoadOrigin)-1))),"")</f>
        <v/>
      </c>
      <c r="N48" s="76" t="str">
        <f aca="false">IFERROR(IF(INDEX(res_Name,(ROW()-ROW(rw_LoadOrigin)-1))="","",INDEX(rw_Cum,(ROW()-ROW(rw_LoadOrigin)-1),(COLUMN()-COLUMN(rw_LoadOrigin)-1)+1)-INDEX(rw_Cum,(ROW()-ROW(rw_LoadOrigin)-1),(COLUMN()-COLUMN(rw_LoadOrigin)-1))),"")</f>
        <v/>
      </c>
      <c r="O48" s="76" t="str">
        <f aca="false">IFERROR(IF(INDEX(res_Name,(ROW()-ROW(rw_LoadOrigin)-1))="","",INDEX(rw_Cum,(ROW()-ROW(rw_LoadOrigin)-1),(COLUMN()-COLUMN(rw_LoadOrigin)-1)+1)-INDEX(rw_Cum,(ROW()-ROW(rw_LoadOrigin)-1),(COLUMN()-COLUMN(rw_LoadOrigin)-1))),"")</f>
        <v/>
      </c>
      <c r="P48" s="76" t="str">
        <f aca="false">IFERROR(IF(INDEX(res_Name,(ROW()-ROW(rw_LoadOrigin)-1))="","",INDEX(rw_Cum,(ROW()-ROW(rw_LoadOrigin)-1),(COLUMN()-COLUMN(rw_LoadOrigin)-1)+1)-INDEX(rw_Cum,(ROW()-ROW(rw_LoadOrigin)-1),(COLUMN()-COLUMN(rw_LoadOrigin)-1))),"")</f>
        <v/>
      </c>
      <c r="Q48" s="76" t="str">
        <f aca="false">IFERROR(IF(INDEX(res_Name,(ROW()-ROW(rw_LoadOrigin)-1))="","",INDEX(rw_Cum,(ROW()-ROW(rw_LoadOrigin)-1),(COLUMN()-COLUMN(rw_LoadOrigin)-1)+1)-INDEX(rw_Cum,(ROW()-ROW(rw_LoadOrigin)-1),(COLUMN()-COLUMN(rw_LoadOrigin)-1))),"")</f>
        <v/>
      </c>
      <c r="R48" s="76" t="str">
        <f aca="false">IFERROR(IF(INDEX(res_Name,(ROW()-ROW(rw_LoadOrigin)-1))="","",INDEX(rw_Cum,(ROW()-ROW(rw_LoadOrigin)-1),(COLUMN()-COLUMN(rw_LoadOrigin)-1)+1)-INDEX(rw_Cum,(ROW()-ROW(rw_LoadOrigin)-1),(COLUMN()-COLUMN(rw_LoadOrigin)-1))),"")</f>
        <v/>
      </c>
      <c r="S48" s="76" t="str">
        <f aca="false">IFERROR(IF(INDEX(res_Name,(ROW()-ROW(rw_LoadOrigin)-1))="","",INDEX(rw_Cum,(ROW()-ROW(rw_LoadOrigin)-1),(COLUMN()-COLUMN(rw_LoadOrigin)-1)+1)-INDEX(rw_Cum,(ROW()-ROW(rw_LoadOrigin)-1),(COLUMN()-COLUMN(rw_LoadOrigin)-1))),"")</f>
        <v/>
      </c>
      <c r="T48" s="76" t="str">
        <f aca="false">IFERROR(IF(INDEX(res_Name,(ROW()-ROW(rw_LoadOrigin)-1))="","",INDEX(rw_Cum,(ROW()-ROW(rw_LoadOrigin)-1),(COLUMN()-COLUMN(rw_LoadOrigin)-1)+1)-INDEX(rw_Cum,(ROW()-ROW(rw_LoadOrigin)-1),(COLUMN()-COLUMN(rw_LoadOrigin)-1))),"")</f>
        <v/>
      </c>
      <c r="U48" s="76" t="str">
        <f aca="false">IFERROR(IF(INDEX(res_Name,(ROW()-ROW(rw_LoadOrigin)-1))="","",INDEX(rw_Cum,(ROW()-ROW(rw_LoadOrigin)-1),(COLUMN()-COLUMN(rw_LoadOrigin)-1)+1)-INDEX(rw_Cum,(ROW()-ROW(rw_LoadOrigin)-1),(COLUMN()-COLUMN(rw_LoadOrigin)-1))),"")</f>
        <v/>
      </c>
      <c r="V48" s="76" t="str">
        <f aca="false">IFERROR(IF(INDEX(res_Name,(ROW()-ROW(rw_LoadOrigin)-1))="","",INDEX(rw_Cum,(ROW()-ROW(rw_LoadOrigin)-1),(COLUMN()-COLUMN(rw_LoadOrigin)-1)+1)-INDEX(rw_Cum,(ROW()-ROW(rw_LoadOrigin)-1),(COLUMN()-COLUMN(rw_LoadOrigin)-1))),"")</f>
        <v/>
      </c>
      <c r="W48" s="76" t="str">
        <f aca="false">IFERROR(IF(INDEX(res_Name,(ROW()-ROW(rw_LoadOrigin)-1))="","",INDEX(rw_Cum,(ROW()-ROW(rw_LoadOrigin)-1),(COLUMN()-COLUMN(rw_LoadOrigin)-1)+1)-INDEX(rw_Cum,(ROW()-ROW(rw_LoadOrigin)-1),(COLUMN()-COLUMN(rw_LoadOrigin)-1))),"")</f>
        <v/>
      </c>
      <c r="X48" s="76" t="str">
        <f aca="false">IFERROR(IF(INDEX(res_Name,(ROW()-ROW(rw_LoadOrigin)-1))="","",INDEX(rw_Cum,(ROW()-ROW(rw_LoadOrigin)-1),(COLUMN()-COLUMN(rw_LoadOrigin)-1)+1)-INDEX(rw_Cum,(ROW()-ROW(rw_LoadOrigin)-1),(COLUMN()-COLUMN(rw_LoadOrigin)-1))),"")</f>
        <v/>
      </c>
      <c r="Y48" s="76" t="str">
        <f aca="false">IFERROR(IF(INDEX(res_Name,(ROW()-ROW(rw_LoadOrigin)-1))="","",INDEX(rw_Cum,(ROW()-ROW(rw_LoadOrigin)-1),(COLUMN()-COLUMN(rw_LoadOrigin)-1)+1)-INDEX(rw_Cum,(ROW()-ROW(rw_LoadOrigin)-1),(COLUMN()-COLUMN(rw_LoadOrigin)-1))),"")</f>
        <v/>
      </c>
      <c r="Z48" s="76" t="str">
        <f aca="false">IFERROR(IF(INDEX(res_Name,(ROW()-ROW(rw_LoadOrigin)-1))="","",INDEX(rw_Cum,(ROW()-ROW(rw_LoadOrigin)-1),(COLUMN()-COLUMN(rw_LoadOrigin)-1)+1)-INDEX(rw_Cum,(ROW()-ROW(rw_LoadOrigin)-1),(COLUMN()-COLUMN(rw_LoadOrigin)-1))),"")</f>
        <v/>
      </c>
      <c r="AA48" s="76" t="str">
        <f aca="false">IFERROR(IF(INDEX(res_Name,(ROW()-ROW(rw_LoadOrigin)-1))="","",INDEX(rw_Cum,(ROW()-ROW(rw_LoadOrigin)-1),(COLUMN()-COLUMN(rw_LoadOrigin)-1)+1)-INDEX(rw_Cum,(ROW()-ROW(rw_LoadOrigin)-1),(COLUMN()-COLUMN(rw_LoadOrigin)-1))),"")</f>
        <v/>
      </c>
      <c r="AB48" s="76" t="str">
        <f aca="false">IFERROR(IF(INDEX(res_Name,(ROW()-ROW(rw_LoadOrigin)-1))="","",INDEX(rw_Cum,(ROW()-ROW(rw_LoadOrigin)-1),(COLUMN()-COLUMN(rw_LoadOrigin)-1)+1)-INDEX(rw_Cum,(ROW()-ROW(rw_LoadOrigin)-1),(COLUMN()-COLUMN(rw_LoadOrigin)-1))),"")</f>
        <v/>
      </c>
      <c r="AC48" s="76"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5" t="str">
        <f aca="false">IFERROR(INDEX(res_Name,(ROW()-ROW(rw_LoadOrigin)-1))&amp;"","")</f>
        <v/>
      </c>
      <c r="C49" s="75" t="str">
        <f aca="false">IFERROR(IF(INDEX(res_Name,(ROW()-ROW(rw_LoadOrigin)-1))="","",INDEX(res_MaxUnits,(ROW()-ROW(rw_LoadOrigin)-1))),"")</f>
        <v/>
      </c>
      <c r="D49" s="76" t="str">
        <f aca="false">IFERROR(IF(INDEX(res_Name,(ROW()-ROW(rw_LoadOrigin)-1))="","",INDEX(rw_Cum,(ROW()-ROW(rw_LoadOrigin)-1),(COLUMN()-COLUMN(rw_LoadOrigin)-1)+1)-INDEX(rw_Cum,(ROW()-ROW(rw_LoadOrigin)-1),(COLUMN()-COLUMN(rw_LoadOrigin)-1))),"")</f>
        <v/>
      </c>
      <c r="E49" s="76" t="str">
        <f aca="false">IFERROR(IF(INDEX(res_Name,(ROW()-ROW(rw_LoadOrigin)-1))="","",INDEX(rw_Cum,(ROW()-ROW(rw_LoadOrigin)-1),(COLUMN()-COLUMN(rw_LoadOrigin)-1)+1)-INDEX(rw_Cum,(ROW()-ROW(rw_LoadOrigin)-1),(COLUMN()-COLUMN(rw_LoadOrigin)-1))),"")</f>
        <v/>
      </c>
      <c r="F49" s="76" t="str">
        <f aca="false">IFERROR(IF(INDEX(res_Name,(ROW()-ROW(rw_LoadOrigin)-1))="","",INDEX(rw_Cum,(ROW()-ROW(rw_LoadOrigin)-1),(COLUMN()-COLUMN(rw_LoadOrigin)-1)+1)-INDEX(rw_Cum,(ROW()-ROW(rw_LoadOrigin)-1),(COLUMN()-COLUMN(rw_LoadOrigin)-1))),"")</f>
        <v/>
      </c>
      <c r="G49" s="76" t="str">
        <f aca="false">IFERROR(IF(INDEX(res_Name,(ROW()-ROW(rw_LoadOrigin)-1))="","",INDEX(rw_Cum,(ROW()-ROW(rw_LoadOrigin)-1),(COLUMN()-COLUMN(rw_LoadOrigin)-1)+1)-INDEX(rw_Cum,(ROW()-ROW(rw_LoadOrigin)-1),(COLUMN()-COLUMN(rw_LoadOrigin)-1))),"")</f>
        <v/>
      </c>
      <c r="H49" s="76" t="str">
        <f aca="false">IFERROR(IF(INDEX(res_Name,(ROW()-ROW(rw_LoadOrigin)-1))="","",INDEX(rw_Cum,(ROW()-ROW(rw_LoadOrigin)-1),(COLUMN()-COLUMN(rw_LoadOrigin)-1)+1)-INDEX(rw_Cum,(ROW()-ROW(rw_LoadOrigin)-1),(COLUMN()-COLUMN(rw_LoadOrigin)-1))),"")</f>
        <v/>
      </c>
      <c r="I49" s="76" t="str">
        <f aca="false">IFERROR(IF(INDEX(res_Name,(ROW()-ROW(rw_LoadOrigin)-1))="","",INDEX(rw_Cum,(ROW()-ROW(rw_LoadOrigin)-1),(COLUMN()-COLUMN(rw_LoadOrigin)-1)+1)-INDEX(rw_Cum,(ROW()-ROW(rw_LoadOrigin)-1),(COLUMN()-COLUMN(rw_LoadOrigin)-1))),"")</f>
        <v/>
      </c>
      <c r="J49" s="76" t="str">
        <f aca="false">IFERROR(IF(INDEX(res_Name,(ROW()-ROW(rw_LoadOrigin)-1))="","",INDEX(rw_Cum,(ROW()-ROW(rw_LoadOrigin)-1),(COLUMN()-COLUMN(rw_LoadOrigin)-1)+1)-INDEX(rw_Cum,(ROW()-ROW(rw_LoadOrigin)-1),(COLUMN()-COLUMN(rw_LoadOrigin)-1))),"")</f>
        <v/>
      </c>
      <c r="K49" s="76" t="str">
        <f aca="false">IFERROR(IF(INDEX(res_Name,(ROW()-ROW(rw_LoadOrigin)-1))="","",INDEX(rw_Cum,(ROW()-ROW(rw_LoadOrigin)-1),(COLUMN()-COLUMN(rw_LoadOrigin)-1)+1)-INDEX(rw_Cum,(ROW()-ROW(rw_LoadOrigin)-1),(COLUMN()-COLUMN(rw_LoadOrigin)-1))),"")</f>
        <v/>
      </c>
      <c r="L49" s="76" t="str">
        <f aca="false">IFERROR(IF(INDEX(res_Name,(ROW()-ROW(rw_LoadOrigin)-1))="","",INDEX(rw_Cum,(ROW()-ROW(rw_LoadOrigin)-1),(COLUMN()-COLUMN(rw_LoadOrigin)-1)+1)-INDEX(rw_Cum,(ROW()-ROW(rw_LoadOrigin)-1),(COLUMN()-COLUMN(rw_LoadOrigin)-1))),"")</f>
        <v/>
      </c>
      <c r="M49" s="76" t="str">
        <f aca="false">IFERROR(IF(INDEX(res_Name,(ROW()-ROW(rw_LoadOrigin)-1))="","",INDEX(rw_Cum,(ROW()-ROW(rw_LoadOrigin)-1),(COLUMN()-COLUMN(rw_LoadOrigin)-1)+1)-INDEX(rw_Cum,(ROW()-ROW(rw_LoadOrigin)-1),(COLUMN()-COLUMN(rw_LoadOrigin)-1))),"")</f>
        <v/>
      </c>
      <c r="N49" s="76" t="str">
        <f aca="false">IFERROR(IF(INDEX(res_Name,(ROW()-ROW(rw_LoadOrigin)-1))="","",INDEX(rw_Cum,(ROW()-ROW(rw_LoadOrigin)-1),(COLUMN()-COLUMN(rw_LoadOrigin)-1)+1)-INDEX(rw_Cum,(ROW()-ROW(rw_LoadOrigin)-1),(COLUMN()-COLUMN(rw_LoadOrigin)-1))),"")</f>
        <v/>
      </c>
      <c r="O49" s="76" t="str">
        <f aca="false">IFERROR(IF(INDEX(res_Name,(ROW()-ROW(rw_LoadOrigin)-1))="","",INDEX(rw_Cum,(ROW()-ROW(rw_LoadOrigin)-1),(COLUMN()-COLUMN(rw_LoadOrigin)-1)+1)-INDEX(rw_Cum,(ROW()-ROW(rw_LoadOrigin)-1),(COLUMN()-COLUMN(rw_LoadOrigin)-1))),"")</f>
        <v/>
      </c>
      <c r="P49" s="76" t="str">
        <f aca="false">IFERROR(IF(INDEX(res_Name,(ROW()-ROW(rw_LoadOrigin)-1))="","",INDEX(rw_Cum,(ROW()-ROW(rw_LoadOrigin)-1),(COLUMN()-COLUMN(rw_LoadOrigin)-1)+1)-INDEX(rw_Cum,(ROW()-ROW(rw_LoadOrigin)-1),(COLUMN()-COLUMN(rw_LoadOrigin)-1))),"")</f>
        <v/>
      </c>
      <c r="Q49" s="76" t="str">
        <f aca="false">IFERROR(IF(INDEX(res_Name,(ROW()-ROW(rw_LoadOrigin)-1))="","",INDEX(rw_Cum,(ROW()-ROW(rw_LoadOrigin)-1),(COLUMN()-COLUMN(rw_LoadOrigin)-1)+1)-INDEX(rw_Cum,(ROW()-ROW(rw_LoadOrigin)-1),(COLUMN()-COLUMN(rw_LoadOrigin)-1))),"")</f>
        <v/>
      </c>
      <c r="R49" s="76" t="str">
        <f aca="false">IFERROR(IF(INDEX(res_Name,(ROW()-ROW(rw_LoadOrigin)-1))="","",INDEX(rw_Cum,(ROW()-ROW(rw_LoadOrigin)-1),(COLUMN()-COLUMN(rw_LoadOrigin)-1)+1)-INDEX(rw_Cum,(ROW()-ROW(rw_LoadOrigin)-1),(COLUMN()-COLUMN(rw_LoadOrigin)-1))),"")</f>
        <v/>
      </c>
      <c r="S49" s="76" t="str">
        <f aca="false">IFERROR(IF(INDEX(res_Name,(ROW()-ROW(rw_LoadOrigin)-1))="","",INDEX(rw_Cum,(ROW()-ROW(rw_LoadOrigin)-1),(COLUMN()-COLUMN(rw_LoadOrigin)-1)+1)-INDEX(rw_Cum,(ROW()-ROW(rw_LoadOrigin)-1),(COLUMN()-COLUMN(rw_LoadOrigin)-1))),"")</f>
        <v/>
      </c>
      <c r="T49" s="76" t="str">
        <f aca="false">IFERROR(IF(INDEX(res_Name,(ROW()-ROW(rw_LoadOrigin)-1))="","",INDEX(rw_Cum,(ROW()-ROW(rw_LoadOrigin)-1),(COLUMN()-COLUMN(rw_LoadOrigin)-1)+1)-INDEX(rw_Cum,(ROW()-ROW(rw_LoadOrigin)-1),(COLUMN()-COLUMN(rw_LoadOrigin)-1))),"")</f>
        <v/>
      </c>
      <c r="U49" s="76" t="str">
        <f aca="false">IFERROR(IF(INDEX(res_Name,(ROW()-ROW(rw_LoadOrigin)-1))="","",INDEX(rw_Cum,(ROW()-ROW(rw_LoadOrigin)-1),(COLUMN()-COLUMN(rw_LoadOrigin)-1)+1)-INDEX(rw_Cum,(ROW()-ROW(rw_LoadOrigin)-1),(COLUMN()-COLUMN(rw_LoadOrigin)-1))),"")</f>
        <v/>
      </c>
      <c r="V49" s="76" t="str">
        <f aca="false">IFERROR(IF(INDEX(res_Name,(ROW()-ROW(rw_LoadOrigin)-1))="","",INDEX(rw_Cum,(ROW()-ROW(rw_LoadOrigin)-1),(COLUMN()-COLUMN(rw_LoadOrigin)-1)+1)-INDEX(rw_Cum,(ROW()-ROW(rw_LoadOrigin)-1),(COLUMN()-COLUMN(rw_LoadOrigin)-1))),"")</f>
        <v/>
      </c>
      <c r="W49" s="76" t="str">
        <f aca="false">IFERROR(IF(INDEX(res_Name,(ROW()-ROW(rw_LoadOrigin)-1))="","",INDEX(rw_Cum,(ROW()-ROW(rw_LoadOrigin)-1),(COLUMN()-COLUMN(rw_LoadOrigin)-1)+1)-INDEX(rw_Cum,(ROW()-ROW(rw_LoadOrigin)-1),(COLUMN()-COLUMN(rw_LoadOrigin)-1))),"")</f>
        <v/>
      </c>
      <c r="X49" s="76" t="str">
        <f aca="false">IFERROR(IF(INDEX(res_Name,(ROW()-ROW(rw_LoadOrigin)-1))="","",INDEX(rw_Cum,(ROW()-ROW(rw_LoadOrigin)-1),(COLUMN()-COLUMN(rw_LoadOrigin)-1)+1)-INDEX(rw_Cum,(ROW()-ROW(rw_LoadOrigin)-1),(COLUMN()-COLUMN(rw_LoadOrigin)-1))),"")</f>
        <v/>
      </c>
      <c r="Y49" s="76" t="str">
        <f aca="false">IFERROR(IF(INDEX(res_Name,(ROW()-ROW(rw_LoadOrigin)-1))="","",INDEX(rw_Cum,(ROW()-ROW(rw_LoadOrigin)-1),(COLUMN()-COLUMN(rw_LoadOrigin)-1)+1)-INDEX(rw_Cum,(ROW()-ROW(rw_LoadOrigin)-1),(COLUMN()-COLUMN(rw_LoadOrigin)-1))),"")</f>
        <v/>
      </c>
      <c r="Z49" s="76" t="str">
        <f aca="false">IFERROR(IF(INDEX(res_Name,(ROW()-ROW(rw_LoadOrigin)-1))="","",INDEX(rw_Cum,(ROW()-ROW(rw_LoadOrigin)-1),(COLUMN()-COLUMN(rw_LoadOrigin)-1)+1)-INDEX(rw_Cum,(ROW()-ROW(rw_LoadOrigin)-1),(COLUMN()-COLUMN(rw_LoadOrigin)-1))),"")</f>
        <v/>
      </c>
      <c r="AA49" s="76" t="str">
        <f aca="false">IFERROR(IF(INDEX(res_Name,(ROW()-ROW(rw_LoadOrigin)-1))="","",INDEX(rw_Cum,(ROW()-ROW(rw_LoadOrigin)-1),(COLUMN()-COLUMN(rw_LoadOrigin)-1)+1)-INDEX(rw_Cum,(ROW()-ROW(rw_LoadOrigin)-1),(COLUMN()-COLUMN(rw_LoadOrigin)-1))),"")</f>
        <v/>
      </c>
      <c r="AB49" s="76" t="str">
        <f aca="false">IFERROR(IF(INDEX(res_Name,(ROW()-ROW(rw_LoadOrigin)-1))="","",INDEX(rw_Cum,(ROW()-ROW(rw_LoadOrigin)-1),(COLUMN()-COLUMN(rw_LoadOrigin)-1)+1)-INDEX(rw_Cum,(ROW()-ROW(rw_LoadOrigin)-1),(COLUMN()-COLUMN(rw_LoadOrigin)-1))),"")</f>
        <v/>
      </c>
      <c r="AC49" s="76"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5" t="str">
        <f aca="false">IFERROR(INDEX(res_Name,(ROW()-ROW(rw_LoadOrigin)-1))&amp;"","")</f>
        <v/>
      </c>
      <c r="C50" s="75" t="str">
        <f aca="false">IFERROR(IF(INDEX(res_Name,(ROW()-ROW(rw_LoadOrigin)-1))="","",INDEX(res_MaxUnits,(ROW()-ROW(rw_LoadOrigin)-1))),"")</f>
        <v/>
      </c>
      <c r="D50" s="76" t="str">
        <f aca="false">IFERROR(IF(INDEX(res_Name,(ROW()-ROW(rw_LoadOrigin)-1))="","",INDEX(rw_Cum,(ROW()-ROW(rw_LoadOrigin)-1),(COLUMN()-COLUMN(rw_LoadOrigin)-1)+1)-INDEX(rw_Cum,(ROW()-ROW(rw_LoadOrigin)-1),(COLUMN()-COLUMN(rw_LoadOrigin)-1))),"")</f>
        <v/>
      </c>
      <c r="E50" s="76" t="str">
        <f aca="false">IFERROR(IF(INDEX(res_Name,(ROW()-ROW(rw_LoadOrigin)-1))="","",INDEX(rw_Cum,(ROW()-ROW(rw_LoadOrigin)-1),(COLUMN()-COLUMN(rw_LoadOrigin)-1)+1)-INDEX(rw_Cum,(ROW()-ROW(rw_LoadOrigin)-1),(COLUMN()-COLUMN(rw_LoadOrigin)-1))),"")</f>
        <v/>
      </c>
      <c r="F50" s="76" t="str">
        <f aca="false">IFERROR(IF(INDEX(res_Name,(ROW()-ROW(rw_LoadOrigin)-1))="","",INDEX(rw_Cum,(ROW()-ROW(rw_LoadOrigin)-1),(COLUMN()-COLUMN(rw_LoadOrigin)-1)+1)-INDEX(rw_Cum,(ROW()-ROW(rw_LoadOrigin)-1),(COLUMN()-COLUMN(rw_LoadOrigin)-1))),"")</f>
        <v/>
      </c>
      <c r="G50" s="76" t="str">
        <f aca="false">IFERROR(IF(INDEX(res_Name,(ROW()-ROW(rw_LoadOrigin)-1))="","",INDEX(rw_Cum,(ROW()-ROW(rw_LoadOrigin)-1),(COLUMN()-COLUMN(rw_LoadOrigin)-1)+1)-INDEX(rw_Cum,(ROW()-ROW(rw_LoadOrigin)-1),(COLUMN()-COLUMN(rw_LoadOrigin)-1))),"")</f>
        <v/>
      </c>
      <c r="H50" s="76" t="str">
        <f aca="false">IFERROR(IF(INDEX(res_Name,(ROW()-ROW(rw_LoadOrigin)-1))="","",INDEX(rw_Cum,(ROW()-ROW(rw_LoadOrigin)-1),(COLUMN()-COLUMN(rw_LoadOrigin)-1)+1)-INDEX(rw_Cum,(ROW()-ROW(rw_LoadOrigin)-1),(COLUMN()-COLUMN(rw_LoadOrigin)-1))),"")</f>
        <v/>
      </c>
      <c r="I50" s="76" t="str">
        <f aca="false">IFERROR(IF(INDEX(res_Name,(ROW()-ROW(rw_LoadOrigin)-1))="","",INDEX(rw_Cum,(ROW()-ROW(rw_LoadOrigin)-1),(COLUMN()-COLUMN(rw_LoadOrigin)-1)+1)-INDEX(rw_Cum,(ROW()-ROW(rw_LoadOrigin)-1),(COLUMN()-COLUMN(rw_LoadOrigin)-1))),"")</f>
        <v/>
      </c>
      <c r="J50" s="76" t="str">
        <f aca="false">IFERROR(IF(INDEX(res_Name,(ROW()-ROW(rw_LoadOrigin)-1))="","",INDEX(rw_Cum,(ROW()-ROW(rw_LoadOrigin)-1),(COLUMN()-COLUMN(rw_LoadOrigin)-1)+1)-INDEX(rw_Cum,(ROW()-ROW(rw_LoadOrigin)-1),(COLUMN()-COLUMN(rw_LoadOrigin)-1))),"")</f>
        <v/>
      </c>
      <c r="K50" s="76" t="str">
        <f aca="false">IFERROR(IF(INDEX(res_Name,(ROW()-ROW(rw_LoadOrigin)-1))="","",INDEX(rw_Cum,(ROW()-ROW(rw_LoadOrigin)-1),(COLUMN()-COLUMN(rw_LoadOrigin)-1)+1)-INDEX(rw_Cum,(ROW()-ROW(rw_LoadOrigin)-1),(COLUMN()-COLUMN(rw_LoadOrigin)-1))),"")</f>
        <v/>
      </c>
      <c r="L50" s="76" t="str">
        <f aca="false">IFERROR(IF(INDEX(res_Name,(ROW()-ROW(rw_LoadOrigin)-1))="","",INDEX(rw_Cum,(ROW()-ROW(rw_LoadOrigin)-1),(COLUMN()-COLUMN(rw_LoadOrigin)-1)+1)-INDEX(rw_Cum,(ROW()-ROW(rw_LoadOrigin)-1),(COLUMN()-COLUMN(rw_LoadOrigin)-1))),"")</f>
        <v/>
      </c>
      <c r="M50" s="76" t="str">
        <f aca="false">IFERROR(IF(INDEX(res_Name,(ROW()-ROW(rw_LoadOrigin)-1))="","",INDEX(rw_Cum,(ROW()-ROW(rw_LoadOrigin)-1),(COLUMN()-COLUMN(rw_LoadOrigin)-1)+1)-INDEX(rw_Cum,(ROW()-ROW(rw_LoadOrigin)-1),(COLUMN()-COLUMN(rw_LoadOrigin)-1))),"")</f>
        <v/>
      </c>
      <c r="N50" s="76" t="str">
        <f aca="false">IFERROR(IF(INDEX(res_Name,(ROW()-ROW(rw_LoadOrigin)-1))="","",INDEX(rw_Cum,(ROW()-ROW(rw_LoadOrigin)-1),(COLUMN()-COLUMN(rw_LoadOrigin)-1)+1)-INDEX(rw_Cum,(ROW()-ROW(rw_LoadOrigin)-1),(COLUMN()-COLUMN(rw_LoadOrigin)-1))),"")</f>
        <v/>
      </c>
      <c r="O50" s="76" t="str">
        <f aca="false">IFERROR(IF(INDEX(res_Name,(ROW()-ROW(rw_LoadOrigin)-1))="","",INDEX(rw_Cum,(ROW()-ROW(rw_LoadOrigin)-1),(COLUMN()-COLUMN(rw_LoadOrigin)-1)+1)-INDEX(rw_Cum,(ROW()-ROW(rw_LoadOrigin)-1),(COLUMN()-COLUMN(rw_LoadOrigin)-1))),"")</f>
        <v/>
      </c>
      <c r="P50" s="76" t="str">
        <f aca="false">IFERROR(IF(INDEX(res_Name,(ROW()-ROW(rw_LoadOrigin)-1))="","",INDEX(rw_Cum,(ROW()-ROW(rw_LoadOrigin)-1),(COLUMN()-COLUMN(rw_LoadOrigin)-1)+1)-INDEX(rw_Cum,(ROW()-ROW(rw_LoadOrigin)-1),(COLUMN()-COLUMN(rw_LoadOrigin)-1))),"")</f>
        <v/>
      </c>
      <c r="Q50" s="76" t="str">
        <f aca="false">IFERROR(IF(INDEX(res_Name,(ROW()-ROW(rw_LoadOrigin)-1))="","",INDEX(rw_Cum,(ROW()-ROW(rw_LoadOrigin)-1),(COLUMN()-COLUMN(rw_LoadOrigin)-1)+1)-INDEX(rw_Cum,(ROW()-ROW(rw_LoadOrigin)-1),(COLUMN()-COLUMN(rw_LoadOrigin)-1))),"")</f>
        <v/>
      </c>
      <c r="R50" s="76" t="str">
        <f aca="false">IFERROR(IF(INDEX(res_Name,(ROW()-ROW(rw_LoadOrigin)-1))="","",INDEX(rw_Cum,(ROW()-ROW(rw_LoadOrigin)-1),(COLUMN()-COLUMN(rw_LoadOrigin)-1)+1)-INDEX(rw_Cum,(ROW()-ROW(rw_LoadOrigin)-1),(COLUMN()-COLUMN(rw_LoadOrigin)-1))),"")</f>
        <v/>
      </c>
      <c r="S50" s="76" t="str">
        <f aca="false">IFERROR(IF(INDEX(res_Name,(ROW()-ROW(rw_LoadOrigin)-1))="","",INDEX(rw_Cum,(ROW()-ROW(rw_LoadOrigin)-1),(COLUMN()-COLUMN(rw_LoadOrigin)-1)+1)-INDEX(rw_Cum,(ROW()-ROW(rw_LoadOrigin)-1),(COLUMN()-COLUMN(rw_LoadOrigin)-1))),"")</f>
        <v/>
      </c>
      <c r="T50" s="76" t="str">
        <f aca="false">IFERROR(IF(INDEX(res_Name,(ROW()-ROW(rw_LoadOrigin)-1))="","",INDEX(rw_Cum,(ROW()-ROW(rw_LoadOrigin)-1),(COLUMN()-COLUMN(rw_LoadOrigin)-1)+1)-INDEX(rw_Cum,(ROW()-ROW(rw_LoadOrigin)-1),(COLUMN()-COLUMN(rw_LoadOrigin)-1))),"")</f>
        <v/>
      </c>
      <c r="U50" s="76" t="str">
        <f aca="false">IFERROR(IF(INDEX(res_Name,(ROW()-ROW(rw_LoadOrigin)-1))="","",INDEX(rw_Cum,(ROW()-ROW(rw_LoadOrigin)-1),(COLUMN()-COLUMN(rw_LoadOrigin)-1)+1)-INDEX(rw_Cum,(ROW()-ROW(rw_LoadOrigin)-1),(COLUMN()-COLUMN(rw_LoadOrigin)-1))),"")</f>
        <v/>
      </c>
      <c r="V50" s="76" t="str">
        <f aca="false">IFERROR(IF(INDEX(res_Name,(ROW()-ROW(rw_LoadOrigin)-1))="","",INDEX(rw_Cum,(ROW()-ROW(rw_LoadOrigin)-1),(COLUMN()-COLUMN(rw_LoadOrigin)-1)+1)-INDEX(rw_Cum,(ROW()-ROW(rw_LoadOrigin)-1),(COLUMN()-COLUMN(rw_LoadOrigin)-1))),"")</f>
        <v/>
      </c>
      <c r="W50" s="76" t="str">
        <f aca="false">IFERROR(IF(INDEX(res_Name,(ROW()-ROW(rw_LoadOrigin)-1))="","",INDEX(rw_Cum,(ROW()-ROW(rw_LoadOrigin)-1),(COLUMN()-COLUMN(rw_LoadOrigin)-1)+1)-INDEX(rw_Cum,(ROW()-ROW(rw_LoadOrigin)-1),(COLUMN()-COLUMN(rw_LoadOrigin)-1))),"")</f>
        <v/>
      </c>
      <c r="X50" s="76" t="str">
        <f aca="false">IFERROR(IF(INDEX(res_Name,(ROW()-ROW(rw_LoadOrigin)-1))="","",INDEX(rw_Cum,(ROW()-ROW(rw_LoadOrigin)-1),(COLUMN()-COLUMN(rw_LoadOrigin)-1)+1)-INDEX(rw_Cum,(ROW()-ROW(rw_LoadOrigin)-1),(COLUMN()-COLUMN(rw_LoadOrigin)-1))),"")</f>
        <v/>
      </c>
      <c r="Y50" s="76" t="str">
        <f aca="false">IFERROR(IF(INDEX(res_Name,(ROW()-ROW(rw_LoadOrigin)-1))="","",INDEX(rw_Cum,(ROW()-ROW(rw_LoadOrigin)-1),(COLUMN()-COLUMN(rw_LoadOrigin)-1)+1)-INDEX(rw_Cum,(ROW()-ROW(rw_LoadOrigin)-1),(COLUMN()-COLUMN(rw_LoadOrigin)-1))),"")</f>
        <v/>
      </c>
      <c r="Z50" s="76" t="str">
        <f aca="false">IFERROR(IF(INDEX(res_Name,(ROW()-ROW(rw_LoadOrigin)-1))="","",INDEX(rw_Cum,(ROW()-ROW(rw_LoadOrigin)-1),(COLUMN()-COLUMN(rw_LoadOrigin)-1)+1)-INDEX(rw_Cum,(ROW()-ROW(rw_LoadOrigin)-1),(COLUMN()-COLUMN(rw_LoadOrigin)-1))),"")</f>
        <v/>
      </c>
      <c r="AA50" s="76" t="str">
        <f aca="false">IFERROR(IF(INDEX(res_Name,(ROW()-ROW(rw_LoadOrigin)-1))="","",INDEX(rw_Cum,(ROW()-ROW(rw_LoadOrigin)-1),(COLUMN()-COLUMN(rw_LoadOrigin)-1)+1)-INDEX(rw_Cum,(ROW()-ROW(rw_LoadOrigin)-1),(COLUMN()-COLUMN(rw_LoadOrigin)-1))),"")</f>
        <v/>
      </c>
      <c r="AB50" s="76" t="str">
        <f aca="false">IFERROR(IF(INDEX(res_Name,(ROW()-ROW(rw_LoadOrigin)-1))="","",INDEX(rw_Cum,(ROW()-ROW(rw_LoadOrigin)-1),(COLUMN()-COLUMN(rw_LoadOrigin)-1)+1)-INDEX(rw_Cum,(ROW()-ROW(rw_LoadOrigin)-1),(COLUMN()-COLUMN(rw_LoadOrigin)-1))),"")</f>
        <v/>
      </c>
      <c r="AC50" s="76"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5" t="str">
        <f aca="false">IFERROR(INDEX(res_Name,(ROW()-ROW(rw_LoadOrigin)-1))&amp;"","")</f>
        <v/>
      </c>
      <c r="C51" s="75" t="str">
        <f aca="false">IFERROR(IF(INDEX(res_Name,(ROW()-ROW(rw_LoadOrigin)-1))="","",INDEX(res_MaxUnits,(ROW()-ROW(rw_LoadOrigin)-1))),"")</f>
        <v/>
      </c>
      <c r="D51" s="76" t="str">
        <f aca="false">IFERROR(IF(INDEX(res_Name,(ROW()-ROW(rw_LoadOrigin)-1))="","",INDEX(rw_Cum,(ROW()-ROW(rw_LoadOrigin)-1),(COLUMN()-COLUMN(rw_LoadOrigin)-1)+1)-INDEX(rw_Cum,(ROW()-ROW(rw_LoadOrigin)-1),(COLUMN()-COLUMN(rw_LoadOrigin)-1))),"")</f>
        <v/>
      </c>
      <c r="E51" s="76" t="str">
        <f aca="false">IFERROR(IF(INDEX(res_Name,(ROW()-ROW(rw_LoadOrigin)-1))="","",INDEX(rw_Cum,(ROW()-ROW(rw_LoadOrigin)-1),(COLUMN()-COLUMN(rw_LoadOrigin)-1)+1)-INDEX(rw_Cum,(ROW()-ROW(rw_LoadOrigin)-1),(COLUMN()-COLUMN(rw_LoadOrigin)-1))),"")</f>
        <v/>
      </c>
      <c r="F51" s="76" t="str">
        <f aca="false">IFERROR(IF(INDEX(res_Name,(ROW()-ROW(rw_LoadOrigin)-1))="","",INDEX(rw_Cum,(ROW()-ROW(rw_LoadOrigin)-1),(COLUMN()-COLUMN(rw_LoadOrigin)-1)+1)-INDEX(rw_Cum,(ROW()-ROW(rw_LoadOrigin)-1),(COLUMN()-COLUMN(rw_LoadOrigin)-1))),"")</f>
        <v/>
      </c>
      <c r="G51" s="76" t="str">
        <f aca="false">IFERROR(IF(INDEX(res_Name,(ROW()-ROW(rw_LoadOrigin)-1))="","",INDEX(rw_Cum,(ROW()-ROW(rw_LoadOrigin)-1),(COLUMN()-COLUMN(rw_LoadOrigin)-1)+1)-INDEX(rw_Cum,(ROW()-ROW(rw_LoadOrigin)-1),(COLUMN()-COLUMN(rw_LoadOrigin)-1))),"")</f>
        <v/>
      </c>
      <c r="H51" s="76" t="str">
        <f aca="false">IFERROR(IF(INDEX(res_Name,(ROW()-ROW(rw_LoadOrigin)-1))="","",INDEX(rw_Cum,(ROW()-ROW(rw_LoadOrigin)-1),(COLUMN()-COLUMN(rw_LoadOrigin)-1)+1)-INDEX(rw_Cum,(ROW()-ROW(rw_LoadOrigin)-1),(COLUMN()-COLUMN(rw_LoadOrigin)-1))),"")</f>
        <v/>
      </c>
      <c r="I51" s="76" t="str">
        <f aca="false">IFERROR(IF(INDEX(res_Name,(ROW()-ROW(rw_LoadOrigin)-1))="","",INDEX(rw_Cum,(ROW()-ROW(rw_LoadOrigin)-1),(COLUMN()-COLUMN(rw_LoadOrigin)-1)+1)-INDEX(rw_Cum,(ROW()-ROW(rw_LoadOrigin)-1),(COLUMN()-COLUMN(rw_LoadOrigin)-1))),"")</f>
        <v/>
      </c>
      <c r="J51" s="76" t="str">
        <f aca="false">IFERROR(IF(INDEX(res_Name,(ROW()-ROW(rw_LoadOrigin)-1))="","",INDEX(rw_Cum,(ROW()-ROW(rw_LoadOrigin)-1),(COLUMN()-COLUMN(rw_LoadOrigin)-1)+1)-INDEX(rw_Cum,(ROW()-ROW(rw_LoadOrigin)-1),(COLUMN()-COLUMN(rw_LoadOrigin)-1))),"")</f>
        <v/>
      </c>
      <c r="K51" s="76" t="str">
        <f aca="false">IFERROR(IF(INDEX(res_Name,(ROW()-ROW(rw_LoadOrigin)-1))="","",INDEX(rw_Cum,(ROW()-ROW(rw_LoadOrigin)-1),(COLUMN()-COLUMN(rw_LoadOrigin)-1)+1)-INDEX(rw_Cum,(ROW()-ROW(rw_LoadOrigin)-1),(COLUMN()-COLUMN(rw_LoadOrigin)-1))),"")</f>
        <v/>
      </c>
      <c r="L51" s="76" t="str">
        <f aca="false">IFERROR(IF(INDEX(res_Name,(ROW()-ROW(rw_LoadOrigin)-1))="","",INDEX(rw_Cum,(ROW()-ROW(rw_LoadOrigin)-1),(COLUMN()-COLUMN(rw_LoadOrigin)-1)+1)-INDEX(rw_Cum,(ROW()-ROW(rw_LoadOrigin)-1),(COLUMN()-COLUMN(rw_LoadOrigin)-1))),"")</f>
        <v/>
      </c>
      <c r="M51" s="76" t="str">
        <f aca="false">IFERROR(IF(INDEX(res_Name,(ROW()-ROW(rw_LoadOrigin)-1))="","",INDEX(rw_Cum,(ROW()-ROW(rw_LoadOrigin)-1),(COLUMN()-COLUMN(rw_LoadOrigin)-1)+1)-INDEX(rw_Cum,(ROW()-ROW(rw_LoadOrigin)-1),(COLUMN()-COLUMN(rw_LoadOrigin)-1))),"")</f>
        <v/>
      </c>
      <c r="N51" s="76" t="str">
        <f aca="false">IFERROR(IF(INDEX(res_Name,(ROW()-ROW(rw_LoadOrigin)-1))="","",INDEX(rw_Cum,(ROW()-ROW(rw_LoadOrigin)-1),(COLUMN()-COLUMN(rw_LoadOrigin)-1)+1)-INDEX(rw_Cum,(ROW()-ROW(rw_LoadOrigin)-1),(COLUMN()-COLUMN(rw_LoadOrigin)-1))),"")</f>
        <v/>
      </c>
      <c r="O51" s="76" t="str">
        <f aca="false">IFERROR(IF(INDEX(res_Name,(ROW()-ROW(rw_LoadOrigin)-1))="","",INDEX(rw_Cum,(ROW()-ROW(rw_LoadOrigin)-1),(COLUMN()-COLUMN(rw_LoadOrigin)-1)+1)-INDEX(rw_Cum,(ROW()-ROW(rw_LoadOrigin)-1),(COLUMN()-COLUMN(rw_LoadOrigin)-1))),"")</f>
        <v/>
      </c>
      <c r="P51" s="76" t="str">
        <f aca="false">IFERROR(IF(INDEX(res_Name,(ROW()-ROW(rw_LoadOrigin)-1))="","",INDEX(rw_Cum,(ROW()-ROW(rw_LoadOrigin)-1),(COLUMN()-COLUMN(rw_LoadOrigin)-1)+1)-INDEX(rw_Cum,(ROW()-ROW(rw_LoadOrigin)-1),(COLUMN()-COLUMN(rw_LoadOrigin)-1))),"")</f>
        <v/>
      </c>
      <c r="Q51" s="76" t="str">
        <f aca="false">IFERROR(IF(INDEX(res_Name,(ROW()-ROW(rw_LoadOrigin)-1))="","",INDEX(rw_Cum,(ROW()-ROW(rw_LoadOrigin)-1),(COLUMN()-COLUMN(rw_LoadOrigin)-1)+1)-INDEX(rw_Cum,(ROW()-ROW(rw_LoadOrigin)-1),(COLUMN()-COLUMN(rw_LoadOrigin)-1))),"")</f>
        <v/>
      </c>
      <c r="R51" s="76" t="str">
        <f aca="false">IFERROR(IF(INDEX(res_Name,(ROW()-ROW(rw_LoadOrigin)-1))="","",INDEX(rw_Cum,(ROW()-ROW(rw_LoadOrigin)-1),(COLUMN()-COLUMN(rw_LoadOrigin)-1)+1)-INDEX(rw_Cum,(ROW()-ROW(rw_LoadOrigin)-1),(COLUMN()-COLUMN(rw_LoadOrigin)-1))),"")</f>
        <v/>
      </c>
      <c r="S51" s="76" t="str">
        <f aca="false">IFERROR(IF(INDEX(res_Name,(ROW()-ROW(rw_LoadOrigin)-1))="","",INDEX(rw_Cum,(ROW()-ROW(rw_LoadOrigin)-1),(COLUMN()-COLUMN(rw_LoadOrigin)-1)+1)-INDEX(rw_Cum,(ROW()-ROW(rw_LoadOrigin)-1),(COLUMN()-COLUMN(rw_LoadOrigin)-1))),"")</f>
        <v/>
      </c>
      <c r="T51" s="76" t="str">
        <f aca="false">IFERROR(IF(INDEX(res_Name,(ROW()-ROW(rw_LoadOrigin)-1))="","",INDEX(rw_Cum,(ROW()-ROW(rw_LoadOrigin)-1),(COLUMN()-COLUMN(rw_LoadOrigin)-1)+1)-INDEX(rw_Cum,(ROW()-ROW(rw_LoadOrigin)-1),(COLUMN()-COLUMN(rw_LoadOrigin)-1))),"")</f>
        <v/>
      </c>
      <c r="U51" s="76" t="str">
        <f aca="false">IFERROR(IF(INDEX(res_Name,(ROW()-ROW(rw_LoadOrigin)-1))="","",INDEX(rw_Cum,(ROW()-ROW(rw_LoadOrigin)-1),(COLUMN()-COLUMN(rw_LoadOrigin)-1)+1)-INDEX(rw_Cum,(ROW()-ROW(rw_LoadOrigin)-1),(COLUMN()-COLUMN(rw_LoadOrigin)-1))),"")</f>
        <v/>
      </c>
      <c r="V51" s="76" t="str">
        <f aca="false">IFERROR(IF(INDEX(res_Name,(ROW()-ROW(rw_LoadOrigin)-1))="","",INDEX(rw_Cum,(ROW()-ROW(rw_LoadOrigin)-1),(COLUMN()-COLUMN(rw_LoadOrigin)-1)+1)-INDEX(rw_Cum,(ROW()-ROW(rw_LoadOrigin)-1),(COLUMN()-COLUMN(rw_LoadOrigin)-1))),"")</f>
        <v/>
      </c>
      <c r="W51" s="76" t="str">
        <f aca="false">IFERROR(IF(INDEX(res_Name,(ROW()-ROW(rw_LoadOrigin)-1))="","",INDEX(rw_Cum,(ROW()-ROW(rw_LoadOrigin)-1),(COLUMN()-COLUMN(rw_LoadOrigin)-1)+1)-INDEX(rw_Cum,(ROW()-ROW(rw_LoadOrigin)-1),(COLUMN()-COLUMN(rw_LoadOrigin)-1))),"")</f>
        <v/>
      </c>
      <c r="X51" s="76" t="str">
        <f aca="false">IFERROR(IF(INDEX(res_Name,(ROW()-ROW(rw_LoadOrigin)-1))="","",INDEX(rw_Cum,(ROW()-ROW(rw_LoadOrigin)-1),(COLUMN()-COLUMN(rw_LoadOrigin)-1)+1)-INDEX(rw_Cum,(ROW()-ROW(rw_LoadOrigin)-1),(COLUMN()-COLUMN(rw_LoadOrigin)-1))),"")</f>
        <v/>
      </c>
      <c r="Y51" s="76" t="str">
        <f aca="false">IFERROR(IF(INDEX(res_Name,(ROW()-ROW(rw_LoadOrigin)-1))="","",INDEX(rw_Cum,(ROW()-ROW(rw_LoadOrigin)-1),(COLUMN()-COLUMN(rw_LoadOrigin)-1)+1)-INDEX(rw_Cum,(ROW()-ROW(rw_LoadOrigin)-1),(COLUMN()-COLUMN(rw_LoadOrigin)-1))),"")</f>
        <v/>
      </c>
      <c r="Z51" s="76" t="str">
        <f aca="false">IFERROR(IF(INDEX(res_Name,(ROW()-ROW(rw_LoadOrigin)-1))="","",INDEX(rw_Cum,(ROW()-ROW(rw_LoadOrigin)-1),(COLUMN()-COLUMN(rw_LoadOrigin)-1)+1)-INDEX(rw_Cum,(ROW()-ROW(rw_LoadOrigin)-1),(COLUMN()-COLUMN(rw_LoadOrigin)-1))),"")</f>
        <v/>
      </c>
      <c r="AA51" s="76" t="str">
        <f aca="false">IFERROR(IF(INDEX(res_Name,(ROW()-ROW(rw_LoadOrigin)-1))="","",INDEX(rw_Cum,(ROW()-ROW(rw_LoadOrigin)-1),(COLUMN()-COLUMN(rw_LoadOrigin)-1)+1)-INDEX(rw_Cum,(ROW()-ROW(rw_LoadOrigin)-1),(COLUMN()-COLUMN(rw_LoadOrigin)-1))),"")</f>
        <v/>
      </c>
      <c r="AB51" s="76" t="str">
        <f aca="false">IFERROR(IF(INDEX(res_Name,(ROW()-ROW(rw_LoadOrigin)-1))="","",INDEX(rw_Cum,(ROW()-ROW(rw_LoadOrigin)-1),(COLUMN()-COLUMN(rw_LoadOrigin)-1)+1)-INDEX(rw_Cum,(ROW()-ROW(rw_LoadOrigin)-1),(COLUMN()-COLUMN(rw_LoadOrigin)-1))),"")</f>
        <v/>
      </c>
      <c r="AC51" s="76"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5" t="str">
        <f aca="false">IFERROR(INDEX(res_Name,(ROW()-ROW(rw_LoadOrigin)-1))&amp;"","")</f>
        <v/>
      </c>
      <c r="C52" s="75" t="str">
        <f aca="false">IFERROR(IF(INDEX(res_Name,(ROW()-ROW(rw_LoadOrigin)-1))="","",INDEX(res_MaxUnits,(ROW()-ROW(rw_LoadOrigin)-1))),"")</f>
        <v/>
      </c>
      <c r="D52" s="76" t="str">
        <f aca="false">IFERROR(IF(INDEX(res_Name,(ROW()-ROW(rw_LoadOrigin)-1))="","",INDEX(rw_Cum,(ROW()-ROW(rw_LoadOrigin)-1),(COLUMN()-COLUMN(rw_LoadOrigin)-1)+1)-INDEX(rw_Cum,(ROW()-ROW(rw_LoadOrigin)-1),(COLUMN()-COLUMN(rw_LoadOrigin)-1))),"")</f>
        <v/>
      </c>
      <c r="E52" s="76" t="str">
        <f aca="false">IFERROR(IF(INDEX(res_Name,(ROW()-ROW(rw_LoadOrigin)-1))="","",INDEX(rw_Cum,(ROW()-ROW(rw_LoadOrigin)-1),(COLUMN()-COLUMN(rw_LoadOrigin)-1)+1)-INDEX(rw_Cum,(ROW()-ROW(rw_LoadOrigin)-1),(COLUMN()-COLUMN(rw_LoadOrigin)-1))),"")</f>
        <v/>
      </c>
      <c r="F52" s="76" t="str">
        <f aca="false">IFERROR(IF(INDEX(res_Name,(ROW()-ROW(rw_LoadOrigin)-1))="","",INDEX(rw_Cum,(ROW()-ROW(rw_LoadOrigin)-1),(COLUMN()-COLUMN(rw_LoadOrigin)-1)+1)-INDEX(rw_Cum,(ROW()-ROW(rw_LoadOrigin)-1),(COLUMN()-COLUMN(rw_LoadOrigin)-1))),"")</f>
        <v/>
      </c>
      <c r="G52" s="76" t="str">
        <f aca="false">IFERROR(IF(INDEX(res_Name,(ROW()-ROW(rw_LoadOrigin)-1))="","",INDEX(rw_Cum,(ROW()-ROW(rw_LoadOrigin)-1),(COLUMN()-COLUMN(rw_LoadOrigin)-1)+1)-INDEX(rw_Cum,(ROW()-ROW(rw_LoadOrigin)-1),(COLUMN()-COLUMN(rw_LoadOrigin)-1))),"")</f>
        <v/>
      </c>
      <c r="H52" s="76" t="str">
        <f aca="false">IFERROR(IF(INDEX(res_Name,(ROW()-ROW(rw_LoadOrigin)-1))="","",INDEX(rw_Cum,(ROW()-ROW(rw_LoadOrigin)-1),(COLUMN()-COLUMN(rw_LoadOrigin)-1)+1)-INDEX(rw_Cum,(ROW()-ROW(rw_LoadOrigin)-1),(COLUMN()-COLUMN(rw_LoadOrigin)-1))),"")</f>
        <v/>
      </c>
      <c r="I52" s="76" t="str">
        <f aca="false">IFERROR(IF(INDEX(res_Name,(ROW()-ROW(rw_LoadOrigin)-1))="","",INDEX(rw_Cum,(ROW()-ROW(rw_LoadOrigin)-1),(COLUMN()-COLUMN(rw_LoadOrigin)-1)+1)-INDEX(rw_Cum,(ROW()-ROW(rw_LoadOrigin)-1),(COLUMN()-COLUMN(rw_LoadOrigin)-1))),"")</f>
        <v/>
      </c>
      <c r="J52" s="76" t="str">
        <f aca="false">IFERROR(IF(INDEX(res_Name,(ROW()-ROW(rw_LoadOrigin)-1))="","",INDEX(rw_Cum,(ROW()-ROW(rw_LoadOrigin)-1),(COLUMN()-COLUMN(rw_LoadOrigin)-1)+1)-INDEX(rw_Cum,(ROW()-ROW(rw_LoadOrigin)-1),(COLUMN()-COLUMN(rw_LoadOrigin)-1))),"")</f>
        <v/>
      </c>
      <c r="K52" s="76" t="str">
        <f aca="false">IFERROR(IF(INDEX(res_Name,(ROW()-ROW(rw_LoadOrigin)-1))="","",INDEX(rw_Cum,(ROW()-ROW(rw_LoadOrigin)-1),(COLUMN()-COLUMN(rw_LoadOrigin)-1)+1)-INDEX(rw_Cum,(ROW()-ROW(rw_LoadOrigin)-1),(COLUMN()-COLUMN(rw_LoadOrigin)-1))),"")</f>
        <v/>
      </c>
      <c r="L52" s="76" t="str">
        <f aca="false">IFERROR(IF(INDEX(res_Name,(ROW()-ROW(rw_LoadOrigin)-1))="","",INDEX(rw_Cum,(ROW()-ROW(rw_LoadOrigin)-1),(COLUMN()-COLUMN(rw_LoadOrigin)-1)+1)-INDEX(rw_Cum,(ROW()-ROW(rw_LoadOrigin)-1),(COLUMN()-COLUMN(rw_LoadOrigin)-1))),"")</f>
        <v/>
      </c>
      <c r="M52" s="76" t="str">
        <f aca="false">IFERROR(IF(INDEX(res_Name,(ROW()-ROW(rw_LoadOrigin)-1))="","",INDEX(rw_Cum,(ROW()-ROW(rw_LoadOrigin)-1),(COLUMN()-COLUMN(rw_LoadOrigin)-1)+1)-INDEX(rw_Cum,(ROW()-ROW(rw_LoadOrigin)-1),(COLUMN()-COLUMN(rw_LoadOrigin)-1))),"")</f>
        <v/>
      </c>
      <c r="N52" s="76" t="str">
        <f aca="false">IFERROR(IF(INDEX(res_Name,(ROW()-ROW(rw_LoadOrigin)-1))="","",INDEX(rw_Cum,(ROW()-ROW(rw_LoadOrigin)-1),(COLUMN()-COLUMN(rw_LoadOrigin)-1)+1)-INDEX(rw_Cum,(ROW()-ROW(rw_LoadOrigin)-1),(COLUMN()-COLUMN(rw_LoadOrigin)-1))),"")</f>
        <v/>
      </c>
      <c r="O52" s="76" t="str">
        <f aca="false">IFERROR(IF(INDEX(res_Name,(ROW()-ROW(rw_LoadOrigin)-1))="","",INDEX(rw_Cum,(ROW()-ROW(rw_LoadOrigin)-1),(COLUMN()-COLUMN(rw_LoadOrigin)-1)+1)-INDEX(rw_Cum,(ROW()-ROW(rw_LoadOrigin)-1),(COLUMN()-COLUMN(rw_LoadOrigin)-1))),"")</f>
        <v/>
      </c>
      <c r="P52" s="76" t="str">
        <f aca="false">IFERROR(IF(INDEX(res_Name,(ROW()-ROW(rw_LoadOrigin)-1))="","",INDEX(rw_Cum,(ROW()-ROW(rw_LoadOrigin)-1),(COLUMN()-COLUMN(rw_LoadOrigin)-1)+1)-INDEX(rw_Cum,(ROW()-ROW(rw_LoadOrigin)-1),(COLUMN()-COLUMN(rw_LoadOrigin)-1))),"")</f>
        <v/>
      </c>
      <c r="Q52" s="76" t="str">
        <f aca="false">IFERROR(IF(INDEX(res_Name,(ROW()-ROW(rw_LoadOrigin)-1))="","",INDEX(rw_Cum,(ROW()-ROW(rw_LoadOrigin)-1),(COLUMN()-COLUMN(rw_LoadOrigin)-1)+1)-INDEX(rw_Cum,(ROW()-ROW(rw_LoadOrigin)-1),(COLUMN()-COLUMN(rw_LoadOrigin)-1))),"")</f>
        <v/>
      </c>
      <c r="R52" s="76" t="str">
        <f aca="false">IFERROR(IF(INDEX(res_Name,(ROW()-ROW(rw_LoadOrigin)-1))="","",INDEX(rw_Cum,(ROW()-ROW(rw_LoadOrigin)-1),(COLUMN()-COLUMN(rw_LoadOrigin)-1)+1)-INDEX(rw_Cum,(ROW()-ROW(rw_LoadOrigin)-1),(COLUMN()-COLUMN(rw_LoadOrigin)-1))),"")</f>
        <v/>
      </c>
      <c r="S52" s="76" t="str">
        <f aca="false">IFERROR(IF(INDEX(res_Name,(ROW()-ROW(rw_LoadOrigin)-1))="","",INDEX(rw_Cum,(ROW()-ROW(rw_LoadOrigin)-1),(COLUMN()-COLUMN(rw_LoadOrigin)-1)+1)-INDEX(rw_Cum,(ROW()-ROW(rw_LoadOrigin)-1),(COLUMN()-COLUMN(rw_LoadOrigin)-1))),"")</f>
        <v/>
      </c>
      <c r="T52" s="76" t="str">
        <f aca="false">IFERROR(IF(INDEX(res_Name,(ROW()-ROW(rw_LoadOrigin)-1))="","",INDEX(rw_Cum,(ROW()-ROW(rw_LoadOrigin)-1),(COLUMN()-COLUMN(rw_LoadOrigin)-1)+1)-INDEX(rw_Cum,(ROW()-ROW(rw_LoadOrigin)-1),(COLUMN()-COLUMN(rw_LoadOrigin)-1))),"")</f>
        <v/>
      </c>
      <c r="U52" s="76" t="str">
        <f aca="false">IFERROR(IF(INDEX(res_Name,(ROW()-ROW(rw_LoadOrigin)-1))="","",INDEX(rw_Cum,(ROW()-ROW(rw_LoadOrigin)-1),(COLUMN()-COLUMN(rw_LoadOrigin)-1)+1)-INDEX(rw_Cum,(ROW()-ROW(rw_LoadOrigin)-1),(COLUMN()-COLUMN(rw_LoadOrigin)-1))),"")</f>
        <v/>
      </c>
      <c r="V52" s="76" t="str">
        <f aca="false">IFERROR(IF(INDEX(res_Name,(ROW()-ROW(rw_LoadOrigin)-1))="","",INDEX(rw_Cum,(ROW()-ROW(rw_LoadOrigin)-1),(COLUMN()-COLUMN(rw_LoadOrigin)-1)+1)-INDEX(rw_Cum,(ROW()-ROW(rw_LoadOrigin)-1),(COLUMN()-COLUMN(rw_LoadOrigin)-1))),"")</f>
        <v/>
      </c>
      <c r="W52" s="76" t="str">
        <f aca="false">IFERROR(IF(INDEX(res_Name,(ROW()-ROW(rw_LoadOrigin)-1))="","",INDEX(rw_Cum,(ROW()-ROW(rw_LoadOrigin)-1),(COLUMN()-COLUMN(rw_LoadOrigin)-1)+1)-INDEX(rw_Cum,(ROW()-ROW(rw_LoadOrigin)-1),(COLUMN()-COLUMN(rw_LoadOrigin)-1))),"")</f>
        <v/>
      </c>
      <c r="X52" s="76" t="str">
        <f aca="false">IFERROR(IF(INDEX(res_Name,(ROW()-ROW(rw_LoadOrigin)-1))="","",INDEX(rw_Cum,(ROW()-ROW(rw_LoadOrigin)-1),(COLUMN()-COLUMN(rw_LoadOrigin)-1)+1)-INDEX(rw_Cum,(ROW()-ROW(rw_LoadOrigin)-1),(COLUMN()-COLUMN(rw_LoadOrigin)-1))),"")</f>
        <v/>
      </c>
      <c r="Y52" s="76" t="str">
        <f aca="false">IFERROR(IF(INDEX(res_Name,(ROW()-ROW(rw_LoadOrigin)-1))="","",INDEX(rw_Cum,(ROW()-ROW(rw_LoadOrigin)-1),(COLUMN()-COLUMN(rw_LoadOrigin)-1)+1)-INDEX(rw_Cum,(ROW()-ROW(rw_LoadOrigin)-1),(COLUMN()-COLUMN(rw_LoadOrigin)-1))),"")</f>
        <v/>
      </c>
      <c r="Z52" s="76" t="str">
        <f aca="false">IFERROR(IF(INDEX(res_Name,(ROW()-ROW(rw_LoadOrigin)-1))="","",INDEX(rw_Cum,(ROW()-ROW(rw_LoadOrigin)-1),(COLUMN()-COLUMN(rw_LoadOrigin)-1)+1)-INDEX(rw_Cum,(ROW()-ROW(rw_LoadOrigin)-1),(COLUMN()-COLUMN(rw_LoadOrigin)-1))),"")</f>
        <v/>
      </c>
      <c r="AA52" s="76" t="str">
        <f aca="false">IFERROR(IF(INDEX(res_Name,(ROW()-ROW(rw_LoadOrigin)-1))="","",INDEX(rw_Cum,(ROW()-ROW(rw_LoadOrigin)-1),(COLUMN()-COLUMN(rw_LoadOrigin)-1)+1)-INDEX(rw_Cum,(ROW()-ROW(rw_LoadOrigin)-1),(COLUMN()-COLUMN(rw_LoadOrigin)-1))),"")</f>
        <v/>
      </c>
      <c r="AB52" s="76" t="str">
        <f aca="false">IFERROR(IF(INDEX(res_Name,(ROW()-ROW(rw_LoadOrigin)-1))="","",INDEX(rw_Cum,(ROW()-ROW(rw_LoadOrigin)-1),(COLUMN()-COLUMN(rw_LoadOrigin)-1)+1)-INDEX(rw_Cum,(ROW()-ROW(rw_LoadOrigin)-1),(COLUMN()-COLUMN(rw_LoadOrigin)-1))),"")</f>
        <v/>
      </c>
      <c r="AC52" s="76"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5" t="str">
        <f aca="false">IFERROR(INDEX(res_Name,(ROW()-ROW(rw_LoadOrigin)-1))&amp;"","")</f>
        <v/>
      </c>
      <c r="C53" s="75" t="str">
        <f aca="false">IFERROR(IF(INDEX(res_Name,(ROW()-ROW(rw_LoadOrigin)-1))="","",INDEX(res_MaxUnits,(ROW()-ROW(rw_LoadOrigin)-1))),"")</f>
        <v/>
      </c>
      <c r="D53" s="76" t="str">
        <f aca="false">IFERROR(IF(INDEX(res_Name,(ROW()-ROW(rw_LoadOrigin)-1))="","",INDEX(rw_Cum,(ROW()-ROW(rw_LoadOrigin)-1),(COLUMN()-COLUMN(rw_LoadOrigin)-1)+1)-INDEX(rw_Cum,(ROW()-ROW(rw_LoadOrigin)-1),(COLUMN()-COLUMN(rw_LoadOrigin)-1))),"")</f>
        <v/>
      </c>
      <c r="E53" s="76" t="str">
        <f aca="false">IFERROR(IF(INDEX(res_Name,(ROW()-ROW(rw_LoadOrigin)-1))="","",INDEX(rw_Cum,(ROW()-ROW(rw_LoadOrigin)-1),(COLUMN()-COLUMN(rw_LoadOrigin)-1)+1)-INDEX(rw_Cum,(ROW()-ROW(rw_LoadOrigin)-1),(COLUMN()-COLUMN(rw_LoadOrigin)-1))),"")</f>
        <v/>
      </c>
      <c r="F53" s="76" t="str">
        <f aca="false">IFERROR(IF(INDEX(res_Name,(ROW()-ROW(rw_LoadOrigin)-1))="","",INDEX(rw_Cum,(ROW()-ROW(rw_LoadOrigin)-1),(COLUMN()-COLUMN(rw_LoadOrigin)-1)+1)-INDEX(rw_Cum,(ROW()-ROW(rw_LoadOrigin)-1),(COLUMN()-COLUMN(rw_LoadOrigin)-1))),"")</f>
        <v/>
      </c>
      <c r="G53" s="76" t="str">
        <f aca="false">IFERROR(IF(INDEX(res_Name,(ROW()-ROW(rw_LoadOrigin)-1))="","",INDEX(rw_Cum,(ROW()-ROW(rw_LoadOrigin)-1),(COLUMN()-COLUMN(rw_LoadOrigin)-1)+1)-INDEX(rw_Cum,(ROW()-ROW(rw_LoadOrigin)-1),(COLUMN()-COLUMN(rw_LoadOrigin)-1))),"")</f>
        <v/>
      </c>
      <c r="H53" s="76" t="str">
        <f aca="false">IFERROR(IF(INDEX(res_Name,(ROW()-ROW(rw_LoadOrigin)-1))="","",INDEX(rw_Cum,(ROW()-ROW(rw_LoadOrigin)-1),(COLUMN()-COLUMN(rw_LoadOrigin)-1)+1)-INDEX(rw_Cum,(ROW()-ROW(rw_LoadOrigin)-1),(COLUMN()-COLUMN(rw_LoadOrigin)-1))),"")</f>
        <v/>
      </c>
      <c r="I53" s="76" t="str">
        <f aca="false">IFERROR(IF(INDEX(res_Name,(ROW()-ROW(rw_LoadOrigin)-1))="","",INDEX(rw_Cum,(ROW()-ROW(rw_LoadOrigin)-1),(COLUMN()-COLUMN(rw_LoadOrigin)-1)+1)-INDEX(rw_Cum,(ROW()-ROW(rw_LoadOrigin)-1),(COLUMN()-COLUMN(rw_LoadOrigin)-1))),"")</f>
        <v/>
      </c>
      <c r="J53" s="76" t="str">
        <f aca="false">IFERROR(IF(INDEX(res_Name,(ROW()-ROW(rw_LoadOrigin)-1))="","",INDEX(rw_Cum,(ROW()-ROW(rw_LoadOrigin)-1),(COLUMN()-COLUMN(rw_LoadOrigin)-1)+1)-INDEX(rw_Cum,(ROW()-ROW(rw_LoadOrigin)-1),(COLUMN()-COLUMN(rw_LoadOrigin)-1))),"")</f>
        <v/>
      </c>
      <c r="K53" s="76" t="str">
        <f aca="false">IFERROR(IF(INDEX(res_Name,(ROW()-ROW(rw_LoadOrigin)-1))="","",INDEX(rw_Cum,(ROW()-ROW(rw_LoadOrigin)-1),(COLUMN()-COLUMN(rw_LoadOrigin)-1)+1)-INDEX(rw_Cum,(ROW()-ROW(rw_LoadOrigin)-1),(COLUMN()-COLUMN(rw_LoadOrigin)-1))),"")</f>
        <v/>
      </c>
      <c r="L53" s="76" t="str">
        <f aca="false">IFERROR(IF(INDEX(res_Name,(ROW()-ROW(rw_LoadOrigin)-1))="","",INDEX(rw_Cum,(ROW()-ROW(rw_LoadOrigin)-1),(COLUMN()-COLUMN(rw_LoadOrigin)-1)+1)-INDEX(rw_Cum,(ROW()-ROW(rw_LoadOrigin)-1),(COLUMN()-COLUMN(rw_LoadOrigin)-1))),"")</f>
        <v/>
      </c>
      <c r="M53" s="76" t="str">
        <f aca="false">IFERROR(IF(INDEX(res_Name,(ROW()-ROW(rw_LoadOrigin)-1))="","",INDEX(rw_Cum,(ROW()-ROW(rw_LoadOrigin)-1),(COLUMN()-COLUMN(rw_LoadOrigin)-1)+1)-INDEX(rw_Cum,(ROW()-ROW(rw_LoadOrigin)-1),(COLUMN()-COLUMN(rw_LoadOrigin)-1))),"")</f>
        <v/>
      </c>
      <c r="N53" s="76" t="str">
        <f aca="false">IFERROR(IF(INDEX(res_Name,(ROW()-ROW(rw_LoadOrigin)-1))="","",INDEX(rw_Cum,(ROW()-ROW(rw_LoadOrigin)-1),(COLUMN()-COLUMN(rw_LoadOrigin)-1)+1)-INDEX(rw_Cum,(ROW()-ROW(rw_LoadOrigin)-1),(COLUMN()-COLUMN(rw_LoadOrigin)-1))),"")</f>
        <v/>
      </c>
      <c r="O53" s="76" t="str">
        <f aca="false">IFERROR(IF(INDEX(res_Name,(ROW()-ROW(rw_LoadOrigin)-1))="","",INDEX(rw_Cum,(ROW()-ROW(rw_LoadOrigin)-1),(COLUMN()-COLUMN(rw_LoadOrigin)-1)+1)-INDEX(rw_Cum,(ROW()-ROW(rw_LoadOrigin)-1),(COLUMN()-COLUMN(rw_LoadOrigin)-1))),"")</f>
        <v/>
      </c>
      <c r="P53" s="76" t="str">
        <f aca="false">IFERROR(IF(INDEX(res_Name,(ROW()-ROW(rw_LoadOrigin)-1))="","",INDEX(rw_Cum,(ROW()-ROW(rw_LoadOrigin)-1),(COLUMN()-COLUMN(rw_LoadOrigin)-1)+1)-INDEX(rw_Cum,(ROW()-ROW(rw_LoadOrigin)-1),(COLUMN()-COLUMN(rw_LoadOrigin)-1))),"")</f>
        <v/>
      </c>
      <c r="Q53" s="76" t="str">
        <f aca="false">IFERROR(IF(INDEX(res_Name,(ROW()-ROW(rw_LoadOrigin)-1))="","",INDEX(rw_Cum,(ROW()-ROW(rw_LoadOrigin)-1),(COLUMN()-COLUMN(rw_LoadOrigin)-1)+1)-INDEX(rw_Cum,(ROW()-ROW(rw_LoadOrigin)-1),(COLUMN()-COLUMN(rw_LoadOrigin)-1))),"")</f>
        <v/>
      </c>
      <c r="R53" s="76" t="str">
        <f aca="false">IFERROR(IF(INDEX(res_Name,(ROW()-ROW(rw_LoadOrigin)-1))="","",INDEX(rw_Cum,(ROW()-ROW(rw_LoadOrigin)-1),(COLUMN()-COLUMN(rw_LoadOrigin)-1)+1)-INDEX(rw_Cum,(ROW()-ROW(rw_LoadOrigin)-1),(COLUMN()-COLUMN(rw_LoadOrigin)-1))),"")</f>
        <v/>
      </c>
      <c r="S53" s="76" t="str">
        <f aca="false">IFERROR(IF(INDEX(res_Name,(ROW()-ROW(rw_LoadOrigin)-1))="","",INDEX(rw_Cum,(ROW()-ROW(rw_LoadOrigin)-1),(COLUMN()-COLUMN(rw_LoadOrigin)-1)+1)-INDEX(rw_Cum,(ROW()-ROW(rw_LoadOrigin)-1),(COLUMN()-COLUMN(rw_LoadOrigin)-1))),"")</f>
        <v/>
      </c>
      <c r="T53" s="76" t="str">
        <f aca="false">IFERROR(IF(INDEX(res_Name,(ROW()-ROW(rw_LoadOrigin)-1))="","",INDEX(rw_Cum,(ROW()-ROW(rw_LoadOrigin)-1),(COLUMN()-COLUMN(rw_LoadOrigin)-1)+1)-INDEX(rw_Cum,(ROW()-ROW(rw_LoadOrigin)-1),(COLUMN()-COLUMN(rw_LoadOrigin)-1))),"")</f>
        <v/>
      </c>
      <c r="U53" s="76" t="str">
        <f aca="false">IFERROR(IF(INDEX(res_Name,(ROW()-ROW(rw_LoadOrigin)-1))="","",INDEX(rw_Cum,(ROW()-ROW(rw_LoadOrigin)-1),(COLUMN()-COLUMN(rw_LoadOrigin)-1)+1)-INDEX(rw_Cum,(ROW()-ROW(rw_LoadOrigin)-1),(COLUMN()-COLUMN(rw_LoadOrigin)-1))),"")</f>
        <v/>
      </c>
      <c r="V53" s="76" t="str">
        <f aca="false">IFERROR(IF(INDEX(res_Name,(ROW()-ROW(rw_LoadOrigin)-1))="","",INDEX(rw_Cum,(ROW()-ROW(rw_LoadOrigin)-1),(COLUMN()-COLUMN(rw_LoadOrigin)-1)+1)-INDEX(rw_Cum,(ROW()-ROW(rw_LoadOrigin)-1),(COLUMN()-COLUMN(rw_LoadOrigin)-1))),"")</f>
        <v/>
      </c>
      <c r="W53" s="76" t="str">
        <f aca="false">IFERROR(IF(INDEX(res_Name,(ROW()-ROW(rw_LoadOrigin)-1))="","",INDEX(rw_Cum,(ROW()-ROW(rw_LoadOrigin)-1),(COLUMN()-COLUMN(rw_LoadOrigin)-1)+1)-INDEX(rw_Cum,(ROW()-ROW(rw_LoadOrigin)-1),(COLUMN()-COLUMN(rw_LoadOrigin)-1))),"")</f>
        <v/>
      </c>
      <c r="X53" s="76" t="str">
        <f aca="false">IFERROR(IF(INDEX(res_Name,(ROW()-ROW(rw_LoadOrigin)-1))="","",INDEX(rw_Cum,(ROW()-ROW(rw_LoadOrigin)-1),(COLUMN()-COLUMN(rw_LoadOrigin)-1)+1)-INDEX(rw_Cum,(ROW()-ROW(rw_LoadOrigin)-1),(COLUMN()-COLUMN(rw_LoadOrigin)-1))),"")</f>
        <v/>
      </c>
      <c r="Y53" s="76" t="str">
        <f aca="false">IFERROR(IF(INDEX(res_Name,(ROW()-ROW(rw_LoadOrigin)-1))="","",INDEX(rw_Cum,(ROW()-ROW(rw_LoadOrigin)-1),(COLUMN()-COLUMN(rw_LoadOrigin)-1)+1)-INDEX(rw_Cum,(ROW()-ROW(rw_LoadOrigin)-1),(COLUMN()-COLUMN(rw_LoadOrigin)-1))),"")</f>
        <v/>
      </c>
      <c r="Z53" s="76" t="str">
        <f aca="false">IFERROR(IF(INDEX(res_Name,(ROW()-ROW(rw_LoadOrigin)-1))="","",INDEX(rw_Cum,(ROW()-ROW(rw_LoadOrigin)-1),(COLUMN()-COLUMN(rw_LoadOrigin)-1)+1)-INDEX(rw_Cum,(ROW()-ROW(rw_LoadOrigin)-1),(COLUMN()-COLUMN(rw_LoadOrigin)-1))),"")</f>
        <v/>
      </c>
      <c r="AA53" s="76" t="str">
        <f aca="false">IFERROR(IF(INDEX(res_Name,(ROW()-ROW(rw_LoadOrigin)-1))="","",INDEX(rw_Cum,(ROW()-ROW(rw_LoadOrigin)-1),(COLUMN()-COLUMN(rw_LoadOrigin)-1)+1)-INDEX(rw_Cum,(ROW()-ROW(rw_LoadOrigin)-1),(COLUMN()-COLUMN(rw_LoadOrigin)-1))),"")</f>
        <v/>
      </c>
      <c r="AB53" s="76" t="str">
        <f aca="false">IFERROR(IF(INDEX(res_Name,(ROW()-ROW(rw_LoadOrigin)-1))="","",INDEX(rw_Cum,(ROW()-ROW(rw_LoadOrigin)-1),(COLUMN()-COLUMN(rw_LoadOrigin)-1)+1)-INDEX(rw_Cum,(ROW()-ROW(rw_LoadOrigin)-1),(COLUMN()-COLUMN(rw_LoadOrigin)-1))),"")</f>
        <v/>
      </c>
      <c r="AC53" s="76"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5" t="str">
        <f aca="false">IFERROR(INDEX(res_Name,(ROW()-ROW(rw_LoadOrigin)-1))&amp;"","")</f>
        <v/>
      </c>
      <c r="C54" s="75" t="str">
        <f aca="false">IFERROR(IF(INDEX(res_Name,(ROW()-ROW(rw_LoadOrigin)-1))="","",INDEX(res_MaxUnits,(ROW()-ROW(rw_LoadOrigin)-1))),"")</f>
        <v/>
      </c>
      <c r="D54" s="76" t="str">
        <f aca="false">IFERROR(IF(INDEX(res_Name,(ROW()-ROW(rw_LoadOrigin)-1))="","",INDEX(rw_Cum,(ROW()-ROW(rw_LoadOrigin)-1),(COLUMN()-COLUMN(rw_LoadOrigin)-1)+1)-INDEX(rw_Cum,(ROW()-ROW(rw_LoadOrigin)-1),(COLUMN()-COLUMN(rw_LoadOrigin)-1))),"")</f>
        <v/>
      </c>
      <c r="E54" s="76" t="str">
        <f aca="false">IFERROR(IF(INDEX(res_Name,(ROW()-ROW(rw_LoadOrigin)-1))="","",INDEX(rw_Cum,(ROW()-ROW(rw_LoadOrigin)-1),(COLUMN()-COLUMN(rw_LoadOrigin)-1)+1)-INDEX(rw_Cum,(ROW()-ROW(rw_LoadOrigin)-1),(COLUMN()-COLUMN(rw_LoadOrigin)-1))),"")</f>
        <v/>
      </c>
      <c r="F54" s="76" t="str">
        <f aca="false">IFERROR(IF(INDEX(res_Name,(ROW()-ROW(rw_LoadOrigin)-1))="","",INDEX(rw_Cum,(ROW()-ROW(rw_LoadOrigin)-1),(COLUMN()-COLUMN(rw_LoadOrigin)-1)+1)-INDEX(rw_Cum,(ROW()-ROW(rw_LoadOrigin)-1),(COLUMN()-COLUMN(rw_LoadOrigin)-1))),"")</f>
        <v/>
      </c>
      <c r="G54" s="76" t="str">
        <f aca="false">IFERROR(IF(INDEX(res_Name,(ROW()-ROW(rw_LoadOrigin)-1))="","",INDEX(rw_Cum,(ROW()-ROW(rw_LoadOrigin)-1),(COLUMN()-COLUMN(rw_LoadOrigin)-1)+1)-INDEX(rw_Cum,(ROW()-ROW(rw_LoadOrigin)-1),(COLUMN()-COLUMN(rw_LoadOrigin)-1))),"")</f>
        <v/>
      </c>
      <c r="H54" s="76" t="str">
        <f aca="false">IFERROR(IF(INDEX(res_Name,(ROW()-ROW(rw_LoadOrigin)-1))="","",INDEX(rw_Cum,(ROW()-ROW(rw_LoadOrigin)-1),(COLUMN()-COLUMN(rw_LoadOrigin)-1)+1)-INDEX(rw_Cum,(ROW()-ROW(rw_LoadOrigin)-1),(COLUMN()-COLUMN(rw_LoadOrigin)-1))),"")</f>
        <v/>
      </c>
      <c r="I54" s="76" t="str">
        <f aca="false">IFERROR(IF(INDEX(res_Name,(ROW()-ROW(rw_LoadOrigin)-1))="","",INDEX(rw_Cum,(ROW()-ROW(rw_LoadOrigin)-1),(COLUMN()-COLUMN(rw_LoadOrigin)-1)+1)-INDEX(rw_Cum,(ROW()-ROW(rw_LoadOrigin)-1),(COLUMN()-COLUMN(rw_LoadOrigin)-1))),"")</f>
        <v/>
      </c>
      <c r="J54" s="76" t="str">
        <f aca="false">IFERROR(IF(INDEX(res_Name,(ROW()-ROW(rw_LoadOrigin)-1))="","",INDEX(rw_Cum,(ROW()-ROW(rw_LoadOrigin)-1),(COLUMN()-COLUMN(rw_LoadOrigin)-1)+1)-INDEX(rw_Cum,(ROW()-ROW(rw_LoadOrigin)-1),(COLUMN()-COLUMN(rw_LoadOrigin)-1))),"")</f>
        <v/>
      </c>
      <c r="K54" s="76" t="str">
        <f aca="false">IFERROR(IF(INDEX(res_Name,(ROW()-ROW(rw_LoadOrigin)-1))="","",INDEX(rw_Cum,(ROW()-ROW(rw_LoadOrigin)-1),(COLUMN()-COLUMN(rw_LoadOrigin)-1)+1)-INDEX(rw_Cum,(ROW()-ROW(rw_LoadOrigin)-1),(COLUMN()-COLUMN(rw_LoadOrigin)-1))),"")</f>
        <v/>
      </c>
      <c r="L54" s="76" t="str">
        <f aca="false">IFERROR(IF(INDEX(res_Name,(ROW()-ROW(rw_LoadOrigin)-1))="","",INDEX(rw_Cum,(ROW()-ROW(rw_LoadOrigin)-1),(COLUMN()-COLUMN(rw_LoadOrigin)-1)+1)-INDEX(rw_Cum,(ROW()-ROW(rw_LoadOrigin)-1),(COLUMN()-COLUMN(rw_LoadOrigin)-1))),"")</f>
        <v/>
      </c>
      <c r="M54" s="76" t="str">
        <f aca="false">IFERROR(IF(INDEX(res_Name,(ROW()-ROW(rw_LoadOrigin)-1))="","",INDEX(rw_Cum,(ROW()-ROW(rw_LoadOrigin)-1),(COLUMN()-COLUMN(rw_LoadOrigin)-1)+1)-INDEX(rw_Cum,(ROW()-ROW(rw_LoadOrigin)-1),(COLUMN()-COLUMN(rw_LoadOrigin)-1))),"")</f>
        <v/>
      </c>
      <c r="N54" s="76" t="str">
        <f aca="false">IFERROR(IF(INDEX(res_Name,(ROW()-ROW(rw_LoadOrigin)-1))="","",INDEX(rw_Cum,(ROW()-ROW(rw_LoadOrigin)-1),(COLUMN()-COLUMN(rw_LoadOrigin)-1)+1)-INDEX(rw_Cum,(ROW()-ROW(rw_LoadOrigin)-1),(COLUMN()-COLUMN(rw_LoadOrigin)-1))),"")</f>
        <v/>
      </c>
      <c r="O54" s="76" t="str">
        <f aca="false">IFERROR(IF(INDEX(res_Name,(ROW()-ROW(rw_LoadOrigin)-1))="","",INDEX(rw_Cum,(ROW()-ROW(rw_LoadOrigin)-1),(COLUMN()-COLUMN(rw_LoadOrigin)-1)+1)-INDEX(rw_Cum,(ROW()-ROW(rw_LoadOrigin)-1),(COLUMN()-COLUMN(rw_LoadOrigin)-1))),"")</f>
        <v/>
      </c>
      <c r="P54" s="76" t="str">
        <f aca="false">IFERROR(IF(INDEX(res_Name,(ROW()-ROW(rw_LoadOrigin)-1))="","",INDEX(rw_Cum,(ROW()-ROW(rw_LoadOrigin)-1),(COLUMN()-COLUMN(rw_LoadOrigin)-1)+1)-INDEX(rw_Cum,(ROW()-ROW(rw_LoadOrigin)-1),(COLUMN()-COLUMN(rw_LoadOrigin)-1))),"")</f>
        <v/>
      </c>
      <c r="Q54" s="76" t="str">
        <f aca="false">IFERROR(IF(INDEX(res_Name,(ROW()-ROW(rw_LoadOrigin)-1))="","",INDEX(rw_Cum,(ROW()-ROW(rw_LoadOrigin)-1),(COLUMN()-COLUMN(rw_LoadOrigin)-1)+1)-INDEX(rw_Cum,(ROW()-ROW(rw_LoadOrigin)-1),(COLUMN()-COLUMN(rw_LoadOrigin)-1))),"")</f>
        <v/>
      </c>
      <c r="R54" s="76" t="str">
        <f aca="false">IFERROR(IF(INDEX(res_Name,(ROW()-ROW(rw_LoadOrigin)-1))="","",INDEX(rw_Cum,(ROW()-ROW(rw_LoadOrigin)-1),(COLUMN()-COLUMN(rw_LoadOrigin)-1)+1)-INDEX(rw_Cum,(ROW()-ROW(rw_LoadOrigin)-1),(COLUMN()-COLUMN(rw_LoadOrigin)-1))),"")</f>
        <v/>
      </c>
      <c r="S54" s="76" t="str">
        <f aca="false">IFERROR(IF(INDEX(res_Name,(ROW()-ROW(rw_LoadOrigin)-1))="","",INDEX(rw_Cum,(ROW()-ROW(rw_LoadOrigin)-1),(COLUMN()-COLUMN(rw_LoadOrigin)-1)+1)-INDEX(rw_Cum,(ROW()-ROW(rw_LoadOrigin)-1),(COLUMN()-COLUMN(rw_LoadOrigin)-1))),"")</f>
        <v/>
      </c>
      <c r="T54" s="76" t="str">
        <f aca="false">IFERROR(IF(INDEX(res_Name,(ROW()-ROW(rw_LoadOrigin)-1))="","",INDEX(rw_Cum,(ROW()-ROW(rw_LoadOrigin)-1),(COLUMN()-COLUMN(rw_LoadOrigin)-1)+1)-INDEX(rw_Cum,(ROW()-ROW(rw_LoadOrigin)-1),(COLUMN()-COLUMN(rw_LoadOrigin)-1))),"")</f>
        <v/>
      </c>
      <c r="U54" s="76" t="str">
        <f aca="false">IFERROR(IF(INDEX(res_Name,(ROW()-ROW(rw_LoadOrigin)-1))="","",INDEX(rw_Cum,(ROW()-ROW(rw_LoadOrigin)-1),(COLUMN()-COLUMN(rw_LoadOrigin)-1)+1)-INDEX(rw_Cum,(ROW()-ROW(rw_LoadOrigin)-1),(COLUMN()-COLUMN(rw_LoadOrigin)-1))),"")</f>
        <v/>
      </c>
      <c r="V54" s="76" t="str">
        <f aca="false">IFERROR(IF(INDEX(res_Name,(ROW()-ROW(rw_LoadOrigin)-1))="","",INDEX(rw_Cum,(ROW()-ROW(rw_LoadOrigin)-1),(COLUMN()-COLUMN(rw_LoadOrigin)-1)+1)-INDEX(rw_Cum,(ROW()-ROW(rw_LoadOrigin)-1),(COLUMN()-COLUMN(rw_LoadOrigin)-1))),"")</f>
        <v/>
      </c>
      <c r="W54" s="76" t="str">
        <f aca="false">IFERROR(IF(INDEX(res_Name,(ROW()-ROW(rw_LoadOrigin)-1))="","",INDEX(rw_Cum,(ROW()-ROW(rw_LoadOrigin)-1),(COLUMN()-COLUMN(rw_LoadOrigin)-1)+1)-INDEX(rw_Cum,(ROW()-ROW(rw_LoadOrigin)-1),(COLUMN()-COLUMN(rw_LoadOrigin)-1))),"")</f>
        <v/>
      </c>
      <c r="X54" s="76" t="str">
        <f aca="false">IFERROR(IF(INDEX(res_Name,(ROW()-ROW(rw_LoadOrigin)-1))="","",INDEX(rw_Cum,(ROW()-ROW(rw_LoadOrigin)-1),(COLUMN()-COLUMN(rw_LoadOrigin)-1)+1)-INDEX(rw_Cum,(ROW()-ROW(rw_LoadOrigin)-1),(COLUMN()-COLUMN(rw_LoadOrigin)-1))),"")</f>
        <v/>
      </c>
      <c r="Y54" s="76" t="str">
        <f aca="false">IFERROR(IF(INDEX(res_Name,(ROW()-ROW(rw_LoadOrigin)-1))="","",INDEX(rw_Cum,(ROW()-ROW(rw_LoadOrigin)-1),(COLUMN()-COLUMN(rw_LoadOrigin)-1)+1)-INDEX(rw_Cum,(ROW()-ROW(rw_LoadOrigin)-1),(COLUMN()-COLUMN(rw_LoadOrigin)-1))),"")</f>
        <v/>
      </c>
      <c r="Z54" s="76" t="str">
        <f aca="false">IFERROR(IF(INDEX(res_Name,(ROW()-ROW(rw_LoadOrigin)-1))="","",INDEX(rw_Cum,(ROW()-ROW(rw_LoadOrigin)-1),(COLUMN()-COLUMN(rw_LoadOrigin)-1)+1)-INDEX(rw_Cum,(ROW()-ROW(rw_LoadOrigin)-1),(COLUMN()-COLUMN(rw_LoadOrigin)-1))),"")</f>
        <v/>
      </c>
      <c r="AA54" s="76" t="str">
        <f aca="false">IFERROR(IF(INDEX(res_Name,(ROW()-ROW(rw_LoadOrigin)-1))="","",INDEX(rw_Cum,(ROW()-ROW(rw_LoadOrigin)-1),(COLUMN()-COLUMN(rw_LoadOrigin)-1)+1)-INDEX(rw_Cum,(ROW()-ROW(rw_LoadOrigin)-1),(COLUMN()-COLUMN(rw_LoadOrigin)-1))),"")</f>
        <v/>
      </c>
      <c r="AB54" s="76" t="str">
        <f aca="false">IFERROR(IF(INDEX(res_Name,(ROW()-ROW(rw_LoadOrigin)-1))="","",INDEX(rw_Cum,(ROW()-ROW(rw_LoadOrigin)-1),(COLUMN()-COLUMN(rw_LoadOrigin)-1)+1)-INDEX(rw_Cum,(ROW()-ROW(rw_LoadOrigin)-1),(COLUMN()-COLUMN(rw_LoadOrigin)-1))),"")</f>
        <v/>
      </c>
      <c r="AC54" s="76"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5" t="str">
        <f aca="false">IFERROR(INDEX(res_Name,(ROW()-ROW(rw_LoadOrigin)-1))&amp;"","")</f>
        <v/>
      </c>
      <c r="C55" s="75" t="str">
        <f aca="false">IFERROR(IF(INDEX(res_Name,(ROW()-ROW(rw_LoadOrigin)-1))="","",INDEX(res_MaxUnits,(ROW()-ROW(rw_LoadOrigin)-1))),"")</f>
        <v/>
      </c>
      <c r="D55" s="76" t="str">
        <f aca="false">IFERROR(IF(INDEX(res_Name,(ROW()-ROW(rw_LoadOrigin)-1))="","",INDEX(rw_Cum,(ROW()-ROW(rw_LoadOrigin)-1),(COLUMN()-COLUMN(rw_LoadOrigin)-1)+1)-INDEX(rw_Cum,(ROW()-ROW(rw_LoadOrigin)-1),(COLUMN()-COLUMN(rw_LoadOrigin)-1))),"")</f>
        <v/>
      </c>
      <c r="E55" s="76" t="str">
        <f aca="false">IFERROR(IF(INDEX(res_Name,(ROW()-ROW(rw_LoadOrigin)-1))="","",INDEX(rw_Cum,(ROW()-ROW(rw_LoadOrigin)-1),(COLUMN()-COLUMN(rw_LoadOrigin)-1)+1)-INDEX(rw_Cum,(ROW()-ROW(rw_LoadOrigin)-1),(COLUMN()-COLUMN(rw_LoadOrigin)-1))),"")</f>
        <v/>
      </c>
      <c r="F55" s="76" t="str">
        <f aca="false">IFERROR(IF(INDEX(res_Name,(ROW()-ROW(rw_LoadOrigin)-1))="","",INDEX(rw_Cum,(ROW()-ROW(rw_LoadOrigin)-1),(COLUMN()-COLUMN(rw_LoadOrigin)-1)+1)-INDEX(rw_Cum,(ROW()-ROW(rw_LoadOrigin)-1),(COLUMN()-COLUMN(rw_LoadOrigin)-1))),"")</f>
        <v/>
      </c>
      <c r="G55" s="76" t="str">
        <f aca="false">IFERROR(IF(INDEX(res_Name,(ROW()-ROW(rw_LoadOrigin)-1))="","",INDEX(rw_Cum,(ROW()-ROW(rw_LoadOrigin)-1),(COLUMN()-COLUMN(rw_LoadOrigin)-1)+1)-INDEX(rw_Cum,(ROW()-ROW(rw_LoadOrigin)-1),(COLUMN()-COLUMN(rw_LoadOrigin)-1))),"")</f>
        <v/>
      </c>
      <c r="H55" s="76" t="str">
        <f aca="false">IFERROR(IF(INDEX(res_Name,(ROW()-ROW(rw_LoadOrigin)-1))="","",INDEX(rw_Cum,(ROW()-ROW(rw_LoadOrigin)-1),(COLUMN()-COLUMN(rw_LoadOrigin)-1)+1)-INDEX(rw_Cum,(ROW()-ROW(rw_LoadOrigin)-1),(COLUMN()-COLUMN(rw_LoadOrigin)-1))),"")</f>
        <v/>
      </c>
      <c r="I55" s="76" t="str">
        <f aca="false">IFERROR(IF(INDEX(res_Name,(ROW()-ROW(rw_LoadOrigin)-1))="","",INDEX(rw_Cum,(ROW()-ROW(rw_LoadOrigin)-1),(COLUMN()-COLUMN(rw_LoadOrigin)-1)+1)-INDEX(rw_Cum,(ROW()-ROW(rw_LoadOrigin)-1),(COLUMN()-COLUMN(rw_LoadOrigin)-1))),"")</f>
        <v/>
      </c>
      <c r="J55" s="76" t="str">
        <f aca="false">IFERROR(IF(INDEX(res_Name,(ROW()-ROW(rw_LoadOrigin)-1))="","",INDEX(rw_Cum,(ROW()-ROW(rw_LoadOrigin)-1),(COLUMN()-COLUMN(rw_LoadOrigin)-1)+1)-INDEX(rw_Cum,(ROW()-ROW(rw_LoadOrigin)-1),(COLUMN()-COLUMN(rw_LoadOrigin)-1))),"")</f>
        <v/>
      </c>
      <c r="K55" s="76" t="str">
        <f aca="false">IFERROR(IF(INDEX(res_Name,(ROW()-ROW(rw_LoadOrigin)-1))="","",INDEX(rw_Cum,(ROW()-ROW(rw_LoadOrigin)-1),(COLUMN()-COLUMN(rw_LoadOrigin)-1)+1)-INDEX(rw_Cum,(ROW()-ROW(rw_LoadOrigin)-1),(COLUMN()-COLUMN(rw_LoadOrigin)-1))),"")</f>
        <v/>
      </c>
      <c r="L55" s="76" t="str">
        <f aca="false">IFERROR(IF(INDEX(res_Name,(ROW()-ROW(rw_LoadOrigin)-1))="","",INDEX(rw_Cum,(ROW()-ROW(rw_LoadOrigin)-1),(COLUMN()-COLUMN(rw_LoadOrigin)-1)+1)-INDEX(rw_Cum,(ROW()-ROW(rw_LoadOrigin)-1),(COLUMN()-COLUMN(rw_LoadOrigin)-1))),"")</f>
        <v/>
      </c>
      <c r="M55" s="76" t="str">
        <f aca="false">IFERROR(IF(INDEX(res_Name,(ROW()-ROW(rw_LoadOrigin)-1))="","",INDEX(rw_Cum,(ROW()-ROW(rw_LoadOrigin)-1),(COLUMN()-COLUMN(rw_LoadOrigin)-1)+1)-INDEX(rw_Cum,(ROW()-ROW(rw_LoadOrigin)-1),(COLUMN()-COLUMN(rw_LoadOrigin)-1))),"")</f>
        <v/>
      </c>
      <c r="N55" s="76" t="str">
        <f aca="false">IFERROR(IF(INDEX(res_Name,(ROW()-ROW(rw_LoadOrigin)-1))="","",INDEX(rw_Cum,(ROW()-ROW(rw_LoadOrigin)-1),(COLUMN()-COLUMN(rw_LoadOrigin)-1)+1)-INDEX(rw_Cum,(ROW()-ROW(rw_LoadOrigin)-1),(COLUMN()-COLUMN(rw_LoadOrigin)-1))),"")</f>
        <v/>
      </c>
      <c r="O55" s="76" t="str">
        <f aca="false">IFERROR(IF(INDEX(res_Name,(ROW()-ROW(rw_LoadOrigin)-1))="","",INDEX(rw_Cum,(ROW()-ROW(rw_LoadOrigin)-1),(COLUMN()-COLUMN(rw_LoadOrigin)-1)+1)-INDEX(rw_Cum,(ROW()-ROW(rw_LoadOrigin)-1),(COLUMN()-COLUMN(rw_LoadOrigin)-1))),"")</f>
        <v/>
      </c>
      <c r="P55" s="76" t="str">
        <f aca="false">IFERROR(IF(INDEX(res_Name,(ROW()-ROW(rw_LoadOrigin)-1))="","",INDEX(rw_Cum,(ROW()-ROW(rw_LoadOrigin)-1),(COLUMN()-COLUMN(rw_LoadOrigin)-1)+1)-INDEX(rw_Cum,(ROW()-ROW(rw_LoadOrigin)-1),(COLUMN()-COLUMN(rw_LoadOrigin)-1))),"")</f>
        <v/>
      </c>
      <c r="Q55" s="76" t="str">
        <f aca="false">IFERROR(IF(INDEX(res_Name,(ROW()-ROW(rw_LoadOrigin)-1))="","",INDEX(rw_Cum,(ROW()-ROW(rw_LoadOrigin)-1),(COLUMN()-COLUMN(rw_LoadOrigin)-1)+1)-INDEX(rw_Cum,(ROW()-ROW(rw_LoadOrigin)-1),(COLUMN()-COLUMN(rw_LoadOrigin)-1))),"")</f>
        <v/>
      </c>
      <c r="R55" s="76" t="str">
        <f aca="false">IFERROR(IF(INDEX(res_Name,(ROW()-ROW(rw_LoadOrigin)-1))="","",INDEX(rw_Cum,(ROW()-ROW(rw_LoadOrigin)-1),(COLUMN()-COLUMN(rw_LoadOrigin)-1)+1)-INDEX(rw_Cum,(ROW()-ROW(rw_LoadOrigin)-1),(COLUMN()-COLUMN(rw_LoadOrigin)-1))),"")</f>
        <v/>
      </c>
      <c r="S55" s="76" t="str">
        <f aca="false">IFERROR(IF(INDEX(res_Name,(ROW()-ROW(rw_LoadOrigin)-1))="","",INDEX(rw_Cum,(ROW()-ROW(rw_LoadOrigin)-1),(COLUMN()-COLUMN(rw_LoadOrigin)-1)+1)-INDEX(rw_Cum,(ROW()-ROW(rw_LoadOrigin)-1),(COLUMN()-COLUMN(rw_LoadOrigin)-1))),"")</f>
        <v/>
      </c>
      <c r="T55" s="76" t="str">
        <f aca="false">IFERROR(IF(INDEX(res_Name,(ROW()-ROW(rw_LoadOrigin)-1))="","",INDEX(rw_Cum,(ROW()-ROW(rw_LoadOrigin)-1),(COLUMN()-COLUMN(rw_LoadOrigin)-1)+1)-INDEX(rw_Cum,(ROW()-ROW(rw_LoadOrigin)-1),(COLUMN()-COLUMN(rw_LoadOrigin)-1))),"")</f>
        <v/>
      </c>
      <c r="U55" s="76" t="str">
        <f aca="false">IFERROR(IF(INDEX(res_Name,(ROW()-ROW(rw_LoadOrigin)-1))="","",INDEX(rw_Cum,(ROW()-ROW(rw_LoadOrigin)-1),(COLUMN()-COLUMN(rw_LoadOrigin)-1)+1)-INDEX(rw_Cum,(ROW()-ROW(rw_LoadOrigin)-1),(COLUMN()-COLUMN(rw_LoadOrigin)-1))),"")</f>
        <v/>
      </c>
      <c r="V55" s="76" t="str">
        <f aca="false">IFERROR(IF(INDEX(res_Name,(ROW()-ROW(rw_LoadOrigin)-1))="","",INDEX(rw_Cum,(ROW()-ROW(rw_LoadOrigin)-1),(COLUMN()-COLUMN(rw_LoadOrigin)-1)+1)-INDEX(rw_Cum,(ROW()-ROW(rw_LoadOrigin)-1),(COLUMN()-COLUMN(rw_LoadOrigin)-1))),"")</f>
        <v/>
      </c>
      <c r="W55" s="76" t="str">
        <f aca="false">IFERROR(IF(INDEX(res_Name,(ROW()-ROW(rw_LoadOrigin)-1))="","",INDEX(rw_Cum,(ROW()-ROW(rw_LoadOrigin)-1),(COLUMN()-COLUMN(rw_LoadOrigin)-1)+1)-INDEX(rw_Cum,(ROW()-ROW(rw_LoadOrigin)-1),(COLUMN()-COLUMN(rw_LoadOrigin)-1))),"")</f>
        <v/>
      </c>
      <c r="X55" s="76" t="str">
        <f aca="false">IFERROR(IF(INDEX(res_Name,(ROW()-ROW(rw_LoadOrigin)-1))="","",INDEX(rw_Cum,(ROW()-ROW(rw_LoadOrigin)-1),(COLUMN()-COLUMN(rw_LoadOrigin)-1)+1)-INDEX(rw_Cum,(ROW()-ROW(rw_LoadOrigin)-1),(COLUMN()-COLUMN(rw_LoadOrigin)-1))),"")</f>
        <v/>
      </c>
      <c r="Y55" s="76" t="str">
        <f aca="false">IFERROR(IF(INDEX(res_Name,(ROW()-ROW(rw_LoadOrigin)-1))="","",INDEX(rw_Cum,(ROW()-ROW(rw_LoadOrigin)-1),(COLUMN()-COLUMN(rw_LoadOrigin)-1)+1)-INDEX(rw_Cum,(ROW()-ROW(rw_LoadOrigin)-1),(COLUMN()-COLUMN(rw_LoadOrigin)-1))),"")</f>
        <v/>
      </c>
      <c r="Z55" s="76" t="str">
        <f aca="false">IFERROR(IF(INDEX(res_Name,(ROW()-ROW(rw_LoadOrigin)-1))="","",INDEX(rw_Cum,(ROW()-ROW(rw_LoadOrigin)-1),(COLUMN()-COLUMN(rw_LoadOrigin)-1)+1)-INDEX(rw_Cum,(ROW()-ROW(rw_LoadOrigin)-1),(COLUMN()-COLUMN(rw_LoadOrigin)-1))),"")</f>
        <v/>
      </c>
      <c r="AA55" s="76" t="str">
        <f aca="false">IFERROR(IF(INDEX(res_Name,(ROW()-ROW(rw_LoadOrigin)-1))="","",INDEX(rw_Cum,(ROW()-ROW(rw_LoadOrigin)-1),(COLUMN()-COLUMN(rw_LoadOrigin)-1)+1)-INDEX(rw_Cum,(ROW()-ROW(rw_LoadOrigin)-1),(COLUMN()-COLUMN(rw_LoadOrigin)-1))),"")</f>
        <v/>
      </c>
      <c r="AB55" s="76" t="str">
        <f aca="false">IFERROR(IF(INDEX(res_Name,(ROW()-ROW(rw_LoadOrigin)-1))="","",INDEX(rw_Cum,(ROW()-ROW(rw_LoadOrigin)-1),(COLUMN()-COLUMN(rw_LoadOrigin)-1)+1)-INDEX(rw_Cum,(ROW()-ROW(rw_LoadOrigin)-1),(COLUMN()-COLUMN(rw_LoadOrigin)-1))),"")</f>
        <v/>
      </c>
      <c r="AC55" s="76"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5" t="str">
        <f aca="false">IFERROR(INDEX(res_Name,(ROW()-ROW(rw_LoadOrigin)-1))&amp;"","")</f>
        <v/>
      </c>
      <c r="C56" s="75" t="str">
        <f aca="false">IFERROR(IF(INDEX(res_Name,(ROW()-ROW(rw_LoadOrigin)-1))="","",INDEX(res_MaxUnits,(ROW()-ROW(rw_LoadOrigin)-1))),"")</f>
        <v/>
      </c>
      <c r="D56" s="76" t="str">
        <f aca="false">IFERROR(IF(INDEX(res_Name,(ROW()-ROW(rw_LoadOrigin)-1))="","",INDEX(rw_Cum,(ROW()-ROW(rw_LoadOrigin)-1),(COLUMN()-COLUMN(rw_LoadOrigin)-1)+1)-INDEX(rw_Cum,(ROW()-ROW(rw_LoadOrigin)-1),(COLUMN()-COLUMN(rw_LoadOrigin)-1))),"")</f>
        <v/>
      </c>
      <c r="E56" s="76" t="str">
        <f aca="false">IFERROR(IF(INDEX(res_Name,(ROW()-ROW(rw_LoadOrigin)-1))="","",INDEX(rw_Cum,(ROW()-ROW(rw_LoadOrigin)-1),(COLUMN()-COLUMN(rw_LoadOrigin)-1)+1)-INDEX(rw_Cum,(ROW()-ROW(rw_LoadOrigin)-1),(COLUMN()-COLUMN(rw_LoadOrigin)-1))),"")</f>
        <v/>
      </c>
      <c r="F56" s="76" t="str">
        <f aca="false">IFERROR(IF(INDEX(res_Name,(ROW()-ROW(rw_LoadOrigin)-1))="","",INDEX(rw_Cum,(ROW()-ROW(rw_LoadOrigin)-1),(COLUMN()-COLUMN(rw_LoadOrigin)-1)+1)-INDEX(rw_Cum,(ROW()-ROW(rw_LoadOrigin)-1),(COLUMN()-COLUMN(rw_LoadOrigin)-1))),"")</f>
        <v/>
      </c>
      <c r="G56" s="76" t="str">
        <f aca="false">IFERROR(IF(INDEX(res_Name,(ROW()-ROW(rw_LoadOrigin)-1))="","",INDEX(rw_Cum,(ROW()-ROW(rw_LoadOrigin)-1),(COLUMN()-COLUMN(rw_LoadOrigin)-1)+1)-INDEX(rw_Cum,(ROW()-ROW(rw_LoadOrigin)-1),(COLUMN()-COLUMN(rw_LoadOrigin)-1))),"")</f>
        <v/>
      </c>
      <c r="H56" s="76" t="str">
        <f aca="false">IFERROR(IF(INDEX(res_Name,(ROW()-ROW(rw_LoadOrigin)-1))="","",INDEX(rw_Cum,(ROW()-ROW(rw_LoadOrigin)-1),(COLUMN()-COLUMN(rw_LoadOrigin)-1)+1)-INDEX(rw_Cum,(ROW()-ROW(rw_LoadOrigin)-1),(COLUMN()-COLUMN(rw_LoadOrigin)-1))),"")</f>
        <v/>
      </c>
      <c r="I56" s="76" t="str">
        <f aca="false">IFERROR(IF(INDEX(res_Name,(ROW()-ROW(rw_LoadOrigin)-1))="","",INDEX(rw_Cum,(ROW()-ROW(rw_LoadOrigin)-1),(COLUMN()-COLUMN(rw_LoadOrigin)-1)+1)-INDEX(rw_Cum,(ROW()-ROW(rw_LoadOrigin)-1),(COLUMN()-COLUMN(rw_LoadOrigin)-1))),"")</f>
        <v/>
      </c>
      <c r="J56" s="76" t="str">
        <f aca="false">IFERROR(IF(INDEX(res_Name,(ROW()-ROW(rw_LoadOrigin)-1))="","",INDEX(rw_Cum,(ROW()-ROW(rw_LoadOrigin)-1),(COLUMN()-COLUMN(rw_LoadOrigin)-1)+1)-INDEX(rw_Cum,(ROW()-ROW(rw_LoadOrigin)-1),(COLUMN()-COLUMN(rw_LoadOrigin)-1))),"")</f>
        <v/>
      </c>
      <c r="K56" s="76" t="str">
        <f aca="false">IFERROR(IF(INDEX(res_Name,(ROW()-ROW(rw_LoadOrigin)-1))="","",INDEX(rw_Cum,(ROW()-ROW(rw_LoadOrigin)-1),(COLUMN()-COLUMN(rw_LoadOrigin)-1)+1)-INDEX(rw_Cum,(ROW()-ROW(rw_LoadOrigin)-1),(COLUMN()-COLUMN(rw_LoadOrigin)-1))),"")</f>
        <v/>
      </c>
      <c r="L56" s="76" t="str">
        <f aca="false">IFERROR(IF(INDEX(res_Name,(ROW()-ROW(rw_LoadOrigin)-1))="","",INDEX(rw_Cum,(ROW()-ROW(rw_LoadOrigin)-1),(COLUMN()-COLUMN(rw_LoadOrigin)-1)+1)-INDEX(rw_Cum,(ROW()-ROW(rw_LoadOrigin)-1),(COLUMN()-COLUMN(rw_LoadOrigin)-1))),"")</f>
        <v/>
      </c>
      <c r="M56" s="76" t="str">
        <f aca="false">IFERROR(IF(INDEX(res_Name,(ROW()-ROW(rw_LoadOrigin)-1))="","",INDEX(rw_Cum,(ROW()-ROW(rw_LoadOrigin)-1),(COLUMN()-COLUMN(rw_LoadOrigin)-1)+1)-INDEX(rw_Cum,(ROW()-ROW(rw_LoadOrigin)-1),(COLUMN()-COLUMN(rw_LoadOrigin)-1))),"")</f>
        <v/>
      </c>
      <c r="N56" s="76" t="str">
        <f aca="false">IFERROR(IF(INDEX(res_Name,(ROW()-ROW(rw_LoadOrigin)-1))="","",INDEX(rw_Cum,(ROW()-ROW(rw_LoadOrigin)-1),(COLUMN()-COLUMN(rw_LoadOrigin)-1)+1)-INDEX(rw_Cum,(ROW()-ROW(rw_LoadOrigin)-1),(COLUMN()-COLUMN(rw_LoadOrigin)-1))),"")</f>
        <v/>
      </c>
      <c r="O56" s="76" t="str">
        <f aca="false">IFERROR(IF(INDEX(res_Name,(ROW()-ROW(rw_LoadOrigin)-1))="","",INDEX(rw_Cum,(ROW()-ROW(rw_LoadOrigin)-1),(COLUMN()-COLUMN(rw_LoadOrigin)-1)+1)-INDEX(rw_Cum,(ROW()-ROW(rw_LoadOrigin)-1),(COLUMN()-COLUMN(rw_LoadOrigin)-1))),"")</f>
        <v/>
      </c>
      <c r="P56" s="76" t="str">
        <f aca="false">IFERROR(IF(INDEX(res_Name,(ROW()-ROW(rw_LoadOrigin)-1))="","",INDEX(rw_Cum,(ROW()-ROW(rw_LoadOrigin)-1),(COLUMN()-COLUMN(rw_LoadOrigin)-1)+1)-INDEX(rw_Cum,(ROW()-ROW(rw_LoadOrigin)-1),(COLUMN()-COLUMN(rw_LoadOrigin)-1))),"")</f>
        <v/>
      </c>
      <c r="Q56" s="76" t="str">
        <f aca="false">IFERROR(IF(INDEX(res_Name,(ROW()-ROW(rw_LoadOrigin)-1))="","",INDEX(rw_Cum,(ROW()-ROW(rw_LoadOrigin)-1),(COLUMN()-COLUMN(rw_LoadOrigin)-1)+1)-INDEX(rw_Cum,(ROW()-ROW(rw_LoadOrigin)-1),(COLUMN()-COLUMN(rw_LoadOrigin)-1))),"")</f>
        <v/>
      </c>
      <c r="R56" s="76" t="str">
        <f aca="false">IFERROR(IF(INDEX(res_Name,(ROW()-ROW(rw_LoadOrigin)-1))="","",INDEX(rw_Cum,(ROW()-ROW(rw_LoadOrigin)-1),(COLUMN()-COLUMN(rw_LoadOrigin)-1)+1)-INDEX(rw_Cum,(ROW()-ROW(rw_LoadOrigin)-1),(COLUMN()-COLUMN(rw_LoadOrigin)-1))),"")</f>
        <v/>
      </c>
      <c r="S56" s="76" t="str">
        <f aca="false">IFERROR(IF(INDEX(res_Name,(ROW()-ROW(rw_LoadOrigin)-1))="","",INDEX(rw_Cum,(ROW()-ROW(rw_LoadOrigin)-1),(COLUMN()-COLUMN(rw_LoadOrigin)-1)+1)-INDEX(rw_Cum,(ROW()-ROW(rw_LoadOrigin)-1),(COLUMN()-COLUMN(rw_LoadOrigin)-1))),"")</f>
        <v/>
      </c>
      <c r="T56" s="76" t="str">
        <f aca="false">IFERROR(IF(INDEX(res_Name,(ROW()-ROW(rw_LoadOrigin)-1))="","",INDEX(rw_Cum,(ROW()-ROW(rw_LoadOrigin)-1),(COLUMN()-COLUMN(rw_LoadOrigin)-1)+1)-INDEX(rw_Cum,(ROW()-ROW(rw_LoadOrigin)-1),(COLUMN()-COLUMN(rw_LoadOrigin)-1))),"")</f>
        <v/>
      </c>
      <c r="U56" s="76" t="str">
        <f aca="false">IFERROR(IF(INDEX(res_Name,(ROW()-ROW(rw_LoadOrigin)-1))="","",INDEX(rw_Cum,(ROW()-ROW(rw_LoadOrigin)-1),(COLUMN()-COLUMN(rw_LoadOrigin)-1)+1)-INDEX(rw_Cum,(ROW()-ROW(rw_LoadOrigin)-1),(COLUMN()-COLUMN(rw_LoadOrigin)-1))),"")</f>
        <v/>
      </c>
      <c r="V56" s="76" t="str">
        <f aca="false">IFERROR(IF(INDEX(res_Name,(ROW()-ROW(rw_LoadOrigin)-1))="","",INDEX(rw_Cum,(ROW()-ROW(rw_LoadOrigin)-1),(COLUMN()-COLUMN(rw_LoadOrigin)-1)+1)-INDEX(rw_Cum,(ROW()-ROW(rw_LoadOrigin)-1),(COLUMN()-COLUMN(rw_LoadOrigin)-1))),"")</f>
        <v/>
      </c>
      <c r="W56" s="76" t="str">
        <f aca="false">IFERROR(IF(INDEX(res_Name,(ROW()-ROW(rw_LoadOrigin)-1))="","",INDEX(rw_Cum,(ROW()-ROW(rw_LoadOrigin)-1),(COLUMN()-COLUMN(rw_LoadOrigin)-1)+1)-INDEX(rw_Cum,(ROW()-ROW(rw_LoadOrigin)-1),(COLUMN()-COLUMN(rw_LoadOrigin)-1))),"")</f>
        <v/>
      </c>
      <c r="X56" s="76" t="str">
        <f aca="false">IFERROR(IF(INDEX(res_Name,(ROW()-ROW(rw_LoadOrigin)-1))="","",INDEX(rw_Cum,(ROW()-ROW(rw_LoadOrigin)-1),(COLUMN()-COLUMN(rw_LoadOrigin)-1)+1)-INDEX(rw_Cum,(ROW()-ROW(rw_LoadOrigin)-1),(COLUMN()-COLUMN(rw_LoadOrigin)-1))),"")</f>
        <v/>
      </c>
      <c r="Y56" s="76" t="str">
        <f aca="false">IFERROR(IF(INDEX(res_Name,(ROW()-ROW(rw_LoadOrigin)-1))="","",INDEX(rw_Cum,(ROW()-ROW(rw_LoadOrigin)-1),(COLUMN()-COLUMN(rw_LoadOrigin)-1)+1)-INDEX(rw_Cum,(ROW()-ROW(rw_LoadOrigin)-1),(COLUMN()-COLUMN(rw_LoadOrigin)-1))),"")</f>
        <v/>
      </c>
      <c r="Z56" s="76" t="str">
        <f aca="false">IFERROR(IF(INDEX(res_Name,(ROW()-ROW(rw_LoadOrigin)-1))="","",INDEX(rw_Cum,(ROW()-ROW(rw_LoadOrigin)-1),(COLUMN()-COLUMN(rw_LoadOrigin)-1)+1)-INDEX(rw_Cum,(ROW()-ROW(rw_LoadOrigin)-1),(COLUMN()-COLUMN(rw_LoadOrigin)-1))),"")</f>
        <v/>
      </c>
      <c r="AA56" s="76" t="str">
        <f aca="false">IFERROR(IF(INDEX(res_Name,(ROW()-ROW(rw_LoadOrigin)-1))="","",INDEX(rw_Cum,(ROW()-ROW(rw_LoadOrigin)-1),(COLUMN()-COLUMN(rw_LoadOrigin)-1)+1)-INDEX(rw_Cum,(ROW()-ROW(rw_LoadOrigin)-1),(COLUMN()-COLUMN(rw_LoadOrigin)-1))),"")</f>
        <v/>
      </c>
      <c r="AB56" s="76" t="str">
        <f aca="false">IFERROR(IF(INDEX(res_Name,(ROW()-ROW(rw_LoadOrigin)-1))="","",INDEX(rw_Cum,(ROW()-ROW(rw_LoadOrigin)-1),(COLUMN()-COLUMN(rw_LoadOrigin)-1)+1)-INDEX(rw_Cum,(ROW()-ROW(rw_LoadOrigin)-1),(COLUMN()-COLUMN(rw_LoadOrigin)-1))),"")</f>
        <v/>
      </c>
      <c r="AC56" s="76"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5" t="str">
        <f aca="false">IFERROR(INDEX(res_Name,(ROW()-ROW(rw_LoadOrigin)-1))&amp;"","")</f>
        <v/>
      </c>
      <c r="C57" s="75" t="str">
        <f aca="false">IFERROR(IF(INDEX(res_Name,(ROW()-ROW(rw_LoadOrigin)-1))="","",INDEX(res_MaxUnits,(ROW()-ROW(rw_LoadOrigin)-1))),"")</f>
        <v/>
      </c>
      <c r="D57" s="76" t="str">
        <f aca="false">IFERROR(IF(INDEX(res_Name,(ROW()-ROW(rw_LoadOrigin)-1))="","",INDEX(rw_Cum,(ROW()-ROW(rw_LoadOrigin)-1),(COLUMN()-COLUMN(rw_LoadOrigin)-1)+1)-INDEX(rw_Cum,(ROW()-ROW(rw_LoadOrigin)-1),(COLUMN()-COLUMN(rw_LoadOrigin)-1))),"")</f>
        <v/>
      </c>
      <c r="E57" s="76" t="str">
        <f aca="false">IFERROR(IF(INDEX(res_Name,(ROW()-ROW(rw_LoadOrigin)-1))="","",INDEX(rw_Cum,(ROW()-ROW(rw_LoadOrigin)-1),(COLUMN()-COLUMN(rw_LoadOrigin)-1)+1)-INDEX(rw_Cum,(ROW()-ROW(rw_LoadOrigin)-1),(COLUMN()-COLUMN(rw_LoadOrigin)-1))),"")</f>
        <v/>
      </c>
      <c r="F57" s="76" t="str">
        <f aca="false">IFERROR(IF(INDEX(res_Name,(ROW()-ROW(rw_LoadOrigin)-1))="","",INDEX(rw_Cum,(ROW()-ROW(rw_LoadOrigin)-1),(COLUMN()-COLUMN(rw_LoadOrigin)-1)+1)-INDEX(rw_Cum,(ROW()-ROW(rw_LoadOrigin)-1),(COLUMN()-COLUMN(rw_LoadOrigin)-1))),"")</f>
        <v/>
      </c>
      <c r="G57" s="76" t="str">
        <f aca="false">IFERROR(IF(INDEX(res_Name,(ROW()-ROW(rw_LoadOrigin)-1))="","",INDEX(rw_Cum,(ROW()-ROW(rw_LoadOrigin)-1),(COLUMN()-COLUMN(rw_LoadOrigin)-1)+1)-INDEX(rw_Cum,(ROW()-ROW(rw_LoadOrigin)-1),(COLUMN()-COLUMN(rw_LoadOrigin)-1))),"")</f>
        <v/>
      </c>
      <c r="H57" s="76" t="str">
        <f aca="false">IFERROR(IF(INDEX(res_Name,(ROW()-ROW(rw_LoadOrigin)-1))="","",INDEX(rw_Cum,(ROW()-ROW(rw_LoadOrigin)-1),(COLUMN()-COLUMN(rw_LoadOrigin)-1)+1)-INDEX(rw_Cum,(ROW()-ROW(rw_LoadOrigin)-1),(COLUMN()-COLUMN(rw_LoadOrigin)-1))),"")</f>
        <v/>
      </c>
      <c r="I57" s="76" t="str">
        <f aca="false">IFERROR(IF(INDEX(res_Name,(ROW()-ROW(rw_LoadOrigin)-1))="","",INDEX(rw_Cum,(ROW()-ROW(rw_LoadOrigin)-1),(COLUMN()-COLUMN(rw_LoadOrigin)-1)+1)-INDEX(rw_Cum,(ROW()-ROW(rw_LoadOrigin)-1),(COLUMN()-COLUMN(rw_LoadOrigin)-1))),"")</f>
        <v/>
      </c>
      <c r="J57" s="76" t="str">
        <f aca="false">IFERROR(IF(INDEX(res_Name,(ROW()-ROW(rw_LoadOrigin)-1))="","",INDEX(rw_Cum,(ROW()-ROW(rw_LoadOrigin)-1),(COLUMN()-COLUMN(rw_LoadOrigin)-1)+1)-INDEX(rw_Cum,(ROW()-ROW(rw_LoadOrigin)-1),(COLUMN()-COLUMN(rw_LoadOrigin)-1))),"")</f>
        <v/>
      </c>
      <c r="K57" s="76" t="str">
        <f aca="false">IFERROR(IF(INDEX(res_Name,(ROW()-ROW(rw_LoadOrigin)-1))="","",INDEX(rw_Cum,(ROW()-ROW(rw_LoadOrigin)-1),(COLUMN()-COLUMN(rw_LoadOrigin)-1)+1)-INDEX(rw_Cum,(ROW()-ROW(rw_LoadOrigin)-1),(COLUMN()-COLUMN(rw_LoadOrigin)-1))),"")</f>
        <v/>
      </c>
      <c r="L57" s="76" t="str">
        <f aca="false">IFERROR(IF(INDEX(res_Name,(ROW()-ROW(rw_LoadOrigin)-1))="","",INDEX(rw_Cum,(ROW()-ROW(rw_LoadOrigin)-1),(COLUMN()-COLUMN(rw_LoadOrigin)-1)+1)-INDEX(rw_Cum,(ROW()-ROW(rw_LoadOrigin)-1),(COLUMN()-COLUMN(rw_LoadOrigin)-1))),"")</f>
        <v/>
      </c>
      <c r="M57" s="76" t="str">
        <f aca="false">IFERROR(IF(INDEX(res_Name,(ROW()-ROW(rw_LoadOrigin)-1))="","",INDEX(rw_Cum,(ROW()-ROW(rw_LoadOrigin)-1),(COLUMN()-COLUMN(rw_LoadOrigin)-1)+1)-INDEX(rw_Cum,(ROW()-ROW(rw_LoadOrigin)-1),(COLUMN()-COLUMN(rw_LoadOrigin)-1))),"")</f>
        <v/>
      </c>
      <c r="N57" s="76" t="str">
        <f aca="false">IFERROR(IF(INDEX(res_Name,(ROW()-ROW(rw_LoadOrigin)-1))="","",INDEX(rw_Cum,(ROW()-ROW(rw_LoadOrigin)-1),(COLUMN()-COLUMN(rw_LoadOrigin)-1)+1)-INDEX(rw_Cum,(ROW()-ROW(rw_LoadOrigin)-1),(COLUMN()-COLUMN(rw_LoadOrigin)-1))),"")</f>
        <v/>
      </c>
      <c r="O57" s="76" t="str">
        <f aca="false">IFERROR(IF(INDEX(res_Name,(ROW()-ROW(rw_LoadOrigin)-1))="","",INDEX(rw_Cum,(ROW()-ROW(rw_LoadOrigin)-1),(COLUMN()-COLUMN(rw_LoadOrigin)-1)+1)-INDEX(rw_Cum,(ROW()-ROW(rw_LoadOrigin)-1),(COLUMN()-COLUMN(rw_LoadOrigin)-1))),"")</f>
        <v/>
      </c>
      <c r="P57" s="76" t="str">
        <f aca="false">IFERROR(IF(INDEX(res_Name,(ROW()-ROW(rw_LoadOrigin)-1))="","",INDEX(rw_Cum,(ROW()-ROW(rw_LoadOrigin)-1),(COLUMN()-COLUMN(rw_LoadOrigin)-1)+1)-INDEX(rw_Cum,(ROW()-ROW(rw_LoadOrigin)-1),(COLUMN()-COLUMN(rw_LoadOrigin)-1))),"")</f>
        <v/>
      </c>
      <c r="Q57" s="76" t="str">
        <f aca="false">IFERROR(IF(INDEX(res_Name,(ROW()-ROW(rw_LoadOrigin)-1))="","",INDEX(rw_Cum,(ROW()-ROW(rw_LoadOrigin)-1),(COLUMN()-COLUMN(rw_LoadOrigin)-1)+1)-INDEX(rw_Cum,(ROW()-ROW(rw_LoadOrigin)-1),(COLUMN()-COLUMN(rw_LoadOrigin)-1))),"")</f>
        <v/>
      </c>
      <c r="R57" s="76" t="str">
        <f aca="false">IFERROR(IF(INDEX(res_Name,(ROW()-ROW(rw_LoadOrigin)-1))="","",INDEX(rw_Cum,(ROW()-ROW(rw_LoadOrigin)-1),(COLUMN()-COLUMN(rw_LoadOrigin)-1)+1)-INDEX(rw_Cum,(ROW()-ROW(rw_LoadOrigin)-1),(COLUMN()-COLUMN(rw_LoadOrigin)-1))),"")</f>
        <v/>
      </c>
      <c r="S57" s="76" t="str">
        <f aca="false">IFERROR(IF(INDEX(res_Name,(ROW()-ROW(rw_LoadOrigin)-1))="","",INDEX(rw_Cum,(ROW()-ROW(rw_LoadOrigin)-1),(COLUMN()-COLUMN(rw_LoadOrigin)-1)+1)-INDEX(rw_Cum,(ROW()-ROW(rw_LoadOrigin)-1),(COLUMN()-COLUMN(rw_LoadOrigin)-1))),"")</f>
        <v/>
      </c>
      <c r="T57" s="76" t="str">
        <f aca="false">IFERROR(IF(INDEX(res_Name,(ROW()-ROW(rw_LoadOrigin)-1))="","",INDEX(rw_Cum,(ROW()-ROW(rw_LoadOrigin)-1),(COLUMN()-COLUMN(rw_LoadOrigin)-1)+1)-INDEX(rw_Cum,(ROW()-ROW(rw_LoadOrigin)-1),(COLUMN()-COLUMN(rw_LoadOrigin)-1))),"")</f>
        <v/>
      </c>
      <c r="U57" s="76" t="str">
        <f aca="false">IFERROR(IF(INDEX(res_Name,(ROW()-ROW(rw_LoadOrigin)-1))="","",INDEX(rw_Cum,(ROW()-ROW(rw_LoadOrigin)-1),(COLUMN()-COLUMN(rw_LoadOrigin)-1)+1)-INDEX(rw_Cum,(ROW()-ROW(rw_LoadOrigin)-1),(COLUMN()-COLUMN(rw_LoadOrigin)-1))),"")</f>
        <v/>
      </c>
      <c r="V57" s="76" t="str">
        <f aca="false">IFERROR(IF(INDEX(res_Name,(ROW()-ROW(rw_LoadOrigin)-1))="","",INDEX(rw_Cum,(ROW()-ROW(rw_LoadOrigin)-1),(COLUMN()-COLUMN(rw_LoadOrigin)-1)+1)-INDEX(rw_Cum,(ROW()-ROW(rw_LoadOrigin)-1),(COLUMN()-COLUMN(rw_LoadOrigin)-1))),"")</f>
        <v/>
      </c>
      <c r="W57" s="76" t="str">
        <f aca="false">IFERROR(IF(INDEX(res_Name,(ROW()-ROW(rw_LoadOrigin)-1))="","",INDEX(rw_Cum,(ROW()-ROW(rw_LoadOrigin)-1),(COLUMN()-COLUMN(rw_LoadOrigin)-1)+1)-INDEX(rw_Cum,(ROW()-ROW(rw_LoadOrigin)-1),(COLUMN()-COLUMN(rw_LoadOrigin)-1))),"")</f>
        <v/>
      </c>
      <c r="X57" s="76" t="str">
        <f aca="false">IFERROR(IF(INDEX(res_Name,(ROW()-ROW(rw_LoadOrigin)-1))="","",INDEX(rw_Cum,(ROW()-ROW(rw_LoadOrigin)-1),(COLUMN()-COLUMN(rw_LoadOrigin)-1)+1)-INDEX(rw_Cum,(ROW()-ROW(rw_LoadOrigin)-1),(COLUMN()-COLUMN(rw_LoadOrigin)-1))),"")</f>
        <v/>
      </c>
      <c r="Y57" s="76" t="str">
        <f aca="false">IFERROR(IF(INDEX(res_Name,(ROW()-ROW(rw_LoadOrigin)-1))="","",INDEX(rw_Cum,(ROW()-ROW(rw_LoadOrigin)-1),(COLUMN()-COLUMN(rw_LoadOrigin)-1)+1)-INDEX(rw_Cum,(ROW()-ROW(rw_LoadOrigin)-1),(COLUMN()-COLUMN(rw_LoadOrigin)-1))),"")</f>
        <v/>
      </c>
      <c r="Z57" s="76" t="str">
        <f aca="false">IFERROR(IF(INDEX(res_Name,(ROW()-ROW(rw_LoadOrigin)-1))="","",INDEX(rw_Cum,(ROW()-ROW(rw_LoadOrigin)-1),(COLUMN()-COLUMN(rw_LoadOrigin)-1)+1)-INDEX(rw_Cum,(ROW()-ROW(rw_LoadOrigin)-1),(COLUMN()-COLUMN(rw_LoadOrigin)-1))),"")</f>
        <v/>
      </c>
      <c r="AA57" s="76" t="str">
        <f aca="false">IFERROR(IF(INDEX(res_Name,(ROW()-ROW(rw_LoadOrigin)-1))="","",INDEX(rw_Cum,(ROW()-ROW(rw_LoadOrigin)-1),(COLUMN()-COLUMN(rw_LoadOrigin)-1)+1)-INDEX(rw_Cum,(ROW()-ROW(rw_LoadOrigin)-1),(COLUMN()-COLUMN(rw_LoadOrigin)-1))),"")</f>
        <v/>
      </c>
      <c r="AB57" s="76" t="str">
        <f aca="false">IFERROR(IF(INDEX(res_Name,(ROW()-ROW(rw_LoadOrigin)-1))="","",INDEX(rw_Cum,(ROW()-ROW(rw_LoadOrigin)-1),(COLUMN()-COLUMN(rw_LoadOrigin)-1)+1)-INDEX(rw_Cum,(ROW()-ROW(rw_LoadOrigin)-1),(COLUMN()-COLUMN(rw_LoadOrigin)-1))),"")</f>
        <v/>
      </c>
      <c r="AC57" s="76"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5" t="str">
        <f aca="false">IFERROR(INDEX(res_Name,(ROW()-ROW(rw_LoadOrigin)-1))&amp;"","")</f>
        <v/>
      </c>
      <c r="C58" s="75" t="str">
        <f aca="false">IFERROR(IF(INDEX(res_Name,(ROW()-ROW(rw_LoadOrigin)-1))="","",INDEX(res_MaxUnits,(ROW()-ROW(rw_LoadOrigin)-1))),"")</f>
        <v/>
      </c>
      <c r="D58" s="76" t="str">
        <f aca="false">IFERROR(IF(INDEX(res_Name,(ROW()-ROW(rw_LoadOrigin)-1))="","",INDEX(rw_Cum,(ROW()-ROW(rw_LoadOrigin)-1),(COLUMN()-COLUMN(rw_LoadOrigin)-1)+1)-INDEX(rw_Cum,(ROW()-ROW(rw_LoadOrigin)-1),(COLUMN()-COLUMN(rw_LoadOrigin)-1))),"")</f>
        <v/>
      </c>
      <c r="E58" s="76" t="str">
        <f aca="false">IFERROR(IF(INDEX(res_Name,(ROW()-ROW(rw_LoadOrigin)-1))="","",INDEX(rw_Cum,(ROW()-ROW(rw_LoadOrigin)-1),(COLUMN()-COLUMN(rw_LoadOrigin)-1)+1)-INDEX(rw_Cum,(ROW()-ROW(rw_LoadOrigin)-1),(COLUMN()-COLUMN(rw_LoadOrigin)-1))),"")</f>
        <v/>
      </c>
      <c r="F58" s="76" t="str">
        <f aca="false">IFERROR(IF(INDEX(res_Name,(ROW()-ROW(rw_LoadOrigin)-1))="","",INDEX(rw_Cum,(ROW()-ROW(rw_LoadOrigin)-1),(COLUMN()-COLUMN(rw_LoadOrigin)-1)+1)-INDEX(rw_Cum,(ROW()-ROW(rw_LoadOrigin)-1),(COLUMN()-COLUMN(rw_LoadOrigin)-1))),"")</f>
        <v/>
      </c>
      <c r="G58" s="76" t="str">
        <f aca="false">IFERROR(IF(INDEX(res_Name,(ROW()-ROW(rw_LoadOrigin)-1))="","",INDEX(rw_Cum,(ROW()-ROW(rw_LoadOrigin)-1),(COLUMN()-COLUMN(rw_LoadOrigin)-1)+1)-INDEX(rw_Cum,(ROW()-ROW(rw_LoadOrigin)-1),(COLUMN()-COLUMN(rw_LoadOrigin)-1))),"")</f>
        <v/>
      </c>
      <c r="H58" s="76" t="str">
        <f aca="false">IFERROR(IF(INDEX(res_Name,(ROW()-ROW(rw_LoadOrigin)-1))="","",INDEX(rw_Cum,(ROW()-ROW(rw_LoadOrigin)-1),(COLUMN()-COLUMN(rw_LoadOrigin)-1)+1)-INDEX(rw_Cum,(ROW()-ROW(rw_LoadOrigin)-1),(COLUMN()-COLUMN(rw_LoadOrigin)-1))),"")</f>
        <v/>
      </c>
      <c r="I58" s="76" t="str">
        <f aca="false">IFERROR(IF(INDEX(res_Name,(ROW()-ROW(rw_LoadOrigin)-1))="","",INDEX(rw_Cum,(ROW()-ROW(rw_LoadOrigin)-1),(COLUMN()-COLUMN(rw_LoadOrigin)-1)+1)-INDEX(rw_Cum,(ROW()-ROW(rw_LoadOrigin)-1),(COLUMN()-COLUMN(rw_LoadOrigin)-1))),"")</f>
        <v/>
      </c>
      <c r="J58" s="76" t="str">
        <f aca="false">IFERROR(IF(INDEX(res_Name,(ROW()-ROW(rw_LoadOrigin)-1))="","",INDEX(rw_Cum,(ROW()-ROW(rw_LoadOrigin)-1),(COLUMN()-COLUMN(rw_LoadOrigin)-1)+1)-INDEX(rw_Cum,(ROW()-ROW(rw_LoadOrigin)-1),(COLUMN()-COLUMN(rw_LoadOrigin)-1))),"")</f>
        <v/>
      </c>
      <c r="K58" s="76" t="str">
        <f aca="false">IFERROR(IF(INDEX(res_Name,(ROW()-ROW(rw_LoadOrigin)-1))="","",INDEX(rw_Cum,(ROW()-ROW(rw_LoadOrigin)-1),(COLUMN()-COLUMN(rw_LoadOrigin)-1)+1)-INDEX(rw_Cum,(ROW()-ROW(rw_LoadOrigin)-1),(COLUMN()-COLUMN(rw_LoadOrigin)-1))),"")</f>
        <v/>
      </c>
      <c r="L58" s="76" t="str">
        <f aca="false">IFERROR(IF(INDEX(res_Name,(ROW()-ROW(rw_LoadOrigin)-1))="","",INDEX(rw_Cum,(ROW()-ROW(rw_LoadOrigin)-1),(COLUMN()-COLUMN(rw_LoadOrigin)-1)+1)-INDEX(rw_Cum,(ROW()-ROW(rw_LoadOrigin)-1),(COLUMN()-COLUMN(rw_LoadOrigin)-1))),"")</f>
        <v/>
      </c>
      <c r="M58" s="76" t="str">
        <f aca="false">IFERROR(IF(INDEX(res_Name,(ROW()-ROW(rw_LoadOrigin)-1))="","",INDEX(rw_Cum,(ROW()-ROW(rw_LoadOrigin)-1),(COLUMN()-COLUMN(rw_LoadOrigin)-1)+1)-INDEX(rw_Cum,(ROW()-ROW(rw_LoadOrigin)-1),(COLUMN()-COLUMN(rw_LoadOrigin)-1))),"")</f>
        <v/>
      </c>
      <c r="N58" s="76" t="str">
        <f aca="false">IFERROR(IF(INDEX(res_Name,(ROW()-ROW(rw_LoadOrigin)-1))="","",INDEX(rw_Cum,(ROW()-ROW(rw_LoadOrigin)-1),(COLUMN()-COLUMN(rw_LoadOrigin)-1)+1)-INDEX(rw_Cum,(ROW()-ROW(rw_LoadOrigin)-1),(COLUMN()-COLUMN(rw_LoadOrigin)-1))),"")</f>
        <v/>
      </c>
      <c r="O58" s="76" t="str">
        <f aca="false">IFERROR(IF(INDEX(res_Name,(ROW()-ROW(rw_LoadOrigin)-1))="","",INDEX(rw_Cum,(ROW()-ROW(rw_LoadOrigin)-1),(COLUMN()-COLUMN(rw_LoadOrigin)-1)+1)-INDEX(rw_Cum,(ROW()-ROW(rw_LoadOrigin)-1),(COLUMN()-COLUMN(rw_LoadOrigin)-1))),"")</f>
        <v/>
      </c>
      <c r="P58" s="76" t="str">
        <f aca="false">IFERROR(IF(INDEX(res_Name,(ROW()-ROW(rw_LoadOrigin)-1))="","",INDEX(rw_Cum,(ROW()-ROW(rw_LoadOrigin)-1),(COLUMN()-COLUMN(rw_LoadOrigin)-1)+1)-INDEX(rw_Cum,(ROW()-ROW(rw_LoadOrigin)-1),(COLUMN()-COLUMN(rw_LoadOrigin)-1))),"")</f>
        <v/>
      </c>
      <c r="Q58" s="76" t="str">
        <f aca="false">IFERROR(IF(INDEX(res_Name,(ROW()-ROW(rw_LoadOrigin)-1))="","",INDEX(rw_Cum,(ROW()-ROW(rw_LoadOrigin)-1),(COLUMN()-COLUMN(rw_LoadOrigin)-1)+1)-INDEX(rw_Cum,(ROW()-ROW(rw_LoadOrigin)-1),(COLUMN()-COLUMN(rw_LoadOrigin)-1))),"")</f>
        <v/>
      </c>
      <c r="R58" s="76" t="str">
        <f aca="false">IFERROR(IF(INDEX(res_Name,(ROW()-ROW(rw_LoadOrigin)-1))="","",INDEX(rw_Cum,(ROW()-ROW(rw_LoadOrigin)-1),(COLUMN()-COLUMN(rw_LoadOrigin)-1)+1)-INDEX(rw_Cum,(ROW()-ROW(rw_LoadOrigin)-1),(COLUMN()-COLUMN(rw_LoadOrigin)-1))),"")</f>
        <v/>
      </c>
      <c r="S58" s="76" t="str">
        <f aca="false">IFERROR(IF(INDEX(res_Name,(ROW()-ROW(rw_LoadOrigin)-1))="","",INDEX(rw_Cum,(ROW()-ROW(rw_LoadOrigin)-1),(COLUMN()-COLUMN(rw_LoadOrigin)-1)+1)-INDEX(rw_Cum,(ROW()-ROW(rw_LoadOrigin)-1),(COLUMN()-COLUMN(rw_LoadOrigin)-1))),"")</f>
        <v/>
      </c>
      <c r="T58" s="76" t="str">
        <f aca="false">IFERROR(IF(INDEX(res_Name,(ROW()-ROW(rw_LoadOrigin)-1))="","",INDEX(rw_Cum,(ROW()-ROW(rw_LoadOrigin)-1),(COLUMN()-COLUMN(rw_LoadOrigin)-1)+1)-INDEX(rw_Cum,(ROW()-ROW(rw_LoadOrigin)-1),(COLUMN()-COLUMN(rw_LoadOrigin)-1))),"")</f>
        <v/>
      </c>
      <c r="U58" s="76" t="str">
        <f aca="false">IFERROR(IF(INDEX(res_Name,(ROW()-ROW(rw_LoadOrigin)-1))="","",INDEX(rw_Cum,(ROW()-ROW(rw_LoadOrigin)-1),(COLUMN()-COLUMN(rw_LoadOrigin)-1)+1)-INDEX(rw_Cum,(ROW()-ROW(rw_LoadOrigin)-1),(COLUMN()-COLUMN(rw_LoadOrigin)-1))),"")</f>
        <v/>
      </c>
      <c r="V58" s="76" t="str">
        <f aca="false">IFERROR(IF(INDEX(res_Name,(ROW()-ROW(rw_LoadOrigin)-1))="","",INDEX(rw_Cum,(ROW()-ROW(rw_LoadOrigin)-1),(COLUMN()-COLUMN(rw_LoadOrigin)-1)+1)-INDEX(rw_Cum,(ROW()-ROW(rw_LoadOrigin)-1),(COLUMN()-COLUMN(rw_LoadOrigin)-1))),"")</f>
        <v/>
      </c>
      <c r="W58" s="76" t="str">
        <f aca="false">IFERROR(IF(INDEX(res_Name,(ROW()-ROW(rw_LoadOrigin)-1))="","",INDEX(rw_Cum,(ROW()-ROW(rw_LoadOrigin)-1),(COLUMN()-COLUMN(rw_LoadOrigin)-1)+1)-INDEX(rw_Cum,(ROW()-ROW(rw_LoadOrigin)-1),(COLUMN()-COLUMN(rw_LoadOrigin)-1))),"")</f>
        <v/>
      </c>
      <c r="X58" s="76" t="str">
        <f aca="false">IFERROR(IF(INDEX(res_Name,(ROW()-ROW(rw_LoadOrigin)-1))="","",INDEX(rw_Cum,(ROW()-ROW(rw_LoadOrigin)-1),(COLUMN()-COLUMN(rw_LoadOrigin)-1)+1)-INDEX(rw_Cum,(ROW()-ROW(rw_LoadOrigin)-1),(COLUMN()-COLUMN(rw_LoadOrigin)-1))),"")</f>
        <v/>
      </c>
      <c r="Y58" s="76" t="str">
        <f aca="false">IFERROR(IF(INDEX(res_Name,(ROW()-ROW(rw_LoadOrigin)-1))="","",INDEX(rw_Cum,(ROW()-ROW(rw_LoadOrigin)-1),(COLUMN()-COLUMN(rw_LoadOrigin)-1)+1)-INDEX(rw_Cum,(ROW()-ROW(rw_LoadOrigin)-1),(COLUMN()-COLUMN(rw_LoadOrigin)-1))),"")</f>
        <v/>
      </c>
      <c r="Z58" s="76" t="str">
        <f aca="false">IFERROR(IF(INDEX(res_Name,(ROW()-ROW(rw_LoadOrigin)-1))="","",INDEX(rw_Cum,(ROW()-ROW(rw_LoadOrigin)-1),(COLUMN()-COLUMN(rw_LoadOrigin)-1)+1)-INDEX(rw_Cum,(ROW()-ROW(rw_LoadOrigin)-1),(COLUMN()-COLUMN(rw_LoadOrigin)-1))),"")</f>
        <v/>
      </c>
      <c r="AA58" s="76" t="str">
        <f aca="false">IFERROR(IF(INDEX(res_Name,(ROW()-ROW(rw_LoadOrigin)-1))="","",INDEX(rw_Cum,(ROW()-ROW(rw_LoadOrigin)-1),(COLUMN()-COLUMN(rw_LoadOrigin)-1)+1)-INDEX(rw_Cum,(ROW()-ROW(rw_LoadOrigin)-1),(COLUMN()-COLUMN(rw_LoadOrigin)-1))),"")</f>
        <v/>
      </c>
      <c r="AB58" s="76" t="str">
        <f aca="false">IFERROR(IF(INDEX(res_Name,(ROW()-ROW(rw_LoadOrigin)-1))="","",INDEX(rw_Cum,(ROW()-ROW(rw_LoadOrigin)-1),(COLUMN()-COLUMN(rw_LoadOrigin)-1)+1)-INDEX(rw_Cum,(ROW()-ROW(rw_LoadOrigin)-1),(COLUMN()-COLUMN(rw_LoadOrigin)-1))),"")</f>
        <v/>
      </c>
      <c r="AC58" s="76"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5" t="str">
        <f aca="false">IFERROR(INDEX(res_Name,(ROW()-ROW(rw_LoadOrigin)-1))&amp;"","")</f>
        <v/>
      </c>
      <c r="C59" s="75" t="str">
        <f aca="false">IFERROR(IF(INDEX(res_Name,(ROW()-ROW(rw_LoadOrigin)-1))="","",INDEX(res_MaxUnits,(ROW()-ROW(rw_LoadOrigin)-1))),"")</f>
        <v/>
      </c>
      <c r="D59" s="76" t="str">
        <f aca="false">IFERROR(IF(INDEX(res_Name,(ROW()-ROW(rw_LoadOrigin)-1))="","",INDEX(rw_Cum,(ROW()-ROW(rw_LoadOrigin)-1),(COLUMN()-COLUMN(rw_LoadOrigin)-1)+1)-INDEX(rw_Cum,(ROW()-ROW(rw_LoadOrigin)-1),(COLUMN()-COLUMN(rw_LoadOrigin)-1))),"")</f>
        <v/>
      </c>
      <c r="E59" s="76" t="str">
        <f aca="false">IFERROR(IF(INDEX(res_Name,(ROW()-ROW(rw_LoadOrigin)-1))="","",INDEX(rw_Cum,(ROW()-ROW(rw_LoadOrigin)-1),(COLUMN()-COLUMN(rw_LoadOrigin)-1)+1)-INDEX(rw_Cum,(ROW()-ROW(rw_LoadOrigin)-1),(COLUMN()-COLUMN(rw_LoadOrigin)-1))),"")</f>
        <v/>
      </c>
      <c r="F59" s="76" t="str">
        <f aca="false">IFERROR(IF(INDEX(res_Name,(ROW()-ROW(rw_LoadOrigin)-1))="","",INDEX(rw_Cum,(ROW()-ROW(rw_LoadOrigin)-1),(COLUMN()-COLUMN(rw_LoadOrigin)-1)+1)-INDEX(rw_Cum,(ROW()-ROW(rw_LoadOrigin)-1),(COLUMN()-COLUMN(rw_LoadOrigin)-1))),"")</f>
        <v/>
      </c>
      <c r="G59" s="76" t="str">
        <f aca="false">IFERROR(IF(INDEX(res_Name,(ROW()-ROW(rw_LoadOrigin)-1))="","",INDEX(rw_Cum,(ROW()-ROW(rw_LoadOrigin)-1),(COLUMN()-COLUMN(rw_LoadOrigin)-1)+1)-INDEX(rw_Cum,(ROW()-ROW(rw_LoadOrigin)-1),(COLUMN()-COLUMN(rw_LoadOrigin)-1))),"")</f>
        <v/>
      </c>
      <c r="H59" s="76" t="str">
        <f aca="false">IFERROR(IF(INDEX(res_Name,(ROW()-ROW(rw_LoadOrigin)-1))="","",INDEX(rw_Cum,(ROW()-ROW(rw_LoadOrigin)-1),(COLUMN()-COLUMN(rw_LoadOrigin)-1)+1)-INDEX(rw_Cum,(ROW()-ROW(rw_LoadOrigin)-1),(COLUMN()-COLUMN(rw_LoadOrigin)-1))),"")</f>
        <v/>
      </c>
      <c r="I59" s="76" t="str">
        <f aca="false">IFERROR(IF(INDEX(res_Name,(ROW()-ROW(rw_LoadOrigin)-1))="","",INDEX(rw_Cum,(ROW()-ROW(rw_LoadOrigin)-1),(COLUMN()-COLUMN(rw_LoadOrigin)-1)+1)-INDEX(rw_Cum,(ROW()-ROW(rw_LoadOrigin)-1),(COLUMN()-COLUMN(rw_LoadOrigin)-1))),"")</f>
        <v/>
      </c>
      <c r="J59" s="76" t="str">
        <f aca="false">IFERROR(IF(INDEX(res_Name,(ROW()-ROW(rw_LoadOrigin)-1))="","",INDEX(rw_Cum,(ROW()-ROW(rw_LoadOrigin)-1),(COLUMN()-COLUMN(rw_LoadOrigin)-1)+1)-INDEX(rw_Cum,(ROW()-ROW(rw_LoadOrigin)-1),(COLUMN()-COLUMN(rw_LoadOrigin)-1))),"")</f>
        <v/>
      </c>
      <c r="K59" s="76" t="str">
        <f aca="false">IFERROR(IF(INDEX(res_Name,(ROW()-ROW(rw_LoadOrigin)-1))="","",INDEX(rw_Cum,(ROW()-ROW(rw_LoadOrigin)-1),(COLUMN()-COLUMN(rw_LoadOrigin)-1)+1)-INDEX(rw_Cum,(ROW()-ROW(rw_LoadOrigin)-1),(COLUMN()-COLUMN(rw_LoadOrigin)-1))),"")</f>
        <v/>
      </c>
      <c r="L59" s="76" t="str">
        <f aca="false">IFERROR(IF(INDEX(res_Name,(ROW()-ROW(rw_LoadOrigin)-1))="","",INDEX(rw_Cum,(ROW()-ROW(rw_LoadOrigin)-1),(COLUMN()-COLUMN(rw_LoadOrigin)-1)+1)-INDEX(rw_Cum,(ROW()-ROW(rw_LoadOrigin)-1),(COLUMN()-COLUMN(rw_LoadOrigin)-1))),"")</f>
        <v/>
      </c>
      <c r="M59" s="76" t="str">
        <f aca="false">IFERROR(IF(INDEX(res_Name,(ROW()-ROW(rw_LoadOrigin)-1))="","",INDEX(rw_Cum,(ROW()-ROW(rw_LoadOrigin)-1),(COLUMN()-COLUMN(rw_LoadOrigin)-1)+1)-INDEX(rw_Cum,(ROW()-ROW(rw_LoadOrigin)-1),(COLUMN()-COLUMN(rw_LoadOrigin)-1))),"")</f>
        <v/>
      </c>
      <c r="N59" s="76" t="str">
        <f aca="false">IFERROR(IF(INDEX(res_Name,(ROW()-ROW(rw_LoadOrigin)-1))="","",INDEX(rw_Cum,(ROW()-ROW(rw_LoadOrigin)-1),(COLUMN()-COLUMN(rw_LoadOrigin)-1)+1)-INDEX(rw_Cum,(ROW()-ROW(rw_LoadOrigin)-1),(COLUMN()-COLUMN(rw_LoadOrigin)-1))),"")</f>
        <v/>
      </c>
      <c r="O59" s="76" t="str">
        <f aca="false">IFERROR(IF(INDEX(res_Name,(ROW()-ROW(rw_LoadOrigin)-1))="","",INDEX(rw_Cum,(ROW()-ROW(rw_LoadOrigin)-1),(COLUMN()-COLUMN(rw_LoadOrigin)-1)+1)-INDEX(rw_Cum,(ROW()-ROW(rw_LoadOrigin)-1),(COLUMN()-COLUMN(rw_LoadOrigin)-1))),"")</f>
        <v/>
      </c>
      <c r="P59" s="76" t="str">
        <f aca="false">IFERROR(IF(INDEX(res_Name,(ROW()-ROW(rw_LoadOrigin)-1))="","",INDEX(rw_Cum,(ROW()-ROW(rw_LoadOrigin)-1),(COLUMN()-COLUMN(rw_LoadOrigin)-1)+1)-INDEX(rw_Cum,(ROW()-ROW(rw_LoadOrigin)-1),(COLUMN()-COLUMN(rw_LoadOrigin)-1))),"")</f>
        <v/>
      </c>
      <c r="Q59" s="76" t="str">
        <f aca="false">IFERROR(IF(INDEX(res_Name,(ROW()-ROW(rw_LoadOrigin)-1))="","",INDEX(rw_Cum,(ROW()-ROW(rw_LoadOrigin)-1),(COLUMN()-COLUMN(rw_LoadOrigin)-1)+1)-INDEX(rw_Cum,(ROW()-ROW(rw_LoadOrigin)-1),(COLUMN()-COLUMN(rw_LoadOrigin)-1))),"")</f>
        <v/>
      </c>
      <c r="R59" s="76" t="str">
        <f aca="false">IFERROR(IF(INDEX(res_Name,(ROW()-ROW(rw_LoadOrigin)-1))="","",INDEX(rw_Cum,(ROW()-ROW(rw_LoadOrigin)-1),(COLUMN()-COLUMN(rw_LoadOrigin)-1)+1)-INDEX(rw_Cum,(ROW()-ROW(rw_LoadOrigin)-1),(COLUMN()-COLUMN(rw_LoadOrigin)-1))),"")</f>
        <v/>
      </c>
      <c r="S59" s="76" t="str">
        <f aca="false">IFERROR(IF(INDEX(res_Name,(ROW()-ROW(rw_LoadOrigin)-1))="","",INDEX(rw_Cum,(ROW()-ROW(rw_LoadOrigin)-1),(COLUMN()-COLUMN(rw_LoadOrigin)-1)+1)-INDEX(rw_Cum,(ROW()-ROW(rw_LoadOrigin)-1),(COLUMN()-COLUMN(rw_LoadOrigin)-1))),"")</f>
        <v/>
      </c>
      <c r="T59" s="76" t="str">
        <f aca="false">IFERROR(IF(INDEX(res_Name,(ROW()-ROW(rw_LoadOrigin)-1))="","",INDEX(rw_Cum,(ROW()-ROW(rw_LoadOrigin)-1),(COLUMN()-COLUMN(rw_LoadOrigin)-1)+1)-INDEX(rw_Cum,(ROW()-ROW(rw_LoadOrigin)-1),(COLUMN()-COLUMN(rw_LoadOrigin)-1))),"")</f>
        <v/>
      </c>
      <c r="U59" s="76" t="str">
        <f aca="false">IFERROR(IF(INDEX(res_Name,(ROW()-ROW(rw_LoadOrigin)-1))="","",INDEX(rw_Cum,(ROW()-ROW(rw_LoadOrigin)-1),(COLUMN()-COLUMN(rw_LoadOrigin)-1)+1)-INDEX(rw_Cum,(ROW()-ROW(rw_LoadOrigin)-1),(COLUMN()-COLUMN(rw_LoadOrigin)-1))),"")</f>
        <v/>
      </c>
      <c r="V59" s="76" t="str">
        <f aca="false">IFERROR(IF(INDEX(res_Name,(ROW()-ROW(rw_LoadOrigin)-1))="","",INDEX(rw_Cum,(ROW()-ROW(rw_LoadOrigin)-1),(COLUMN()-COLUMN(rw_LoadOrigin)-1)+1)-INDEX(rw_Cum,(ROW()-ROW(rw_LoadOrigin)-1),(COLUMN()-COLUMN(rw_LoadOrigin)-1))),"")</f>
        <v/>
      </c>
      <c r="W59" s="76" t="str">
        <f aca="false">IFERROR(IF(INDEX(res_Name,(ROW()-ROW(rw_LoadOrigin)-1))="","",INDEX(rw_Cum,(ROW()-ROW(rw_LoadOrigin)-1),(COLUMN()-COLUMN(rw_LoadOrigin)-1)+1)-INDEX(rw_Cum,(ROW()-ROW(rw_LoadOrigin)-1),(COLUMN()-COLUMN(rw_LoadOrigin)-1))),"")</f>
        <v/>
      </c>
      <c r="X59" s="76" t="str">
        <f aca="false">IFERROR(IF(INDEX(res_Name,(ROW()-ROW(rw_LoadOrigin)-1))="","",INDEX(rw_Cum,(ROW()-ROW(rw_LoadOrigin)-1),(COLUMN()-COLUMN(rw_LoadOrigin)-1)+1)-INDEX(rw_Cum,(ROW()-ROW(rw_LoadOrigin)-1),(COLUMN()-COLUMN(rw_LoadOrigin)-1))),"")</f>
        <v/>
      </c>
      <c r="Y59" s="76" t="str">
        <f aca="false">IFERROR(IF(INDEX(res_Name,(ROW()-ROW(rw_LoadOrigin)-1))="","",INDEX(rw_Cum,(ROW()-ROW(rw_LoadOrigin)-1),(COLUMN()-COLUMN(rw_LoadOrigin)-1)+1)-INDEX(rw_Cum,(ROW()-ROW(rw_LoadOrigin)-1),(COLUMN()-COLUMN(rw_LoadOrigin)-1))),"")</f>
        <v/>
      </c>
      <c r="Z59" s="76" t="str">
        <f aca="false">IFERROR(IF(INDEX(res_Name,(ROW()-ROW(rw_LoadOrigin)-1))="","",INDEX(rw_Cum,(ROW()-ROW(rw_LoadOrigin)-1),(COLUMN()-COLUMN(rw_LoadOrigin)-1)+1)-INDEX(rw_Cum,(ROW()-ROW(rw_LoadOrigin)-1),(COLUMN()-COLUMN(rw_LoadOrigin)-1))),"")</f>
        <v/>
      </c>
      <c r="AA59" s="76" t="str">
        <f aca="false">IFERROR(IF(INDEX(res_Name,(ROW()-ROW(rw_LoadOrigin)-1))="","",INDEX(rw_Cum,(ROW()-ROW(rw_LoadOrigin)-1),(COLUMN()-COLUMN(rw_LoadOrigin)-1)+1)-INDEX(rw_Cum,(ROW()-ROW(rw_LoadOrigin)-1),(COLUMN()-COLUMN(rw_LoadOrigin)-1))),"")</f>
        <v/>
      </c>
      <c r="AB59" s="76" t="str">
        <f aca="false">IFERROR(IF(INDEX(res_Name,(ROW()-ROW(rw_LoadOrigin)-1))="","",INDEX(rw_Cum,(ROW()-ROW(rw_LoadOrigin)-1),(COLUMN()-COLUMN(rw_LoadOrigin)-1)+1)-INDEX(rw_Cum,(ROW()-ROW(rw_LoadOrigin)-1),(COLUMN()-COLUMN(rw_LoadOrigin)-1))),"")</f>
        <v/>
      </c>
      <c r="AC59" s="76"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5" t="str">
        <f aca="false">IFERROR(INDEX(res_Name,(ROW()-ROW(rw_LoadOrigin)-1))&amp;"","")</f>
        <v/>
      </c>
      <c r="C60" s="75" t="str">
        <f aca="false">IFERROR(IF(INDEX(res_Name,(ROW()-ROW(rw_LoadOrigin)-1))="","",INDEX(res_MaxUnits,(ROW()-ROW(rw_LoadOrigin)-1))),"")</f>
        <v/>
      </c>
      <c r="D60" s="76" t="str">
        <f aca="false">IFERROR(IF(INDEX(res_Name,(ROW()-ROW(rw_LoadOrigin)-1))="","",INDEX(rw_Cum,(ROW()-ROW(rw_LoadOrigin)-1),(COLUMN()-COLUMN(rw_LoadOrigin)-1)+1)-INDEX(rw_Cum,(ROW()-ROW(rw_LoadOrigin)-1),(COLUMN()-COLUMN(rw_LoadOrigin)-1))),"")</f>
        <v/>
      </c>
      <c r="E60" s="76" t="str">
        <f aca="false">IFERROR(IF(INDEX(res_Name,(ROW()-ROW(rw_LoadOrigin)-1))="","",INDEX(rw_Cum,(ROW()-ROW(rw_LoadOrigin)-1),(COLUMN()-COLUMN(rw_LoadOrigin)-1)+1)-INDEX(rw_Cum,(ROW()-ROW(rw_LoadOrigin)-1),(COLUMN()-COLUMN(rw_LoadOrigin)-1))),"")</f>
        <v/>
      </c>
      <c r="F60" s="76" t="str">
        <f aca="false">IFERROR(IF(INDEX(res_Name,(ROW()-ROW(rw_LoadOrigin)-1))="","",INDEX(rw_Cum,(ROW()-ROW(rw_LoadOrigin)-1),(COLUMN()-COLUMN(rw_LoadOrigin)-1)+1)-INDEX(rw_Cum,(ROW()-ROW(rw_LoadOrigin)-1),(COLUMN()-COLUMN(rw_LoadOrigin)-1))),"")</f>
        <v/>
      </c>
      <c r="G60" s="76" t="str">
        <f aca="false">IFERROR(IF(INDEX(res_Name,(ROW()-ROW(rw_LoadOrigin)-1))="","",INDEX(rw_Cum,(ROW()-ROW(rw_LoadOrigin)-1),(COLUMN()-COLUMN(rw_LoadOrigin)-1)+1)-INDEX(rw_Cum,(ROW()-ROW(rw_LoadOrigin)-1),(COLUMN()-COLUMN(rw_LoadOrigin)-1))),"")</f>
        <v/>
      </c>
      <c r="H60" s="76" t="str">
        <f aca="false">IFERROR(IF(INDEX(res_Name,(ROW()-ROW(rw_LoadOrigin)-1))="","",INDEX(rw_Cum,(ROW()-ROW(rw_LoadOrigin)-1),(COLUMN()-COLUMN(rw_LoadOrigin)-1)+1)-INDEX(rw_Cum,(ROW()-ROW(rw_LoadOrigin)-1),(COLUMN()-COLUMN(rw_LoadOrigin)-1))),"")</f>
        <v/>
      </c>
      <c r="I60" s="76" t="str">
        <f aca="false">IFERROR(IF(INDEX(res_Name,(ROW()-ROW(rw_LoadOrigin)-1))="","",INDEX(rw_Cum,(ROW()-ROW(rw_LoadOrigin)-1),(COLUMN()-COLUMN(rw_LoadOrigin)-1)+1)-INDEX(rw_Cum,(ROW()-ROW(rw_LoadOrigin)-1),(COLUMN()-COLUMN(rw_LoadOrigin)-1))),"")</f>
        <v/>
      </c>
      <c r="J60" s="76" t="str">
        <f aca="false">IFERROR(IF(INDEX(res_Name,(ROW()-ROW(rw_LoadOrigin)-1))="","",INDEX(rw_Cum,(ROW()-ROW(rw_LoadOrigin)-1),(COLUMN()-COLUMN(rw_LoadOrigin)-1)+1)-INDEX(rw_Cum,(ROW()-ROW(rw_LoadOrigin)-1),(COLUMN()-COLUMN(rw_LoadOrigin)-1))),"")</f>
        <v/>
      </c>
      <c r="K60" s="76" t="str">
        <f aca="false">IFERROR(IF(INDEX(res_Name,(ROW()-ROW(rw_LoadOrigin)-1))="","",INDEX(rw_Cum,(ROW()-ROW(rw_LoadOrigin)-1),(COLUMN()-COLUMN(rw_LoadOrigin)-1)+1)-INDEX(rw_Cum,(ROW()-ROW(rw_LoadOrigin)-1),(COLUMN()-COLUMN(rw_LoadOrigin)-1))),"")</f>
        <v/>
      </c>
      <c r="L60" s="76" t="str">
        <f aca="false">IFERROR(IF(INDEX(res_Name,(ROW()-ROW(rw_LoadOrigin)-1))="","",INDEX(rw_Cum,(ROW()-ROW(rw_LoadOrigin)-1),(COLUMN()-COLUMN(rw_LoadOrigin)-1)+1)-INDEX(rw_Cum,(ROW()-ROW(rw_LoadOrigin)-1),(COLUMN()-COLUMN(rw_LoadOrigin)-1))),"")</f>
        <v/>
      </c>
      <c r="M60" s="76" t="str">
        <f aca="false">IFERROR(IF(INDEX(res_Name,(ROW()-ROW(rw_LoadOrigin)-1))="","",INDEX(rw_Cum,(ROW()-ROW(rw_LoadOrigin)-1),(COLUMN()-COLUMN(rw_LoadOrigin)-1)+1)-INDEX(rw_Cum,(ROW()-ROW(rw_LoadOrigin)-1),(COLUMN()-COLUMN(rw_LoadOrigin)-1))),"")</f>
        <v/>
      </c>
      <c r="N60" s="76" t="str">
        <f aca="false">IFERROR(IF(INDEX(res_Name,(ROW()-ROW(rw_LoadOrigin)-1))="","",INDEX(rw_Cum,(ROW()-ROW(rw_LoadOrigin)-1),(COLUMN()-COLUMN(rw_LoadOrigin)-1)+1)-INDEX(rw_Cum,(ROW()-ROW(rw_LoadOrigin)-1),(COLUMN()-COLUMN(rw_LoadOrigin)-1))),"")</f>
        <v/>
      </c>
      <c r="O60" s="76" t="str">
        <f aca="false">IFERROR(IF(INDEX(res_Name,(ROW()-ROW(rw_LoadOrigin)-1))="","",INDEX(rw_Cum,(ROW()-ROW(rw_LoadOrigin)-1),(COLUMN()-COLUMN(rw_LoadOrigin)-1)+1)-INDEX(rw_Cum,(ROW()-ROW(rw_LoadOrigin)-1),(COLUMN()-COLUMN(rw_LoadOrigin)-1))),"")</f>
        <v/>
      </c>
      <c r="P60" s="76" t="str">
        <f aca="false">IFERROR(IF(INDEX(res_Name,(ROW()-ROW(rw_LoadOrigin)-1))="","",INDEX(rw_Cum,(ROW()-ROW(rw_LoadOrigin)-1),(COLUMN()-COLUMN(rw_LoadOrigin)-1)+1)-INDEX(rw_Cum,(ROW()-ROW(rw_LoadOrigin)-1),(COLUMN()-COLUMN(rw_LoadOrigin)-1))),"")</f>
        <v/>
      </c>
      <c r="Q60" s="76" t="str">
        <f aca="false">IFERROR(IF(INDEX(res_Name,(ROW()-ROW(rw_LoadOrigin)-1))="","",INDEX(rw_Cum,(ROW()-ROW(rw_LoadOrigin)-1),(COLUMN()-COLUMN(rw_LoadOrigin)-1)+1)-INDEX(rw_Cum,(ROW()-ROW(rw_LoadOrigin)-1),(COLUMN()-COLUMN(rw_LoadOrigin)-1))),"")</f>
        <v/>
      </c>
      <c r="R60" s="76" t="str">
        <f aca="false">IFERROR(IF(INDEX(res_Name,(ROW()-ROW(rw_LoadOrigin)-1))="","",INDEX(rw_Cum,(ROW()-ROW(rw_LoadOrigin)-1),(COLUMN()-COLUMN(rw_LoadOrigin)-1)+1)-INDEX(rw_Cum,(ROW()-ROW(rw_LoadOrigin)-1),(COLUMN()-COLUMN(rw_LoadOrigin)-1))),"")</f>
        <v/>
      </c>
      <c r="S60" s="76" t="str">
        <f aca="false">IFERROR(IF(INDEX(res_Name,(ROW()-ROW(rw_LoadOrigin)-1))="","",INDEX(rw_Cum,(ROW()-ROW(rw_LoadOrigin)-1),(COLUMN()-COLUMN(rw_LoadOrigin)-1)+1)-INDEX(rw_Cum,(ROW()-ROW(rw_LoadOrigin)-1),(COLUMN()-COLUMN(rw_LoadOrigin)-1))),"")</f>
        <v/>
      </c>
      <c r="T60" s="76" t="str">
        <f aca="false">IFERROR(IF(INDEX(res_Name,(ROW()-ROW(rw_LoadOrigin)-1))="","",INDEX(rw_Cum,(ROW()-ROW(rw_LoadOrigin)-1),(COLUMN()-COLUMN(rw_LoadOrigin)-1)+1)-INDEX(rw_Cum,(ROW()-ROW(rw_LoadOrigin)-1),(COLUMN()-COLUMN(rw_LoadOrigin)-1))),"")</f>
        <v/>
      </c>
      <c r="U60" s="76" t="str">
        <f aca="false">IFERROR(IF(INDEX(res_Name,(ROW()-ROW(rw_LoadOrigin)-1))="","",INDEX(rw_Cum,(ROW()-ROW(rw_LoadOrigin)-1),(COLUMN()-COLUMN(rw_LoadOrigin)-1)+1)-INDEX(rw_Cum,(ROW()-ROW(rw_LoadOrigin)-1),(COLUMN()-COLUMN(rw_LoadOrigin)-1))),"")</f>
        <v/>
      </c>
      <c r="V60" s="76" t="str">
        <f aca="false">IFERROR(IF(INDEX(res_Name,(ROW()-ROW(rw_LoadOrigin)-1))="","",INDEX(rw_Cum,(ROW()-ROW(rw_LoadOrigin)-1),(COLUMN()-COLUMN(rw_LoadOrigin)-1)+1)-INDEX(rw_Cum,(ROW()-ROW(rw_LoadOrigin)-1),(COLUMN()-COLUMN(rw_LoadOrigin)-1))),"")</f>
        <v/>
      </c>
      <c r="W60" s="76" t="str">
        <f aca="false">IFERROR(IF(INDEX(res_Name,(ROW()-ROW(rw_LoadOrigin)-1))="","",INDEX(rw_Cum,(ROW()-ROW(rw_LoadOrigin)-1),(COLUMN()-COLUMN(rw_LoadOrigin)-1)+1)-INDEX(rw_Cum,(ROW()-ROW(rw_LoadOrigin)-1),(COLUMN()-COLUMN(rw_LoadOrigin)-1))),"")</f>
        <v/>
      </c>
      <c r="X60" s="76" t="str">
        <f aca="false">IFERROR(IF(INDEX(res_Name,(ROW()-ROW(rw_LoadOrigin)-1))="","",INDEX(rw_Cum,(ROW()-ROW(rw_LoadOrigin)-1),(COLUMN()-COLUMN(rw_LoadOrigin)-1)+1)-INDEX(rw_Cum,(ROW()-ROW(rw_LoadOrigin)-1),(COLUMN()-COLUMN(rw_LoadOrigin)-1))),"")</f>
        <v/>
      </c>
      <c r="Y60" s="76" t="str">
        <f aca="false">IFERROR(IF(INDEX(res_Name,(ROW()-ROW(rw_LoadOrigin)-1))="","",INDEX(rw_Cum,(ROW()-ROW(rw_LoadOrigin)-1),(COLUMN()-COLUMN(rw_LoadOrigin)-1)+1)-INDEX(rw_Cum,(ROW()-ROW(rw_LoadOrigin)-1),(COLUMN()-COLUMN(rw_LoadOrigin)-1))),"")</f>
        <v/>
      </c>
      <c r="Z60" s="76" t="str">
        <f aca="false">IFERROR(IF(INDEX(res_Name,(ROW()-ROW(rw_LoadOrigin)-1))="","",INDEX(rw_Cum,(ROW()-ROW(rw_LoadOrigin)-1),(COLUMN()-COLUMN(rw_LoadOrigin)-1)+1)-INDEX(rw_Cum,(ROW()-ROW(rw_LoadOrigin)-1),(COLUMN()-COLUMN(rw_LoadOrigin)-1))),"")</f>
        <v/>
      </c>
      <c r="AA60" s="76" t="str">
        <f aca="false">IFERROR(IF(INDEX(res_Name,(ROW()-ROW(rw_LoadOrigin)-1))="","",INDEX(rw_Cum,(ROW()-ROW(rw_LoadOrigin)-1),(COLUMN()-COLUMN(rw_LoadOrigin)-1)+1)-INDEX(rw_Cum,(ROW()-ROW(rw_LoadOrigin)-1),(COLUMN()-COLUMN(rw_LoadOrigin)-1))),"")</f>
        <v/>
      </c>
      <c r="AB60" s="76" t="str">
        <f aca="false">IFERROR(IF(INDEX(res_Name,(ROW()-ROW(rw_LoadOrigin)-1))="","",INDEX(rw_Cum,(ROW()-ROW(rw_LoadOrigin)-1),(COLUMN()-COLUMN(rw_LoadOrigin)-1)+1)-INDEX(rw_Cum,(ROW()-ROW(rw_LoadOrigin)-1),(COLUMN()-COLUMN(rw_LoadOrigin)-1))),"")</f>
        <v/>
      </c>
      <c r="AC60" s="76"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5" t="s">
        <v>275</v>
      </c>
      <c r="D61" s="77" t="n">
        <f aca="false">SUM(INDEX(rw_Load,0,(COLUMN()-COLUMN(rw_LoadOrigin)-1)))</f>
        <v>0</v>
      </c>
      <c r="E61" s="77" t="n">
        <f aca="false">SUM(INDEX(rw_Load,0,(COLUMN()-COLUMN(rw_LoadOrigin)-1)))</f>
        <v>0</v>
      </c>
      <c r="F61" s="77" t="n">
        <f aca="false">SUM(INDEX(rw_Load,0,(COLUMN()-COLUMN(rw_LoadOrigin)-1)))</f>
        <v>0</v>
      </c>
      <c r="G61" s="77" t="n">
        <f aca="false">SUM(INDEX(rw_Load,0,(COLUMN()-COLUMN(rw_LoadOrigin)-1)))</f>
        <v>0</v>
      </c>
      <c r="H61" s="77" t="n">
        <f aca="false">SUM(INDEX(rw_Load,0,(COLUMN()-COLUMN(rw_LoadOrigin)-1)))</f>
        <v>0</v>
      </c>
      <c r="I61" s="77" t="n">
        <f aca="false">SUM(INDEX(rw_Load,0,(COLUMN()-COLUMN(rw_LoadOrigin)-1)))</f>
        <v>0</v>
      </c>
      <c r="J61" s="77" t="n">
        <f aca="false">SUM(INDEX(rw_Load,0,(COLUMN()-COLUMN(rw_LoadOrigin)-1)))</f>
        <v>0</v>
      </c>
      <c r="K61" s="77" t="n">
        <f aca="false">SUM(INDEX(rw_Load,0,(COLUMN()-COLUMN(rw_LoadOrigin)-1)))</f>
        <v>0</v>
      </c>
      <c r="L61" s="77" t="n">
        <f aca="false">SUM(INDEX(rw_Load,0,(COLUMN()-COLUMN(rw_LoadOrigin)-1)))</f>
        <v>0</v>
      </c>
      <c r="M61" s="77" t="n">
        <f aca="false">SUM(INDEX(rw_Load,0,(COLUMN()-COLUMN(rw_LoadOrigin)-1)))</f>
        <v>0</v>
      </c>
      <c r="N61" s="77" t="n">
        <f aca="false">SUM(INDEX(rw_Load,0,(COLUMN()-COLUMN(rw_LoadOrigin)-1)))</f>
        <v>0</v>
      </c>
      <c r="O61" s="77" t="n">
        <f aca="false">SUM(INDEX(rw_Load,0,(COLUMN()-COLUMN(rw_LoadOrigin)-1)))</f>
        <v>0</v>
      </c>
      <c r="P61" s="77" t="n">
        <f aca="false">SUM(INDEX(rw_Load,0,(COLUMN()-COLUMN(rw_LoadOrigin)-1)))</f>
        <v>0</v>
      </c>
      <c r="Q61" s="77" t="n">
        <f aca="false">SUM(INDEX(rw_Load,0,(COLUMN()-COLUMN(rw_LoadOrigin)-1)))</f>
        <v>0</v>
      </c>
      <c r="R61" s="77" t="n">
        <f aca="false">SUM(INDEX(rw_Load,0,(COLUMN()-COLUMN(rw_LoadOrigin)-1)))</f>
        <v>0</v>
      </c>
      <c r="S61" s="77" t="n">
        <f aca="false">SUM(INDEX(rw_Load,0,(COLUMN()-COLUMN(rw_LoadOrigin)-1)))</f>
        <v>0</v>
      </c>
      <c r="T61" s="77" t="n">
        <f aca="false">SUM(INDEX(rw_Load,0,(COLUMN()-COLUMN(rw_LoadOrigin)-1)))</f>
        <v>0</v>
      </c>
      <c r="U61" s="77" t="n">
        <f aca="false">SUM(INDEX(rw_Load,0,(COLUMN()-COLUMN(rw_LoadOrigin)-1)))</f>
        <v>0</v>
      </c>
      <c r="V61" s="77" t="n">
        <f aca="false">SUM(INDEX(rw_Load,0,(COLUMN()-COLUMN(rw_LoadOrigin)-1)))</f>
        <v>0</v>
      </c>
      <c r="W61" s="77" t="n">
        <f aca="false">SUM(INDEX(rw_Load,0,(COLUMN()-COLUMN(rw_LoadOrigin)-1)))</f>
        <v>0</v>
      </c>
      <c r="X61" s="77" t="n">
        <f aca="false">SUM(INDEX(rw_Load,0,(COLUMN()-COLUMN(rw_LoadOrigin)-1)))</f>
        <v>0</v>
      </c>
      <c r="Y61" s="77" t="n">
        <f aca="false">SUM(INDEX(rw_Load,0,(COLUMN()-COLUMN(rw_LoadOrigin)-1)))</f>
        <v>0</v>
      </c>
      <c r="Z61" s="77" t="n">
        <f aca="false">SUM(INDEX(rw_Load,0,(COLUMN()-COLUMN(rw_LoadOrigin)-1)))</f>
        <v>0</v>
      </c>
      <c r="AA61" s="77" t="n">
        <f aca="false">SUM(INDEX(rw_Load,0,(COLUMN()-COLUMN(rw_LoadOrigin)-1)))</f>
        <v>0</v>
      </c>
      <c r="AB61" s="77" t="n">
        <f aca="false">SUM(INDEX(rw_Load,0,(COLUMN()-COLUMN(rw_LoadOrigin)-1)))</f>
        <v>0</v>
      </c>
      <c r="AC61" s="77" t="n">
        <f aca="false">SUM(INDEX(rw_Load,0,(COLUMN()-COLUMN(rw_LoadOrigin)-1)))</f>
        <v>0</v>
      </c>
    </row>
    <row r="62" customFormat="false" ht="15" hidden="false" customHeight="false" outlineLevel="0" collapsed="false">
      <c r="B62" s="5" t="s">
        <v>276</v>
      </c>
      <c r="D62" s="77" t="n">
        <f aca="false">SUMIFS(res_MaxUnits,res_Type,"Work")*HoursPerDay*INDEX(rw_WeekDays,(COLUMN()-COLUMN(rw_LoadOrigin)-1))-(HoursPerDay*SUMPRODUCT((INDEX(res_Type,1):INDEX(res_Type,ROWS(rw_Leave))="Work")*INDEX(res_MaxUnits,1):INDEX(res_MaxUnits,ROWS(rw_Leave))*INDEX(rw_Leave,0,(COLUMN()-COLUMN(rw_LoadOrigin)-1))))</f>
        <v>0</v>
      </c>
      <c r="E62" s="77" t="n">
        <f aca="false">SUMIFS(res_MaxUnits,res_Type,"Work")*HoursPerDay*INDEX(rw_WeekDays,(COLUMN()-COLUMN(rw_LoadOrigin)-1))-(HoursPerDay*SUMPRODUCT((INDEX(res_Type,1):INDEX(res_Type,ROWS(rw_Leave))="Work")*INDEX(res_MaxUnits,1):INDEX(res_MaxUnits,ROWS(rw_Leave))*INDEX(rw_Leave,0,(COLUMN()-COLUMN(rw_LoadOrigin)-1))))</f>
        <v>0</v>
      </c>
      <c r="F62" s="77" t="n">
        <f aca="false">SUMIFS(res_MaxUnits,res_Type,"Work")*HoursPerDay*INDEX(rw_WeekDays,(COLUMN()-COLUMN(rw_LoadOrigin)-1))-(HoursPerDay*SUMPRODUCT((INDEX(res_Type,1):INDEX(res_Type,ROWS(rw_Leave))="Work")*INDEX(res_MaxUnits,1):INDEX(res_MaxUnits,ROWS(rw_Leave))*INDEX(rw_Leave,0,(COLUMN()-COLUMN(rw_LoadOrigin)-1))))</f>
        <v>0</v>
      </c>
      <c r="G62" s="77" t="n">
        <f aca="false">SUMIFS(res_MaxUnits,res_Type,"Work")*HoursPerDay*INDEX(rw_WeekDays,(COLUMN()-COLUMN(rw_LoadOrigin)-1))-(HoursPerDay*SUMPRODUCT((INDEX(res_Type,1):INDEX(res_Type,ROWS(rw_Leave))="Work")*INDEX(res_MaxUnits,1):INDEX(res_MaxUnits,ROWS(rw_Leave))*INDEX(rw_Leave,0,(COLUMN()-COLUMN(rw_LoadOrigin)-1))))</f>
        <v>0</v>
      </c>
      <c r="H62" s="77" t="n">
        <f aca="false">SUMIFS(res_MaxUnits,res_Type,"Work")*HoursPerDay*INDEX(rw_WeekDays,(COLUMN()-COLUMN(rw_LoadOrigin)-1))-(HoursPerDay*SUMPRODUCT((INDEX(res_Type,1):INDEX(res_Type,ROWS(rw_Leave))="Work")*INDEX(res_MaxUnits,1):INDEX(res_MaxUnits,ROWS(rw_Leave))*INDEX(rw_Leave,0,(COLUMN()-COLUMN(rw_LoadOrigin)-1))))</f>
        <v>0</v>
      </c>
      <c r="I62" s="77" t="n">
        <f aca="false">SUMIFS(res_MaxUnits,res_Type,"Work")*HoursPerDay*INDEX(rw_WeekDays,(COLUMN()-COLUMN(rw_LoadOrigin)-1))-(HoursPerDay*SUMPRODUCT((INDEX(res_Type,1):INDEX(res_Type,ROWS(rw_Leave))="Work")*INDEX(res_MaxUnits,1):INDEX(res_MaxUnits,ROWS(rw_Leave))*INDEX(rw_Leave,0,(COLUMN()-COLUMN(rw_LoadOrigin)-1))))</f>
        <v>0</v>
      </c>
      <c r="J62" s="77" t="n">
        <f aca="false">SUMIFS(res_MaxUnits,res_Type,"Work")*HoursPerDay*INDEX(rw_WeekDays,(COLUMN()-COLUMN(rw_LoadOrigin)-1))-(HoursPerDay*SUMPRODUCT((INDEX(res_Type,1):INDEX(res_Type,ROWS(rw_Leave))="Work")*INDEX(res_MaxUnits,1):INDEX(res_MaxUnits,ROWS(rw_Leave))*INDEX(rw_Leave,0,(COLUMN()-COLUMN(rw_LoadOrigin)-1))))</f>
        <v>0</v>
      </c>
      <c r="K62" s="77" t="n">
        <f aca="false">SUMIFS(res_MaxUnits,res_Type,"Work")*HoursPerDay*INDEX(rw_WeekDays,(COLUMN()-COLUMN(rw_LoadOrigin)-1))-(HoursPerDay*SUMPRODUCT((INDEX(res_Type,1):INDEX(res_Type,ROWS(rw_Leave))="Work")*INDEX(res_MaxUnits,1):INDEX(res_MaxUnits,ROWS(rw_Leave))*INDEX(rw_Leave,0,(COLUMN()-COLUMN(rw_LoadOrigin)-1))))</f>
        <v>0</v>
      </c>
      <c r="L62" s="77" t="n">
        <f aca="false">SUMIFS(res_MaxUnits,res_Type,"Work")*HoursPerDay*INDEX(rw_WeekDays,(COLUMN()-COLUMN(rw_LoadOrigin)-1))-(HoursPerDay*SUMPRODUCT((INDEX(res_Type,1):INDEX(res_Type,ROWS(rw_Leave))="Work")*INDEX(res_MaxUnits,1):INDEX(res_MaxUnits,ROWS(rw_Leave))*INDEX(rw_Leave,0,(COLUMN()-COLUMN(rw_LoadOrigin)-1))))</f>
        <v>0</v>
      </c>
      <c r="M62" s="77" t="n">
        <f aca="false">SUMIFS(res_MaxUnits,res_Type,"Work")*HoursPerDay*INDEX(rw_WeekDays,(COLUMN()-COLUMN(rw_LoadOrigin)-1))-(HoursPerDay*SUMPRODUCT((INDEX(res_Type,1):INDEX(res_Type,ROWS(rw_Leave))="Work")*INDEX(res_MaxUnits,1):INDEX(res_MaxUnits,ROWS(rw_Leave))*INDEX(rw_Leave,0,(COLUMN()-COLUMN(rw_LoadOrigin)-1))))</f>
        <v>0</v>
      </c>
      <c r="N62" s="77" t="n">
        <f aca="false">SUMIFS(res_MaxUnits,res_Type,"Work")*HoursPerDay*INDEX(rw_WeekDays,(COLUMN()-COLUMN(rw_LoadOrigin)-1))-(HoursPerDay*SUMPRODUCT((INDEX(res_Type,1):INDEX(res_Type,ROWS(rw_Leave))="Work")*INDEX(res_MaxUnits,1):INDEX(res_MaxUnits,ROWS(rw_Leave))*INDEX(rw_Leave,0,(COLUMN()-COLUMN(rw_LoadOrigin)-1))))</f>
        <v>0</v>
      </c>
      <c r="O62" s="77" t="n">
        <f aca="false">SUMIFS(res_MaxUnits,res_Type,"Work")*HoursPerDay*INDEX(rw_WeekDays,(COLUMN()-COLUMN(rw_LoadOrigin)-1))-(HoursPerDay*SUMPRODUCT((INDEX(res_Type,1):INDEX(res_Type,ROWS(rw_Leave))="Work")*INDEX(res_MaxUnits,1):INDEX(res_MaxUnits,ROWS(rw_Leave))*INDEX(rw_Leave,0,(COLUMN()-COLUMN(rw_LoadOrigin)-1))))</f>
        <v>0</v>
      </c>
      <c r="P62" s="77" t="n">
        <f aca="false">SUMIFS(res_MaxUnits,res_Type,"Work")*HoursPerDay*INDEX(rw_WeekDays,(COLUMN()-COLUMN(rw_LoadOrigin)-1))-(HoursPerDay*SUMPRODUCT((INDEX(res_Type,1):INDEX(res_Type,ROWS(rw_Leave))="Work")*INDEX(res_MaxUnits,1):INDEX(res_MaxUnits,ROWS(rw_Leave))*INDEX(rw_Leave,0,(COLUMN()-COLUMN(rw_LoadOrigin)-1))))</f>
        <v>0</v>
      </c>
      <c r="Q62" s="77" t="n">
        <f aca="false">SUMIFS(res_MaxUnits,res_Type,"Work")*HoursPerDay*INDEX(rw_WeekDays,(COLUMN()-COLUMN(rw_LoadOrigin)-1))-(HoursPerDay*SUMPRODUCT((INDEX(res_Type,1):INDEX(res_Type,ROWS(rw_Leave))="Work")*INDEX(res_MaxUnits,1):INDEX(res_MaxUnits,ROWS(rw_Leave))*INDEX(rw_Leave,0,(COLUMN()-COLUMN(rw_LoadOrigin)-1))))</f>
        <v>0</v>
      </c>
      <c r="R62" s="77" t="n">
        <f aca="false">SUMIFS(res_MaxUnits,res_Type,"Work")*HoursPerDay*INDEX(rw_WeekDays,(COLUMN()-COLUMN(rw_LoadOrigin)-1))-(HoursPerDay*SUMPRODUCT((INDEX(res_Type,1):INDEX(res_Type,ROWS(rw_Leave))="Work")*INDEX(res_MaxUnits,1):INDEX(res_MaxUnits,ROWS(rw_Leave))*INDEX(rw_Leave,0,(COLUMN()-COLUMN(rw_LoadOrigin)-1))))</f>
        <v>0</v>
      </c>
      <c r="S62" s="77" t="n">
        <f aca="false">SUMIFS(res_MaxUnits,res_Type,"Work")*HoursPerDay*INDEX(rw_WeekDays,(COLUMN()-COLUMN(rw_LoadOrigin)-1))-(HoursPerDay*SUMPRODUCT((INDEX(res_Type,1):INDEX(res_Type,ROWS(rw_Leave))="Work")*INDEX(res_MaxUnits,1):INDEX(res_MaxUnits,ROWS(rw_Leave))*INDEX(rw_Leave,0,(COLUMN()-COLUMN(rw_LoadOrigin)-1))))</f>
        <v>0</v>
      </c>
      <c r="T62" s="77" t="n">
        <f aca="false">SUMIFS(res_MaxUnits,res_Type,"Work")*HoursPerDay*INDEX(rw_WeekDays,(COLUMN()-COLUMN(rw_LoadOrigin)-1))-(HoursPerDay*SUMPRODUCT((INDEX(res_Type,1):INDEX(res_Type,ROWS(rw_Leave))="Work")*INDEX(res_MaxUnits,1):INDEX(res_MaxUnits,ROWS(rw_Leave))*INDEX(rw_Leave,0,(COLUMN()-COLUMN(rw_LoadOrigin)-1))))</f>
        <v>0</v>
      </c>
      <c r="U62" s="77" t="n">
        <f aca="false">SUMIFS(res_MaxUnits,res_Type,"Work")*HoursPerDay*INDEX(rw_WeekDays,(COLUMN()-COLUMN(rw_LoadOrigin)-1))-(HoursPerDay*SUMPRODUCT((INDEX(res_Type,1):INDEX(res_Type,ROWS(rw_Leave))="Work")*INDEX(res_MaxUnits,1):INDEX(res_MaxUnits,ROWS(rw_Leave))*INDEX(rw_Leave,0,(COLUMN()-COLUMN(rw_LoadOrigin)-1))))</f>
        <v>0</v>
      </c>
      <c r="V62" s="77" t="n">
        <f aca="false">SUMIFS(res_MaxUnits,res_Type,"Work")*HoursPerDay*INDEX(rw_WeekDays,(COLUMN()-COLUMN(rw_LoadOrigin)-1))-(HoursPerDay*SUMPRODUCT((INDEX(res_Type,1):INDEX(res_Type,ROWS(rw_Leave))="Work")*INDEX(res_MaxUnits,1):INDEX(res_MaxUnits,ROWS(rw_Leave))*INDEX(rw_Leave,0,(COLUMN()-COLUMN(rw_LoadOrigin)-1))))</f>
        <v>0</v>
      </c>
      <c r="W62" s="77" t="n">
        <f aca="false">SUMIFS(res_MaxUnits,res_Type,"Work")*HoursPerDay*INDEX(rw_WeekDays,(COLUMN()-COLUMN(rw_LoadOrigin)-1))-(HoursPerDay*SUMPRODUCT((INDEX(res_Type,1):INDEX(res_Type,ROWS(rw_Leave))="Work")*INDEX(res_MaxUnits,1):INDEX(res_MaxUnits,ROWS(rw_Leave))*INDEX(rw_Leave,0,(COLUMN()-COLUMN(rw_LoadOrigin)-1))))</f>
        <v>0</v>
      </c>
      <c r="X62" s="77" t="n">
        <f aca="false">SUMIFS(res_MaxUnits,res_Type,"Work")*HoursPerDay*INDEX(rw_WeekDays,(COLUMN()-COLUMN(rw_LoadOrigin)-1))-(HoursPerDay*SUMPRODUCT((INDEX(res_Type,1):INDEX(res_Type,ROWS(rw_Leave))="Work")*INDEX(res_MaxUnits,1):INDEX(res_MaxUnits,ROWS(rw_Leave))*INDEX(rw_Leave,0,(COLUMN()-COLUMN(rw_LoadOrigin)-1))))</f>
        <v>0</v>
      </c>
      <c r="Y62" s="77" t="n">
        <f aca="false">SUMIFS(res_MaxUnits,res_Type,"Work")*HoursPerDay*INDEX(rw_WeekDays,(COLUMN()-COLUMN(rw_LoadOrigin)-1))-(HoursPerDay*SUMPRODUCT((INDEX(res_Type,1):INDEX(res_Type,ROWS(rw_Leave))="Work")*INDEX(res_MaxUnits,1):INDEX(res_MaxUnits,ROWS(rw_Leave))*INDEX(rw_Leave,0,(COLUMN()-COLUMN(rw_LoadOrigin)-1))))</f>
        <v>0</v>
      </c>
      <c r="Z62" s="77" t="n">
        <f aca="false">SUMIFS(res_MaxUnits,res_Type,"Work")*HoursPerDay*INDEX(rw_WeekDays,(COLUMN()-COLUMN(rw_LoadOrigin)-1))-(HoursPerDay*SUMPRODUCT((INDEX(res_Type,1):INDEX(res_Type,ROWS(rw_Leave))="Work")*INDEX(res_MaxUnits,1):INDEX(res_MaxUnits,ROWS(rw_Leave))*INDEX(rw_Leave,0,(COLUMN()-COLUMN(rw_LoadOrigin)-1))))</f>
        <v>0</v>
      </c>
      <c r="AA62" s="77" t="n">
        <f aca="false">SUMIFS(res_MaxUnits,res_Type,"Work")*HoursPerDay*INDEX(rw_WeekDays,(COLUMN()-COLUMN(rw_LoadOrigin)-1))-(HoursPerDay*SUMPRODUCT((INDEX(res_Type,1):INDEX(res_Type,ROWS(rw_Leave))="Work")*INDEX(res_MaxUnits,1):INDEX(res_MaxUnits,ROWS(rw_Leave))*INDEX(rw_Leave,0,(COLUMN()-COLUMN(rw_LoadOrigin)-1))))</f>
        <v>0</v>
      </c>
      <c r="AB62" s="77" t="n">
        <f aca="false">SUMIFS(res_MaxUnits,res_Type,"Work")*HoursPerDay*INDEX(rw_WeekDays,(COLUMN()-COLUMN(rw_LoadOrigin)-1))-(HoursPerDay*SUMPRODUCT((INDEX(res_Type,1):INDEX(res_Type,ROWS(rw_Leave))="Work")*INDEX(res_MaxUnits,1):INDEX(res_MaxUnits,ROWS(rw_Leave))*INDEX(rw_Leave,0,(COLUMN()-COLUMN(rw_LoadOrigin)-1))))</f>
        <v>0</v>
      </c>
      <c r="AC62" s="77" t="n">
        <f aca="false">SUMIFS(res_MaxUnits,res_Type,"Work")*HoursPerDay*INDEX(rw_WeekDays,(COLUMN()-COLUMN(rw_LoadOrigin)-1))-(HoursPerDay*SUMPRODUCT((INDEX(res_Type,1):INDEX(res_Type,ROWS(rw_Leave))="Work")*INDEX(res_MaxUnits,1):INDEX(res_MaxUnits,ROWS(rw_Leave))*INDEX(rw_Leave,0,(COLUMN()-COLUMN(rw_LoadOrigin)-1))))</f>
        <v>0</v>
      </c>
    </row>
    <row r="64" customFormat="false" ht="15" hidden="false" customHeight="false" outlineLevel="0" collapsed="false">
      <c r="B64" s="71" t="s">
        <v>277</v>
      </c>
    </row>
    <row r="66" customFormat="false" ht="15" hidden="false" customHeight="false" outlineLevel="0" collapsed="false">
      <c r="B66" s="15" t="s">
        <v>255</v>
      </c>
      <c r="C66" s="15" t="s">
        <v>261</v>
      </c>
      <c r="D66" s="72" t="n">
        <f aca="false">(ResourceWeekStart+7*((COLUMN()-COLUMN(rw_UtilOrigin)-1)-1))</f>
        <v>2</v>
      </c>
      <c r="E66" s="72" t="n">
        <f aca="false">(ResourceWeekStart+7*((COLUMN()-COLUMN(rw_UtilOrigin)-1)-1))</f>
        <v>9</v>
      </c>
      <c r="F66" s="72" t="n">
        <f aca="false">(ResourceWeekStart+7*((COLUMN()-COLUMN(rw_UtilOrigin)-1)-1))</f>
        <v>16</v>
      </c>
      <c r="G66" s="72" t="n">
        <f aca="false">(ResourceWeekStart+7*((COLUMN()-COLUMN(rw_UtilOrigin)-1)-1))</f>
        <v>23</v>
      </c>
      <c r="H66" s="72" t="n">
        <f aca="false">(ResourceWeekStart+7*((COLUMN()-COLUMN(rw_UtilOrigin)-1)-1))</f>
        <v>30</v>
      </c>
      <c r="I66" s="72" t="n">
        <f aca="false">(ResourceWeekStart+7*((COLUMN()-COLUMN(rw_UtilOrigin)-1)-1))</f>
        <v>37</v>
      </c>
      <c r="J66" s="72" t="n">
        <f aca="false">(ResourceWeekStart+7*((COLUMN()-COLUMN(rw_UtilOrigin)-1)-1))</f>
        <v>44</v>
      </c>
      <c r="K66" s="72" t="n">
        <f aca="false">(ResourceWeekStart+7*((COLUMN()-COLUMN(rw_UtilOrigin)-1)-1))</f>
        <v>51</v>
      </c>
      <c r="L66" s="72" t="n">
        <f aca="false">(ResourceWeekStart+7*((COLUMN()-COLUMN(rw_UtilOrigin)-1)-1))</f>
        <v>58</v>
      </c>
      <c r="M66" s="72" t="n">
        <f aca="false">(ResourceWeekStart+7*((COLUMN()-COLUMN(rw_UtilOrigin)-1)-1))</f>
        <v>65</v>
      </c>
      <c r="N66" s="72" t="n">
        <f aca="false">(ResourceWeekStart+7*((COLUMN()-COLUMN(rw_UtilOrigin)-1)-1))</f>
        <v>72</v>
      </c>
      <c r="O66" s="72" t="n">
        <f aca="false">(ResourceWeekStart+7*((COLUMN()-COLUMN(rw_UtilOrigin)-1)-1))</f>
        <v>79</v>
      </c>
      <c r="P66" s="72" t="n">
        <f aca="false">(ResourceWeekStart+7*((COLUMN()-COLUMN(rw_UtilOrigin)-1)-1))</f>
        <v>86</v>
      </c>
      <c r="Q66" s="72" t="n">
        <f aca="false">(ResourceWeekStart+7*((COLUMN()-COLUMN(rw_UtilOrigin)-1)-1))</f>
        <v>93</v>
      </c>
      <c r="R66" s="72" t="n">
        <f aca="false">(ResourceWeekStart+7*((COLUMN()-COLUMN(rw_UtilOrigin)-1)-1))</f>
        <v>100</v>
      </c>
      <c r="S66" s="72" t="n">
        <f aca="false">(ResourceWeekStart+7*((COLUMN()-COLUMN(rw_UtilOrigin)-1)-1))</f>
        <v>107</v>
      </c>
      <c r="T66" s="72" t="n">
        <f aca="false">(ResourceWeekStart+7*((COLUMN()-COLUMN(rw_UtilOrigin)-1)-1))</f>
        <v>114</v>
      </c>
      <c r="U66" s="72" t="n">
        <f aca="false">(ResourceWeekStart+7*((COLUMN()-COLUMN(rw_UtilOrigin)-1)-1))</f>
        <v>121</v>
      </c>
      <c r="V66" s="72" t="n">
        <f aca="false">(ResourceWeekStart+7*((COLUMN()-COLUMN(rw_UtilOrigin)-1)-1))</f>
        <v>128</v>
      </c>
      <c r="W66" s="72" t="n">
        <f aca="false">(ResourceWeekStart+7*((COLUMN()-COLUMN(rw_UtilOrigin)-1)-1))</f>
        <v>135</v>
      </c>
      <c r="X66" s="72" t="n">
        <f aca="false">(ResourceWeekStart+7*((COLUMN()-COLUMN(rw_UtilOrigin)-1)-1))</f>
        <v>142</v>
      </c>
      <c r="Y66" s="72" t="n">
        <f aca="false">(ResourceWeekStart+7*((COLUMN()-COLUMN(rw_UtilOrigin)-1)-1))</f>
        <v>149</v>
      </c>
      <c r="Z66" s="72" t="n">
        <f aca="false">(ResourceWeekStart+7*((COLUMN()-COLUMN(rw_UtilOrigin)-1)-1))</f>
        <v>156</v>
      </c>
      <c r="AA66" s="72" t="n">
        <f aca="false">(ResourceWeekStart+7*((COLUMN()-COLUMN(rw_UtilOrigin)-1)-1))</f>
        <v>163</v>
      </c>
      <c r="AB66" s="72" t="n">
        <f aca="false">(ResourceWeekStart+7*((COLUMN()-COLUMN(rw_UtilOrigin)-1)-1))</f>
        <v>170</v>
      </c>
      <c r="AC66" s="72" t="n">
        <f aca="false">(ResourceWeekStart+7*((COLUMN()-COLUMN(rw_UtilOrigin)-1)-1))</f>
        <v>177</v>
      </c>
    </row>
    <row r="67" customFormat="false" ht="15" hidden="false" customHeight="false" outlineLevel="0" collapsed="false">
      <c r="B67" s="73" t="s">
        <v>274</v>
      </c>
      <c r="D67" s="74" t="n">
        <f aca="false">NETWORKDAYS.INTL((ResourceWeekStart+7*((COLUMN()-COLUMN(rw_UtilOrigin)-1)-1)),(ResourceWeekStart+7*((COLUMN()-COLUMN(rw_UtilOrigin)-1)-1))+6,WorkWeek,Holidays)</f>
        <v>5</v>
      </c>
      <c r="E67" s="74" t="n">
        <f aca="false">NETWORKDAYS.INTL((ResourceWeekStart+7*((COLUMN()-COLUMN(rw_UtilOrigin)-1)-1)),(ResourceWeekStart+7*((COLUMN()-COLUMN(rw_UtilOrigin)-1)-1))+6,WorkWeek,Holidays)</f>
        <v>5</v>
      </c>
      <c r="F67" s="74" t="n">
        <f aca="false">NETWORKDAYS.INTL((ResourceWeekStart+7*((COLUMN()-COLUMN(rw_UtilOrigin)-1)-1)),(ResourceWeekStart+7*((COLUMN()-COLUMN(rw_UtilOrigin)-1)-1))+6,WorkWeek,Holidays)</f>
        <v>5</v>
      </c>
      <c r="G67" s="74" t="n">
        <f aca="false">NETWORKDAYS.INTL((ResourceWeekStart+7*((COLUMN()-COLUMN(rw_UtilOrigin)-1)-1)),(ResourceWeekStart+7*((COLUMN()-COLUMN(rw_UtilOrigin)-1)-1))+6,WorkWeek,Holidays)</f>
        <v>5</v>
      </c>
      <c r="H67" s="74" t="n">
        <f aca="false">NETWORKDAYS.INTL((ResourceWeekStart+7*((COLUMN()-COLUMN(rw_UtilOrigin)-1)-1)),(ResourceWeekStart+7*((COLUMN()-COLUMN(rw_UtilOrigin)-1)-1))+6,WorkWeek,Holidays)</f>
        <v>5</v>
      </c>
      <c r="I67" s="74" t="n">
        <f aca="false">NETWORKDAYS.INTL((ResourceWeekStart+7*((COLUMN()-COLUMN(rw_UtilOrigin)-1)-1)),(ResourceWeekStart+7*((COLUMN()-COLUMN(rw_UtilOrigin)-1)-1))+6,WorkWeek,Holidays)</f>
        <v>5</v>
      </c>
      <c r="J67" s="74" t="n">
        <f aca="false">NETWORKDAYS.INTL((ResourceWeekStart+7*((COLUMN()-COLUMN(rw_UtilOrigin)-1)-1)),(ResourceWeekStart+7*((COLUMN()-COLUMN(rw_UtilOrigin)-1)-1))+6,WorkWeek,Holidays)</f>
        <v>5</v>
      </c>
      <c r="K67" s="74" t="n">
        <f aca="false">NETWORKDAYS.INTL((ResourceWeekStart+7*((COLUMN()-COLUMN(rw_UtilOrigin)-1)-1)),(ResourceWeekStart+7*((COLUMN()-COLUMN(rw_UtilOrigin)-1)-1))+6,WorkWeek,Holidays)</f>
        <v>5</v>
      </c>
      <c r="L67" s="74" t="n">
        <f aca="false">NETWORKDAYS.INTL((ResourceWeekStart+7*((COLUMN()-COLUMN(rw_UtilOrigin)-1)-1)),(ResourceWeekStart+7*((COLUMN()-COLUMN(rw_UtilOrigin)-1)-1))+6,WorkWeek,Holidays)</f>
        <v>5</v>
      </c>
      <c r="M67" s="74" t="n">
        <f aca="false">NETWORKDAYS.INTL((ResourceWeekStart+7*((COLUMN()-COLUMN(rw_UtilOrigin)-1)-1)),(ResourceWeekStart+7*((COLUMN()-COLUMN(rw_UtilOrigin)-1)-1))+6,WorkWeek,Holidays)</f>
        <v>5</v>
      </c>
      <c r="N67" s="74" t="n">
        <f aca="false">NETWORKDAYS.INTL((ResourceWeekStart+7*((COLUMN()-COLUMN(rw_UtilOrigin)-1)-1)),(ResourceWeekStart+7*((COLUMN()-COLUMN(rw_UtilOrigin)-1)-1))+6,WorkWeek,Holidays)</f>
        <v>5</v>
      </c>
      <c r="O67" s="74" t="n">
        <f aca="false">NETWORKDAYS.INTL((ResourceWeekStart+7*((COLUMN()-COLUMN(rw_UtilOrigin)-1)-1)),(ResourceWeekStart+7*((COLUMN()-COLUMN(rw_UtilOrigin)-1)-1))+6,WorkWeek,Holidays)</f>
        <v>5</v>
      </c>
      <c r="P67" s="74" t="n">
        <f aca="false">NETWORKDAYS.INTL((ResourceWeekStart+7*((COLUMN()-COLUMN(rw_UtilOrigin)-1)-1)),(ResourceWeekStart+7*((COLUMN()-COLUMN(rw_UtilOrigin)-1)-1))+6,WorkWeek,Holidays)</f>
        <v>5</v>
      </c>
      <c r="Q67" s="74" t="n">
        <f aca="false">NETWORKDAYS.INTL((ResourceWeekStart+7*((COLUMN()-COLUMN(rw_UtilOrigin)-1)-1)),(ResourceWeekStart+7*((COLUMN()-COLUMN(rw_UtilOrigin)-1)-1))+6,WorkWeek,Holidays)</f>
        <v>5</v>
      </c>
      <c r="R67" s="74" t="n">
        <f aca="false">NETWORKDAYS.INTL((ResourceWeekStart+7*((COLUMN()-COLUMN(rw_UtilOrigin)-1)-1)),(ResourceWeekStart+7*((COLUMN()-COLUMN(rw_UtilOrigin)-1)-1))+6,WorkWeek,Holidays)</f>
        <v>5</v>
      </c>
      <c r="S67" s="74" t="n">
        <f aca="false">NETWORKDAYS.INTL((ResourceWeekStart+7*((COLUMN()-COLUMN(rw_UtilOrigin)-1)-1)),(ResourceWeekStart+7*((COLUMN()-COLUMN(rw_UtilOrigin)-1)-1))+6,WorkWeek,Holidays)</f>
        <v>5</v>
      </c>
      <c r="T67" s="74" t="n">
        <f aca="false">NETWORKDAYS.INTL((ResourceWeekStart+7*((COLUMN()-COLUMN(rw_UtilOrigin)-1)-1)),(ResourceWeekStart+7*((COLUMN()-COLUMN(rw_UtilOrigin)-1)-1))+6,WorkWeek,Holidays)</f>
        <v>5</v>
      </c>
      <c r="U67" s="74" t="n">
        <f aca="false">NETWORKDAYS.INTL((ResourceWeekStart+7*((COLUMN()-COLUMN(rw_UtilOrigin)-1)-1)),(ResourceWeekStart+7*((COLUMN()-COLUMN(rw_UtilOrigin)-1)-1))+6,WorkWeek,Holidays)</f>
        <v>5</v>
      </c>
      <c r="V67" s="74" t="n">
        <f aca="false">NETWORKDAYS.INTL((ResourceWeekStart+7*((COLUMN()-COLUMN(rw_UtilOrigin)-1)-1)),(ResourceWeekStart+7*((COLUMN()-COLUMN(rw_UtilOrigin)-1)-1))+6,WorkWeek,Holidays)</f>
        <v>5</v>
      </c>
      <c r="W67" s="74" t="n">
        <f aca="false">NETWORKDAYS.INTL((ResourceWeekStart+7*((COLUMN()-COLUMN(rw_UtilOrigin)-1)-1)),(ResourceWeekStart+7*((COLUMN()-COLUMN(rw_UtilOrigin)-1)-1))+6,WorkWeek,Holidays)</f>
        <v>5</v>
      </c>
      <c r="X67" s="74" t="n">
        <f aca="false">NETWORKDAYS.INTL((ResourceWeekStart+7*((COLUMN()-COLUMN(rw_UtilOrigin)-1)-1)),(ResourceWeekStart+7*((COLUMN()-COLUMN(rw_UtilOrigin)-1)-1))+6,WorkWeek,Holidays)</f>
        <v>5</v>
      </c>
      <c r="Y67" s="74" t="n">
        <f aca="false">NETWORKDAYS.INTL((ResourceWeekStart+7*((COLUMN()-COLUMN(rw_UtilOrigin)-1)-1)),(ResourceWeekStart+7*((COLUMN()-COLUMN(rw_UtilOrigin)-1)-1))+6,WorkWeek,Holidays)</f>
        <v>5</v>
      </c>
      <c r="Z67" s="74" t="n">
        <f aca="false">NETWORKDAYS.INTL((ResourceWeekStart+7*((COLUMN()-COLUMN(rw_UtilOrigin)-1)-1)),(ResourceWeekStart+7*((COLUMN()-COLUMN(rw_UtilOrigin)-1)-1))+6,WorkWeek,Holidays)</f>
        <v>5</v>
      </c>
      <c r="AA67" s="74" t="n">
        <f aca="false">NETWORKDAYS.INTL((ResourceWeekStart+7*((COLUMN()-COLUMN(rw_UtilOrigin)-1)-1)),(ResourceWeekStart+7*((COLUMN()-COLUMN(rw_UtilOrigin)-1)-1))+6,WorkWeek,Holidays)</f>
        <v>5</v>
      </c>
      <c r="AB67" s="74" t="n">
        <f aca="false">NETWORKDAYS.INTL((ResourceWeekStart+7*((COLUMN()-COLUMN(rw_UtilOrigin)-1)-1)),(ResourceWeekStart+7*((COLUMN()-COLUMN(rw_UtilOrigin)-1)-1))+6,WorkWeek,Holidays)</f>
        <v>5</v>
      </c>
      <c r="AC67" s="74" t="n">
        <f aca="false">NETWORKDAYS.INTL((ResourceWeekStart+7*((COLUMN()-COLUMN(rw_UtilOrigin)-1)-1)),(ResourceWeekStart+7*((COLUMN()-COLUMN(rw_UtilOrigin)-1)-1))+6,WorkWeek,Holidays)</f>
        <v>5</v>
      </c>
    </row>
    <row r="68" customFormat="false" ht="15" hidden="false" customHeight="false" outlineLevel="0" collapsed="false">
      <c r="B68" s="5" t="str">
        <f aca="false">IFERROR(INDEX(res_Name,(ROW()-ROW(rw_UtilOrigin)-1))&amp;"","")</f>
        <v/>
      </c>
      <c r="C68" s="75" t="str">
        <f aca="false">IFERROR(IF(INDEX(res_Name,(ROW()-ROW(rw_UtilOrigin)-1))="","",INDEX(res_MaxUnits,(ROW()-ROW(rw_UtilOrigin)-1))),"")</f>
        <v/>
      </c>
      <c r="D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69" customFormat="false" ht="15" hidden="false" customHeight="false" outlineLevel="0" collapsed="false">
      <c r="B69" s="5" t="str">
        <f aca="false">IFERROR(INDEX(res_Name,(ROW()-ROW(rw_UtilOrigin)-1))&amp;"","")</f>
        <v/>
      </c>
      <c r="C69" s="75" t="str">
        <f aca="false">IFERROR(IF(INDEX(res_Name,(ROW()-ROW(rw_UtilOrigin)-1))="","",INDEX(res_MaxUnits,(ROW()-ROW(rw_UtilOrigin)-1))),"")</f>
        <v/>
      </c>
      <c r="D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0" customFormat="false" ht="15" hidden="false" customHeight="false" outlineLevel="0" collapsed="false">
      <c r="B70" s="5" t="str">
        <f aca="false">IFERROR(INDEX(res_Name,(ROW()-ROW(rw_UtilOrigin)-1))&amp;"","")</f>
        <v/>
      </c>
      <c r="C70" s="75" t="str">
        <f aca="false">IFERROR(IF(INDEX(res_Name,(ROW()-ROW(rw_UtilOrigin)-1))="","",INDEX(res_MaxUnits,(ROW()-ROW(rw_UtilOrigin)-1))),"")</f>
        <v/>
      </c>
      <c r="D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1" customFormat="false" ht="15" hidden="false" customHeight="false" outlineLevel="0" collapsed="false">
      <c r="B71" s="5" t="str">
        <f aca="false">IFERROR(INDEX(res_Name,(ROW()-ROW(rw_UtilOrigin)-1))&amp;"","")</f>
        <v/>
      </c>
      <c r="C71" s="75" t="str">
        <f aca="false">IFERROR(IF(INDEX(res_Name,(ROW()-ROW(rw_UtilOrigin)-1))="","",INDEX(res_MaxUnits,(ROW()-ROW(rw_UtilOrigin)-1))),"")</f>
        <v/>
      </c>
      <c r="D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2" customFormat="false" ht="15" hidden="false" customHeight="false" outlineLevel="0" collapsed="false">
      <c r="B72" s="5" t="str">
        <f aca="false">IFERROR(INDEX(res_Name,(ROW()-ROW(rw_UtilOrigin)-1))&amp;"","")</f>
        <v/>
      </c>
      <c r="C72" s="75" t="str">
        <f aca="false">IFERROR(IF(INDEX(res_Name,(ROW()-ROW(rw_UtilOrigin)-1))="","",INDEX(res_MaxUnits,(ROW()-ROW(rw_UtilOrigin)-1))),"")</f>
        <v/>
      </c>
      <c r="D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3" customFormat="false" ht="15" hidden="false" customHeight="false" outlineLevel="0" collapsed="false">
      <c r="B73" s="5" t="str">
        <f aca="false">IFERROR(INDEX(res_Name,(ROW()-ROW(rw_UtilOrigin)-1))&amp;"","")</f>
        <v/>
      </c>
      <c r="C73" s="75" t="str">
        <f aca="false">IFERROR(IF(INDEX(res_Name,(ROW()-ROW(rw_UtilOrigin)-1))="","",INDEX(res_MaxUnits,(ROW()-ROW(rw_UtilOrigin)-1))),"")</f>
        <v/>
      </c>
      <c r="D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4" customFormat="false" ht="15" hidden="false" customHeight="false" outlineLevel="0" collapsed="false">
      <c r="B74" s="5" t="str">
        <f aca="false">IFERROR(INDEX(res_Name,(ROW()-ROW(rw_UtilOrigin)-1))&amp;"","")</f>
        <v/>
      </c>
      <c r="C74" s="75" t="str">
        <f aca="false">IFERROR(IF(INDEX(res_Name,(ROW()-ROW(rw_UtilOrigin)-1))="","",INDEX(res_MaxUnits,(ROW()-ROW(rw_UtilOrigin)-1))),"")</f>
        <v/>
      </c>
      <c r="D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5" customFormat="false" ht="15" hidden="false" customHeight="false" outlineLevel="0" collapsed="false">
      <c r="B75" s="5" t="str">
        <f aca="false">IFERROR(INDEX(res_Name,(ROW()-ROW(rw_UtilOrigin)-1))&amp;"","")</f>
        <v/>
      </c>
      <c r="C75" s="75" t="str">
        <f aca="false">IFERROR(IF(INDEX(res_Name,(ROW()-ROW(rw_UtilOrigin)-1))="","",INDEX(res_MaxUnits,(ROW()-ROW(rw_UtilOrigin)-1))),"")</f>
        <v/>
      </c>
      <c r="D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5" t="str">
        <f aca="false">IFERROR(INDEX(res_Name,(ROW()-ROW(rw_UtilOrigin)-1))&amp;"","")</f>
        <v/>
      </c>
      <c r="C76" s="75" t="str">
        <f aca="false">IFERROR(IF(INDEX(res_Name,(ROW()-ROW(rw_UtilOrigin)-1))="","",INDEX(res_MaxUnits,(ROW()-ROW(rw_UtilOrigin)-1))),"")</f>
        <v/>
      </c>
      <c r="D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5" t="str">
        <f aca="false">IFERROR(INDEX(res_Name,(ROW()-ROW(rw_UtilOrigin)-1))&amp;"","")</f>
        <v/>
      </c>
      <c r="C77" s="75" t="str">
        <f aca="false">IFERROR(IF(INDEX(res_Name,(ROW()-ROW(rw_UtilOrigin)-1))="","",INDEX(res_MaxUnits,(ROW()-ROW(rw_UtilOrigin)-1))),"")</f>
        <v/>
      </c>
      <c r="D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5" t="str">
        <f aca="false">IFERROR(INDEX(res_Name,(ROW()-ROW(rw_UtilOrigin)-1))&amp;"","")</f>
        <v/>
      </c>
      <c r="C78" s="75" t="str">
        <f aca="false">IFERROR(IF(INDEX(res_Name,(ROW()-ROW(rw_UtilOrigin)-1))="","",INDEX(res_MaxUnits,(ROW()-ROW(rw_UtilOrigin)-1))),"")</f>
        <v/>
      </c>
      <c r="D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5" t="str">
        <f aca="false">IFERROR(INDEX(res_Name,(ROW()-ROW(rw_UtilOrigin)-1))&amp;"","")</f>
        <v/>
      </c>
      <c r="C79" s="75" t="str">
        <f aca="false">IFERROR(IF(INDEX(res_Name,(ROW()-ROW(rw_UtilOrigin)-1))="","",INDEX(res_MaxUnits,(ROW()-ROW(rw_UtilOrigin)-1))),"")</f>
        <v/>
      </c>
      <c r="D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5" t="str">
        <f aca="false">IFERROR(INDEX(res_Name,(ROW()-ROW(rw_UtilOrigin)-1))&amp;"","")</f>
        <v/>
      </c>
      <c r="C80" s="75" t="str">
        <f aca="false">IFERROR(IF(INDEX(res_Name,(ROW()-ROW(rw_UtilOrigin)-1))="","",INDEX(res_MaxUnits,(ROW()-ROW(rw_UtilOrigin)-1))),"")</f>
        <v/>
      </c>
      <c r="D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5" t="str">
        <f aca="false">IFERROR(INDEX(res_Name,(ROW()-ROW(rw_UtilOrigin)-1))&amp;"","")</f>
        <v/>
      </c>
      <c r="C81" s="75" t="str">
        <f aca="false">IFERROR(IF(INDEX(res_Name,(ROW()-ROW(rw_UtilOrigin)-1))="","",INDEX(res_MaxUnits,(ROW()-ROW(rw_UtilOrigin)-1))),"")</f>
        <v/>
      </c>
      <c r="D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5" t="str">
        <f aca="false">IFERROR(INDEX(res_Name,(ROW()-ROW(rw_UtilOrigin)-1))&amp;"","")</f>
        <v/>
      </c>
      <c r="C82" s="75" t="str">
        <f aca="false">IFERROR(IF(INDEX(res_Name,(ROW()-ROW(rw_UtilOrigin)-1))="","",INDEX(res_MaxUnits,(ROW()-ROW(rw_UtilOrigin)-1))),"")</f>
        <v/>
      </c>
      <c r="D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5" t="str">
        <f aca="false">IFERROR(INDEX(res_Name,(ROW()-ROW(rw_UtilOrigin)-1))&amp;"","")</f>
        <v/>
      </c>
      <c r="C83" s="75" t="str">
        <f aca="false">IFERROR(IF(INDEX(res_Name,(ROW()-ROW(rw_UtilOrigin)-1))="","",INDEX(res_MaxUnits,(ROW()-ROW(rw_UtilOrigin)-1))),"")</f>
        <v/>
      </c>
      <c r="D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5" t="str">
        <f aca="false">IFERROR(INDEX(res_Name,(ROW()-ROW(rw_UtilOrigin)-1))&amp;"","")</f>
        <v/>
      </c>
      <c r="C84" s="75" t="str">
        <f aca="false">IFERROR(IF(INDEX(res_Name,(ROW()-ROW(rw_UtilOrigin)-1))="","",INDEX(res_MaxUnits,(ROW()-ROW(rw_UtilOrigin)-1))),"")</f>
        <v/>
      </c>
      <c r="D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5" t="str">
        <f aca="false">IFERROR(INDEX(res_Name,(ROW()-ROW(rw_UtilOrigin)-1))&amp;"","")</f>
        <v/>
      </c>
      <c r="C85" s="75" t="str">
        <f aca="false">IFERROR(IF(INDEX(res_Name,(ROW()-ROW(rw_UtilOrigin)-1))="","",INDEX(res_MaxUnits,(ROW()-ROW(rw_UtilOrigin)-1))),"")</f>
        <v/>
      </c>
      <c r="D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5" t="str">
        <f aca="false">IFERROR(INDEX(res_Name,(ROW()-ROW(rw_UtilOrigin)-1))&amp;"","")</f>
        <v/>
      </c>
      <c r="C86" s="75" t="str">
        <f aca="false">IFERROR(IF(INDEX(res_Name,(ROW()-ROW(rw_UtilOrigin)-1))="","",INDEX(res_MaxUnits,(ROW()-ROW(rw_UtilOrigin)-1))),"")</f>
        <v/>
      </c>
      <c r="D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5" t="str">
        <f aca="false">IFERROR(INDEX(res_Name,(ROW()-ROW(rw_UtilOrigin)-1))&amp;"","")</f>
        <v/>
      </c>
      <c r="C87" s="75" t="str">
        <f aca="false">IFERROR(IF(INDEX(res_Name,(ROW()-ROW(rw_UtilOrigin)-1))="","",INDEX(res_MaxUnits,(ROW()-ROW(rw_UtilOrigin)-1))),"")</f>
        <v/>
      </c>
      <c r="D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5" t="str">
        <f aca="false">IFERROR(INDEX(res_Name,(ROW()-ROW(rw_UtilOrigin)-1))&amp;"","")</f>
        <v/>
      </c>
      <c r="C88" s="75" t="str">
        <f aca="false">IFERROR(IF(INDEX(res_Name,(ROW()-ROW(rw_UtilOrigin)-1))="","",INDEX(res_MaxUnits,(ROW()-ROW(rw_UtilOrigin)-1))),"")</f>
        <v/>
      </c>
      <c r="D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5" t="str">
        <f aca="false">IFERROR(INDEX(res_Name,(ROW()-ROW(rw_UtilOrigin)-1))&amp;"","")</f>
        <v/>
      </c>
      <c r="C89" s="75" t="str">
        <f aca="false">IFERROR(IF(INDEX(res_Name,(ROW()-ROW(rw_UtilOrigin)-1))="","",INDEX(res_MaxUnits,(ROW()-ROW(rw_UtilOrigin)-1))),"")</f>
        <v/>
      </c>
      <c r="D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5" t="str">
        <f aca="false">IFERROR(INDEX(res_Name,(ROW()-ROW(rw_UtilOrigin)-1))&amp;"","")</f>
        <v/>
      </c>
      <c r="C90" s="75" t="str">
        <f aca="false">IFERROR(IF(INDEX(res_Name,(ROW()-ROW(rw_UtilOrigin)-1))="","",INDEX(res_MaxUnits,(ROW()-ROW(rw_UtilOrigin)-1))),"")</f>
        <v/>
      </c>
      <c r="D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5" t="str">
        <f aca="false">IFERROR(INDEX(res_Name,(ROW()-ROW(rw_UtilOrigin)-1))&amp;"","")</f>
        <v/>
      </c>
      <c r="C91" s="75" t="str">
        <f aca="false">IFERROR(IF(INDEX(res_Name,(ROW()-ROW(rw_UtilOrigin)-1))="","",INDEX(res_MaxUnits,(ROW()-ROW(rw_UtilOrigin)-1))),"")</f>
        <v/>
      </c>
      <c r="D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5" t="str">
        <f aca="false">IFERROR(INDEX(res_Name,(ROW()-ROW(rw_UtilOrigin)-1))&amp;"","")</f>
        <v/>
      </c>
      <c r="C92" s="75" t="str">
        <f aca="false">IFERROR(IF(INDEX(res_Name,(ROW()-ROW(rw_UtilOrigin)-1))="","",INDEX(res_MaxUnits,(ROW()-ROW(rw_UtilOrigin)-1))),"")</f>
        <v/>
      </c>
      <c r="D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78"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71" t="s">
        <v>278</v>
      </c>
    </row>
    <row r="96" customFormat="false" ht="23.85" hidden="false" customHeight="false" outlineLevel="0" collapsed="false">
      <c r="B96" s="15" t="s">
        <v>255</v>
      </c>
      <c r="C96" s="37" t="s">
        <v>279</v>
      </c>
      <c r="D96" s="72" t="n">
        <f aca="false">(ResourceWeekStart+7*((COLUMN()-COLUMN(rw_LeaveOrigin)-1)-1))</f>
        <v>2</v>
      </c>
      <c r="E96" s="72" t="n">
        <f aca="false">(ResourceWeekStart+7*((COLUMN()-COLUMN(rw_LeaveOrigin)-1)-1))</f>
        <v>9</v>
      </c>
      <c r="F96" s="72" t="n">
        <f aca="false">(ResourceWeekStart+7*((COLUMN()-COLUMN(rw_LeaveOrigin)-1)-1))</f>
        <v>16</v>
      </c>
      <c r="G96" s="72" t="n">
        <f aca="false">(ResourceWeekStart+7*((COLUMN()-COLUMN(rw_LeaveOrigin)-1)-1))</f>
        <v>23</v>
      </c>
      <c r="H96" s="72" t="n">
        <f aca="false">(ResourceWeekStart+7*((COLUMN()-COLUMN(rw_LeaveOrigin)-1)-1))</f>
        <v>30</v>
      </c>
      <c r="I96" s="72" t="n">
        <f aca="false">(ResourceWeekStart+7*((COLUMN()-COLUMN(rw_LeaveOrigin)-1)-1))</f>
        <v>37</v>
      </c>
      <c r="J96" s="72" t="n">
        <f aca="false">(ResourceWeekStart+7*((COLUMN()-COLUMN(rw_LeaveOrigin)-1)-1))</f>
        <v>44</v>
      </c>
      <c r="K96" s="72" t="n">
        <f aca="false">(ResourceWeekStart+7*((COLUMN()-COLUMN(rw_LeaveOrigin)-1)-1))</f>
        <v>51</v>
      </c>
      <c r="L96" s="72" t="n">
        <f aca="false">(ResourceWeekStart+7*((COLUMN()-COLUMN(rw_LeaveOrigin)-1)-1))</f>
        <v>58</v>
      </c>
      <c r="M96" s="72" t="n">
        <f aca="false">(ResourceWeekStart+7*((COLUMN()-COLUMN(rw_LeaveOrigin)-1)-1))</f>
        <v>65</v>
      </c>
      <c r="N96" s="72" t="n">
        <f aca="false">(ResourceWeekStart+7*((COLUMN()-COLUMN(rw_LeaveOrigin)-1)-1))</f>
        <v>72</v>
      </c>
      <c r="O96" s="72" t="n">
        <f aca="false">(ResourceWeekStart+7*((COLUMN()-COLUMN(rw_LeaveOrigin)-1)-1))</f>
        <v>79</v>
      </c>
      <c r="P96" s="72" t="n">
        <f aca="false">(ResourceWeekStart+7*((COLUMN()-COLUMN(rw_LeaveOrigin)-1)-1))</f>
        <v>86</v>
      </c>
      <c r="Q96" s="72" t="n">
        <f aca="false">(ResourceWeekStart+7*((COLUMN()-COLUMN(rw_LeaveOrigin)-1)-1))</f>
        <v>93</v>
      </c>
      <c r="R96" s="72" t="n">
        <f aca="false">(ResourceWeekStart+7*((COLUMN()-COLUMN(rw_LeaveOrigin)-1)-1))</f>
        <v>100</v>
      </c>
      <c r="S96" s="72" t="n">
        <f aca="false">(ResourceWeekStart+7*((COLUMN()-COLUMN(rw_LeaveOrigin)-1)-1))</f>
        <v>107</v>
      </c>
      <c r="T96" s="72" t="n">
        <f aca="false">(ResourceWeekStart+7*((COLUMN()-COLUMN(rw_LeaveOrigin)-1)-1))</f>
        <v>114</v>
      </c>
      <c r="U96" s="72" t="n">
        <f aca="false">(ResourceWeekStart+7*((COLUMN()-COLUMN(rw_LeaveOrigin)-1)-1))</f>
        <v>121</v>
      </c>
      <c r="V96" s="72" t="n">
        <f aca="false">(ResourceWeekStart+7*((COLUMN()-COLUMN(rw_LeaveOrigin)-1)-1))</f>
        <v>128</v>
      </c>
      <c r="W96" s="72" t="n">
        <f aca="false">(ResourceWeekStart+7*((COLUMN()-COLUMN(rw_LeaveOrigin)-1)-1))</f>
        <v>135</v>
      </c>
      <c r="X96" s="72" t="n">
        <f aca="false">(ResourceWeekStart+7*((COLUMN()-COLUMN(rw_LeaveOrigin)-1)-1))</f>
        <v>142</v>
      </c>
      <c r="Y96" s="72" t="n">
        <f aca="false">(ResourceWeekStart+7*((COLUMN()-COLUMN(rw_LeaveOrigin)-1)-1))</f>
        <v>149</v>
      </c>
      <c r="Z96" s="72" t="n">
        <f aca="false">(ResourceWeekStart+7*((COLUMN()-COLUMN(rw_LeaveOrigin)-1)-1))</f>
        <v>156</v>
      </c>
      <c r="AA96" s="72" t="n">
        <f aca="false">(ResourceWeekStart+7*((COLUMN()-COLUMN(rw_LeaveOrigin)-1)-1))</f>
        <v>163</v>
      </c>
      <c r="AB96" s="72" t="n">
        <f aca="false">(ResourceWeekStart+7*((COLUMN()-COLUMN(rw_LeaveOrigin)-1)-1))</f>
        <v>170</v>
      </c>
      <c r="AC96" s="72" t="n">
        <f aca="false">(ResourceWeekStart+7*((COLUMN()-COLUMN(rw_LeaveOrigin)-1)-1))</f>
        <v>177</v>
      </c>
    </row>
    <row r="97" customFormat="false" ht="15" hidden="false" customHeight="false" outlineLevel="0" collapsed="false">
      <c r="B97" s="79" t="s">
        <v>280</v>
      </c>
      <c r="D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E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F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G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H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I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J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K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L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M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N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O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P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Q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R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S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T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U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V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W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X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Y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Z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A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B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C97" s="80"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row>
    <row r="98" customFormat="false" ht="15" hidden="false" customHeight="false" outlineLevel="0" collapsed="false">
      <c r="B98" s="79" t="s">
        <v>281</v>
      </c>
      <c r="D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E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F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G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H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I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J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K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L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M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N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O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P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Q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R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S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T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U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V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W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X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Y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Z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A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B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C98" s="80"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row>
    <row r="99" customFormat="false" ht="15" hidden="false" customHeight="false" outlineLevel="0" collapsed="false">
      <c r="B99" s="5" t="str">
        <f aca="false">IFERROR(INDEX(res_Name,(ROW()-ROW(rw_LeaveOrigin)-2))&amp;"","")</f>
        <v/>
      </c>
      <c r="C99" s="80" t="n">
        <f aca="false">IFERROR(IF(INDEX(res_Name,(ROW()-ROW(rw_LeaveOrigin)-2))="",0,IFERROR(MATCH(INDEX(res_Name,(ROW()-ROW(rw_LeaveOrigin)-2)),LeaveTable[Resource],0),0)),0)</f>
        <v>0</v>
      </c>
      <c r="D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5" t="str">
        <f aca="false">IFERROR(INDEX(res_Name,(ROW()-ROW(rw_LeaveOrigin)-2))&amp;"","")</f>
        <v/>
      </c>
      <c r="C100" s="80" t="n">
        <f aca="false">IFERROR(IF(INDEX(res_Name,(ROW()-ROW(rw_LeaveOrigin)-2))="",0,IFERROR(MATCH(INDEX(res_Name,(ROW()-ROW(rw_LeaveOrigin)-2)),LeaveTable[Resource],0),0)),0)</f>
        <v>0</v>
      </c>
      <c r="D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5" t="str">
        <f aca="false">IFERROR(INDEX(res_Name,(ROW()-ROW(rw_LeaveOrigin)-2))&amp;"","")</f>
        <v/>
      </c>
      <c r="C101" s="80" t="n">
        <f aca="false">IFERROR(IF(INDEX(res_Name,(ROW()-ROW(rw_LeaveOrigin)-2))="",0,IFERROR(MATCH(INDEX(res_Name,(ROW()-ROW(rw_LeaveOrigin)-2)),LeaveTable[Resource],0),0)),0)</f>
        <v>0</v>
      </c>
      <c r="D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5" t="str">
        <f aca="false">IFERROR(INDEX(res_Name,(ROW()-ROW(rw_LeaveOrigin)-2))&amp;"","")</f>
        <v/>
      </c>
      <c r="C102" s="80" t="n">
        <f aca="false">IFERROR(IF(INDEX(res_Name,(ROW()-ROW(rw_LeaveOrigin)-2))="",0,IFERROR(MATCH(INDEX(res_Name,(ROW()-ROW(rw_LeaveOrigin)-2)),LeaveTable[Resource],0),0)),0)</f>
        <v>0</v>
      </c>
      <c r="D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5" t="str">
        <f aca="false">IFERROR(INDEX(res_Name,(ROW()-ROW(rw_LeaveOrigin)-2))&amp;"","")</f>
        <v/>
      </c>
      <c r="C103" s="80" t="n">
        <f aca="false">IFERROR(IF(INDEX(res_Name,(ROW()-ROW(rw_LeaveOrigin)-2))="",0,IFERROR(MATCH(INDEX(res_Name,(ROW()-ROW(rw_LeaveOrigin)-2)),LeaveTable[Resource],0),0)),0)</f>
        <v>0</v>
      </c>
      <c r="D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5" t="str">
        <f aca="false">IFERROR(INDEX(res_Name,(ROW()-ROW(rw_LeaveOrigin)-2))&amp;"","")</f>
        <v/>
      </c>
      <c r="C104" s="80" t="n">
        <f aca="false">IFERROR(IF(INDEX(res_Name,(ROW()-ROW(rw_LeaveOrigin)-2))="",0,IFERROR(MATCH(INDEX(res_Name,(ROW()-ROW(rw_LeaveOrigin)-2)),LeaveTable[Resource],0),0)),0)</f>
        <v>0</v>
      </c>
      <c r="D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5" t="str">
        <f aca="false">IFERROR(INDEX(res_Name,(ROW()-ROW(rw_LeaveOrigin)-2))&amp;"","")</f>
        <v/>
      </c>
      <c r="C105" s="80" t="n">
        <f aca="false">IFERROR(IF(INDEX(res_Name,(ROW()-ROW(rw_LeaveOrigin)-2))="",0,IFERROR(MATCH(INDEX(res_Name,(ROW()-ROW(rw_LeaveOrigin)-2)),LeaveTable[Resource],0),0)),0)</f>
        <v>0</v>
      </c>
      <c r="D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5" t="str">
        <f aca="false">IFERROR(INDEX(res_Name,(ROW()-ROW(rw_LeaveOrigin)-2))&amp;"","")</f>
        <v/>
      </c>
      <c r="C106" s="80" t="n">
        <f aca="false">IFERROR(IF(INDEX(res_Name,(ROW()-ROW(rw_LeaveOrigin)-2))="",0,IFERROR(MATCH(INDEX(res_Name,(ROW()-ROW(rw_LeaveOrigin)-2)),LeaveTable[Resource],0),0)),0)</f>
        <v>0</v>
      </c>
      <c r="D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5" t="str">
        <f aca="false">IFERROR(INDEX(res_Name,(ROW()-ROW(rw_LeaveOrigin)-2))&amp;"","")</f>
        <v/>
      </c>
      <c r="C107" s="80" t="n">
        <f aca="false">IFERROR(IF(INDEX(res_Name,(ROW()-ROW(rw_LeaveOrigin)-2))="",0,IFERROR(MATCH(INDEX(res_Name,(ROW()-ROW(rw_LeaveOrigin)-2)),LeaveTable[Resource],0),0)),0)</f>
        <v>0</v>
      </c>
      <c r="D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5" t="str">
        <f aca="false">IFERROR(INDEX(res_Name,(ROW()-ROW(rw_LeaveOrigin)-2))&amp;"","")</f>
        <v/>
      </c>
      <c r="C108" s="80" t="n">
        <f aca="false">IFERROR(IF(INDEX(res_Name,(ROW()-ROW(rw_LeaveOrigin)-2))="",0,IFERROR(MATCH(INDEX(res_Name,(ROW()-ROW(rw_LeaveOrigin)-2)),LeaveTable[Resource],0),0)),0)</f>
        <v>0</v>
      </c>
      <c r="D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5" t="str">
        <f aca="false">IFERROR(INDEX(res_Name,(ROW()-ROW(rw_LeaveOrigin)-2))&amp;"","")</f>
        <v/>
      </c>
      <c r="C109" s="80" t="n">
        <f aca="false">IFERROR(IF(INDEX(res_Name,(ROW()-ROW(rw_LeaveOrigin)-2))="",0,IFERROR(MATCH(INDEX(res_Name,(ROW()-ROW(rw_LeaveOrigin)-2)),LeaveTable[Resource],0),0)),0)</f>
        <v>0</v>
      </c>
      <c r="D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5" t="str">
        <f aca="false">IFERROR(INDEX(res_Name,(ROW()-ROW(rw_LeaveOrigin)-2))&amp;"","")</f>
        <v/>
      </c>
      <c r="C110" s="80" t="n">
        <f aca="false">IFERROR(IF(INDEX(res_Name,(ROW()-ROW(rw_LeaveOrigin)-2))="",0,IFERROR(MATCH(INDEX(res_Name,(ROW()-ROW(rw_LeaveOrigin)-2)),LeaveTable[Resource],0),0)),0)</f>
        <v>0</v>
      </c>
      <c r="D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5" t="str">
        <f aca="false">IFERROR(INDEX(res_Name,(ROW()-ROW(rw_LeaveOrigin)-2))&amp;"","")</f>
        <v/>
      </c>
      <c r="C111" s="80" t="n">
        <f aca="false">IFERROR(IF(INDEX(res_Name,(ROW()-ROW(rw_LeaveOrigin)-2))="",0,IFERROR(MATCH(INDEX(res_Name,(ROW()-ROW(rw_LeaveOrigin)-2)),LeaveTable[Resource],0),0)),0)</f>
        <v>0</v>
      </c>
      <c r="D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5" t="str">
        <f aca="false">IFERROR(INDEX(res_Name,(ROW()-ROW(rw_LeaveOrigin)-2))&amp;"","")</f>
        <v/>
      </c>
      <c r="C112" s="80" t="n">
        <f aca="false">IFERROR(IF(INDEX(res_Name,(ROW()-ROW(rw_LeaveOrigin)-2))="",0,IFERROR(MATCH(INDEX(res_Name,(ROW()-ROW(rw_LeaveOrigin)-2)),LeaveTable[Resource],0),0)),0)</f>
        <v>0</v>
      </c>
      <c r="D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5" t="str">
        <f aca="false">IFERROR(INDEX(res_Name,(ROW()-ROW(rw_LeaveOrigin)-2))&amp;"","")</f>
        <v/>
      </c>
      <c r="C113" s="80" t="n">
        <f aca="false">IFERROR(IF(INDEX(res_Name,(ROW()-ROW(rw_LeaveOrigin)-2))="",0,IFERROR(MATCH(INDEX(res_Name,(ROW()-ROW(rw_LeaveOrigin)-2)),LeaveTable[Resource],0),0)),0)</f>
        <v>0</v>
      </c>
      <c r="D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5" t="str">
        <f aca="false">IFERROR(INDEX(res_Name,(ROW()-ROW(rw_LeaveOrigin)-2))&amp;"","")</f>
        <v/>
      </c>
      <c r="C114" s="80" t="n">
        <f aca="false">IFERROR(IF(INDEX(res_Name,(ROW()-ROW(rw_LeaveOrigin)-2))="",0,IFERROR(MATCH(INDEX(res_Name,(ROW()-ROW(rw_LeaveOrigin)-2)),LeaveTable[Resource],0),0)),0)</f>
        <v>0</v>
      </c>
      <c r="D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5" t="str">
        <f aca="false">IFERROR(INDEX(res_Name,(ROW()-ROW(rw_LeaveOrigin)-2))&amp;"","")</f>
        <v/>
      </c>
      <c r="C115" s="80" t="n">
        <f aca="false">IFERROR(IF(INDEX(res_Name,(ROW()-ROW(rw_LeaveOrigin)-2))="",0,IFERROR(MATCH(INDEX(res_Name,(ROW()-ROW(rw_LeaveOrigin)-2)),LeaveTable[Resource],0),0)),0)</f>
        <v>0</v>
      </c>
      <c r="D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5" t="str">
        <f aca="false">IFERROR(INDEX(res_Name,(ROW()-ROW(rw_LeaveOrigin)-2))&amp;"","")</f>
        <v/>
      </c>
      <c r="C116" s="80" t="n">
        <f aca="false">IFERROR(IF(INDEX(res_Name,(ROW()-ROW(rw_LeaveOrigin)-2))="",0,IFERROR(MATCH(INDEX(res_Name,(ROW()-ROW(rw_LeaveOrigin)-2)),LeaveTable[Resource],0),0)),0)</f>
        <v>0</v>
      </c>
      <c r="D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5" t="str">
        <f aca="false">IFERROR(INDEX(res_Name,(ROW()-ROW(rw_LeaveOrigin)-2))&amp;"","")</f>
        <v/>
      </c>
      <c r="C117" s="80" t="n">
        <f aca="false">IFERROR(IF(INDEX(res_Name,(ROW()-ROW(rw_LeaveOrigin)-2))="",0,IFERROR(MATCH(INDEX(res_Name,(ROW()-ROW(rw_LeaveOrigin)-2)),LeaveTable[Resource],0),0)),0)</f>
        <v>0</v>
      </c>
      <c r="D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5" t="str">
        <f aca="false">IFERROR(INDEX(res_Name,(ROW()-ROW(rw_LeaveOrigin)-2))&amp;"","")</f>
        <v/>
      </c>
      <c r="C118" s="80" t="n">
        <f aca="false">IFERROR(IF(INDEX(res_Name,(ROW()-ROW(rw_LeaveOrigin)-2))="",0,IFERROR(MATCH(INDEX(res_Name,(ROW()-ROW(rw_LeaveOrigin)-2)),LeaveTable[Resource],0),0)),0)</f>
        <v>0</v>
      </c>
      <c r="D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5" t="str">
        <f aca="false">IFERROR(INDEX(res_Name,(ROW()-ROW(rw_LeaveOrigin)-2))&amp;"","")</f>
        <v/>
      </c>
      <c r="C119" s="80" t="n">
        <f aca="false">IFERROR(IF(INDEX(res_Name,(ROW()-ROW(rw_LeaveOrigin)-2))="",0,IFERROR(MATCH(INDEX(res_Name,(ROW()-ROW(rw_LeaveOrigin)-2)),LeaveTable[Resource],0),0)),0)</f>
        <v>0</v>
      </c>
      <c r="D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5" t="str">
        <f aca="false">IFERROR(INDEX(res_Name,(ROW()-ROW(rw_LeaveOrigin)-2))&amp;"","")</f>
        <v/>
      </c>
      <c r="C120" s="80" t="n">
        <f aca="false">IFERROR(IF(INDEX(res_Name,(ROW()-ROW(rw_LeaveOrigin)-2))="",0,IFERROR(MATCH(INDEX(res_Name,(ROW()-ROW(rw_LeaveOrigin)-2)),LeaveTable[Resource],0),0)),0)</f>
        <v>0</v>
      </c>
      <c r="D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5" t="str">
        <f aca="false">IFERROR(INDEX(res_Name,(ROW()-ROW(rw_LeaveOrigin)-2))&amp;"","")</f>
        <v/>
      </c>
      <c r="C121" s="80" t="n">
        <f aca="false">IFERROR(IF(INDEX(res_Name,(ROW()-ROW(rw_LeaveOrigin)-2))="",0,IFERROR(MATCH(INDEX(res_Name,(ROW()-ROW(rw_LeaveOrigin)-2)),LeaveTable[Resource],0),0)),0)</f>
        <v>0</v>
      </c>
      <c r="D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5" t="str">
        <f aca="false">IFERROR(INDEX(res_Name,(ROW()-ROW(rw_LeaveOrigin)-2))&amp;"","")</f>
        <v/>
      </c>
      <c r="C122" s="80" t="n">
        <f aca="false">IFERROR(IF(INDEX(res_Name,(ROW()-ROW(rw_LeaveOrigin)-2))="",0,IFERROR(MATCH(INDEX(res_Name,(ROW()-ROW(rw_LeaveOrigin)-2)),LeaveTable[Resource],0),0)),0)</f>
        <v>0</v>
      </c>
      <c r="D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5" t="str">
        <f aca="false">IFERROR(INDEX(res_Name,(ROW()-ROW(rw_LeaveOrigin)-2))&amp;"","")</f>
        <v/>
      </c>
      <c r="C123" s="80" t="n">
        <f aca="false">IFERROR(IF(INDEX(res_Name,(ROW()-ROW(rw_LeaveOrigin)-2))="",0,IFERROR(MATCH(INDEX(res_Name,(ROW()-ROW(rw_LeaveOrigin)-2)),LeaveTable[Resource],0),0)),0)</f>
        <v>0</v>
      </c>
      <c r="D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81"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82" t="s">
        <v>282</v>
      </c>
    </row>
    <row r="126" customFormat="false" ht="15" hidden="true" customHeight="false" outlineLevel="0" collapsed="false">
      <c r="D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7" customFormat="false" ht="15" hidden="true" customHeight="false" outlineLevel="0" collapsed="false">
      <c r="D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8" customFormat="false" ht="15" hidden="true" customHeight="false" outlineLevel="0" collapsed="false">
      <c r="D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9" customFormat="false" ht="15" hidden="true" customHeight="false" outlineLevel="0" collapsed="false">
      <c r="D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0" customFormat="false" ht="15" hidden="true" customHeight="false" outlineLevel="0" collapsed="false">
      <c r="D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1" customFormat="false" ht="15" hidden="true" customHeight="false" outlineLevel="0" collapsed="false">
      <c r="D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2" customFormat="false" ht="15" hidden="true" customHeight="false" outlineLevel="0" collapsed="false">
      <c r="D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3" customFormat="false" ht="15" hidden="true" customHeight="false" outlineLevel="0" collapsed="false">
      <c r="D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4" customFormat="false" ht="15" hidden="true" customHeight="false" outlineLevel="0" collapsed="false">
      <c r="D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5" customFormat="false" ht="15" hidden="true" customHeight="false" outlineLevel="0" collapsed="false">
      <c r="D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6" customFormat="false" ht="15" hidden="true" customHeight="false" outlineLevel="0" collapsed="false">
      <c r="D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7" customFormat="false" ht="15" hidden="true" customHeight="false" outlineLevel="0" collapsed="false">
      <c r="D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8" customFormat="false" ht="15" hidden="true" customHeight="false" outlineLevel="0" collapsed="false">
      <c r="D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9" customFormat="false" ht="15" hidden="true" customHeight="false" outlineLevel="0" collapsed="false">
      <c r="D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0" customFormat="false" ht="15" hidden="true" customHeight="false" outlineLevel="0" collapsed="false">
      <c r="D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1" customFormat="false" ht="15" hidden="true" customHeight="false" outlineLevel="0" collapsed="false">
      <c r="D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1"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2" customFormat="false" ht="15" hidden="true" customHeight="false" outlineLevel="0" collapsed="false">
      <c r="D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2"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3" customFormat="false" ht="15" hidden="true" customHeight="false" outlineLevel="0" collapsed="false">
      <c r="D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3"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4" customFormat="false" ht="15" hidden="true" customHeight="false" outlineLevel="0" collapsed="false">
      <c r="D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4"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5" customFormat="false" ht="15" hidden="true" customHeight="false" outlineLevel="0" collapsed="false">
      <c r="D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5"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6" customFormat="false" ht="15" hidden="true" customHeight="false" outlineLevel="0" collapsed="false">
      <c r="D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6"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7" customFormat="false" ht="15" hidden="true" customHeight="false" outlineLevel="0" collapsed="false">
      <c r="D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7"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8" customFormat="false" ht="15" hidden="true" customHeight="false" outlineLevel="0" collapsed="false">
      <c r="D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8"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9" customFormat="false" ht="15" hidden="true" customHeight="false" outlineLevel="0" collapsed="false">
      <c r="D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9"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50" customFormat="false" ht="15" hidden="true" customHeight="false" outlineLevel="0" collapsed="false">
      <c r="D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50" s="83"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sheetData>
  <conditionalFormatting sqref="N6:N30">
    <cfRule type="expression" priority="2" aboveAverage="0" equalAverage="0" bottom="0" percent="0" rank="0" text="" dxfId="16">
      <formula>N(N6)&gt;0</formula>
    </cfRule>
  </conditionalFormatting>
  <conditionalFormatting sqref="M6:M30">
    <cfRule type="expression" priority="3" aboveAverage="0" equalAverage="0" bottom="0" percent="0" rank="0" text="" dxfId="31">
      <formula>AND(ISNUMBER(M6),M6&gt;1)</formula>
    </cfRule>
  </conditionalFormatting>
  <conditionalFormatting sqref="D36:AC60">
    <cfRule type="expression" priority="4" aboveAverage="0" equalAverage="0" bottom="0" percent="0" rank="0" text="" dxfId="16">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32">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32" t="str">
        <f aca="false">ProjectName&amp;"  -  Agile Report"</f>
        <v>New Project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31-Dec-1899   Sprint length 14 days. Per-sprint numbers: Sprints sheet. Enter Story Points (and optionally Planned Sprint) on Tasks.</v>
      </c>
    </row>
    <row r="3" customFormat="false" ht="15" hidden="false" customHeight="false" outlineLevel="0" collapsed="false">
      <c r="C3" s="36" t="s">
        <v>283</v>
      </c>
    </row>
    <row r="4" customFormat="false" ht="15" hidden="false" customHeight="false" outlineLevel="0" collapsed="false">
      <c r="C4" s="15" t="s">
        <v>171</v>
      </c>
      <c r="D4" s="15" t="s">
        <v>119</v>
      </c>
    </row>
    <row r="5" customFormat="false" ht="15" hidden="false" customHeight="false" outlineLevel="0" collapsed="false">
      <c r="C5" s="16" t="s">
        <v>284</v>
      </c>
      <c r="D5" s="84" t="n">
        <f aca="false">TotalPoints</f>
        <v>0</v>
      </c>
    </row>
    <row r="6" customFormat="false" ht="15" hidden="false" customHeight="false" outlineLevel="0" collapsed="false">
      <c r="C6" s="16" t="s">
        <v>285</v>
      </c>
      <c r="D6" s="84" t="n">
        <f aca="false">SUMIFS(tsk_LeafPoints,tsk_DoneDate,"&lt;="&amp;StatusDate)</f>
        <v>0</v>
      </c>
    </row>
    <row r="7" customFormat="false" ht="15" hidden="false" customHeight="false" outlineLevel="0" collapsed="false">
      <c r="C7" s="16" t="s">
        <v>265</v>
      </c>
      <c r="D7" s="84" t="n">
        <f aca="false">agl_Total-agl_Done</f>
        <v>0</v>
      </c>
    </row>
    <row r="8" customFormat="false" ht="15" hidden="false" customHeight="false" outlineLevel="0" collapsed="false">
      <c r="C8" s="16" t="s">
        <v>286</v>
      </c>
      <c r="D8" s="85" t="str">
        <f aca="false">IFERROR(LOOKUP(2,1/(spr_Velocity&lt;&gt;""),spr_Velocity),"")</f>
        <v/>
      </c>
    </row>
    <row r="9" customFormat="false" ht="15" hidden="false" customHeight="false" outlineLevel="0" collapsed="false">
      <c r="C9" s="16" t="s">
        <v>287</v>
      </c>
      <c r="D9" s="57" t="str">
        <f aca="false">IF(N(agl_Velocity)&gt;0,ROUNDUP(agl_Remaining/agl_Velocity,0),"")</f>
        <v/>
      </c>
    </row>
    <row r="10" customFormat="false" ht="15" hidden="false" customHeight="false" outlineLevel="0" collapsed="false">
      <c r="C10" s="16" t="s">
        <v>288</v>
      </c>
      <c r="D10" s="57" t="n">
        <f aca="false">COUNTIF(spr_Status,"Closed")</f>
        <v>0</v>
      </c>
    </row>
    <row r="11" customFormat="false" ht="15" hidden="false" customHeight="false" outlineLevel="0" collapsed="false">
      <c r="C11" s="16" t="s">
        <v>289</v>
      </c>
      <c r="D11" s="86" t="str">
        <f aca="false">IF(agl_SprintsLeft="","",IF(agl_LastClosed+agl_SprintsLeft&lt;=SprintCount,INDEX(spr_Name,agl_LastClosed+agl_SprintsLeft),"after "&amp;INDEX(spr_Name,SprintCount)))</f>
        <v/>
      </c>
    </row>
    <row r="12" customFormat="false" ht="15" hidden="false" customHeight="false" outlineLevel="0" collapsed="false">
      <c r="C12" s="16" t="s">
        <v>290</v>
      </c>
      <c r="D12" s="87" t="str">
        <f aca="false">IF(agl_SprintsLeft="","",IF(agl_LastClosed+agl_SprintsLeft&lt;=SprintCount,INDEX(spr_End,agl_LastClosed+agl_SprintsLeft),""))</f>
        <v/>
      </c>
    </row>
    <row r="13" customFormat="false" ht="15" hidden="false" customHeight="false" outlineLevel="0" collapsed="false">
      <c r="C13" s="16" t="s">
        <v>291</v>
      </c>
      <c r="D13" s="87" t="n">
        <f aca="false">ProjectFinish</f>
        <v>0</v>
      </c>
    </row>
    <row r="14" customFormat="false" ht="15" hidden="false" customHeight="false" outlineLevel="0" collapsed="false">
      <c r="C14" s="16" t="s">
        <v>136</v>
      </c>
      <c r="D14" s="86" t="str">
        <f aca="false">IF(CurrentSprint="","(outside sprint range)",CurrentSprint)</f>
        <v>Sprint 1</v>
      </c>
    </row>
    <row r="15" customFormat="false" ht="15" hidden="false" customHeight="false" outlineLevel="0" collapsed="false">
      <c r="C15" s="16" t="s">
        <v>292</v>
      </c>
      <c r="D15" s="84" t="n">
        <f aca="false">SUMIFS(tsk_LeafPoints,tsk_Sprint,CurrentSprint)</f>
        <v>0</v>
      </c>
    </row>
    <row r="16" customFormat="false" ht="15" hidden="false" customHeight="false" outlineLevel="0" collapsed="false">
      <c r="C16" s="16" t="s">
        <v>293</v>
      </c>
      <c r="D16" s="84" t="n">
        <f aca="false">SUMIFS(tsk_LeafPoints,tsk_Sprint,CurrentSprint,tsk_DoneDate,"&lt;="&amp;StatusDate)</f>
        <v>0</v>
      </c>
    </row>
    <row r="17" customFormat="false" ht="15" hidden="false" customHeight="false" outlineLevel="0" collapsed="false">
      <c r="C17" s="16" t="s">
        <v>294</v>
      </c>
      <c r="D17" s="57"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1): 0</v>
      </c>
    </row>
    <row r="20" customFormat="false" ht="23.85" hidden="false" customHeight="false" outlineLevel="0" collapsed="false">
      <c r="B20" s="37" t="s">
        <v>151</v>
      </c>
      <c r="C20" s="15" t="s">
        <v>227</v>
      </c>
      <c r="D20" s="15" t="s">
        <v>295</v>
      </c>
      <c r="E20" s="15" t="s">
        <v>255</v>
      </c>
      <c r="F20" s="15" t="s">
        <v>247</v>
      </c>
      <c r="G20" s="15" t="s">
        <v>24</v>
      </c>
      <c r="H20" s="15" t="s">
        <v>28</v>
      </c>
    </row>
    <row r="21" customFormat="false" ht="15" hidden="false" customHeight="false" outlineLevel="0" collapsed="false">
      <c r="B21" s="38" t="str">
        <f aca="false">IFERROR(MATCH(SMALL(tsk_CurrentSprintKey,ROW()-ROW(SprintBacklog[[#Headers],[_Task]])),tsk_CurrentSprintKey,0),"")</f>
        <v/>
      </c>
      <c r="C21" s="30" t="str">
        <f aca="false">IF(SprintBacklog[[#This Row],[_Task]]="","",INDEX(tsk_Name,SprintBacklog[[#This Row],[_Task]])&amp;"")</f>
        <v/>
      </c>
      <c r="D21" s="88" t="str">
        <f aca="false">IF(SprintBacklog[[#This Row],[_Task]]="","",INDEX(tsk_StoryPoints,SprintBacklog[[#This Row],[_Task]]))</f>
        <v/>
      </c>
      <c r="E21" s="30" t="str">
        <f aca="false">IF(SprintBacklog[[#This Row],[_Task]]="","",INDEX(tsk_ResourceNames,SprintBacklog[[#This Row],[_Task]])&amp;"")</f>
        <v/>
      </c>
      <c r="F21" s="65" t="str">
        <f aca="false">IF(SprintBacklog[[#This Row],[_Task]]="","",IF(N(INDEX(tsk_FcFinish,SprintBacklog[[#This Row],[_Task]]))=0,"",INDEX(tsk_FcFinish,SprintBacklog[[#This Row],[_Task]])))</f>
        <v/>
      </c>
      <c r="G21" s="40" t="str">
        <f aca="false">IF(SprintBacklog[[#This Row],[_Task]]="","",INDEX(tsk_Progress,SprintBacklog[[#This Row],[_Task]]))</f>
        <v/>
      </c>
      <c r="H21" s="30" t="str">
        <f aca="false">IF(SprintBacklog[[#This Row],[_Task]]="","",INDEX(tsk_Status,SprintBacklog[[#This Row],[_Task]])&amp;"")</f>
        <v/>
      </c>
    </row>
    <row r="22" customFormat="false" ht="15" hidden="false" customHeight="false" outlineLevel="0" collapsed="false">
      <c r="B22" s="38" t="str">
        <f aca="false">IFERROR(MATCH(SMALL(tsk_CurrentSprintKey,ROW()-ROW(SprintBacklog[[#Headers],[_Task]])),tsk_CurrentSprintKey,0),"")</f>
        <v/>
      </c>
      <c r="C22" s="30" t="str">
        <f aca="false">IF(SprintBacklog[[#This Row],[_Task]]="","",INDEX(tsk_Name,SprintBacklog[[#This Row],[_Task]])&amp;"")</f>
        <v/>
      </c>
      <c r="D22" s="88" t="str">
        <f aca="false">IF(SprintBacklog[[#This Row],[_Task]]="","",INDEX(tsk_StoryPoints,SprintBacklog[[#This Row],[_Task]]))</f>
        <v/>
      </c>
      <c r="E22" s="30" t="str">
        <f aca="false">IF(SprintBacklog[[#This Row],[_Task]]="","",INDEX(tsk_ResourceNames,SprintBacklog[[#This Row],[_Task]])&amp;"")</f>
        <v/>
      </c>
      <c r="F22" s="65" t="str">
        <f aca="false">IF(SprintBacklog[[#This Row],[_Task]]="","",IF(N(INDEX(tsk_FcFinish,SprintBacklog[[#This Row],[_Task]]))=0,"",INDEX(tsk_FcFinish,SprintBacklog[[#This Row],[_Task]])))</f>
        <v/>
      </c>
      <c r="G22" s="40" t="str">
        <f aca="false">IF(SprintBacklog[[#This Row],[_Task]]="","",INDEX(tsk_Progress,SprintBacklog[[#This Row],[_Task]]))</f>
        <v/>
      </c>
      <c r="H22" s="30" t="str">
        <f aca="false">IF(SprintBacklog[[#This Row],[_Task]]="","",INDEX(tsk_Status,SprintBacklog[[#This Row],[_Task]])&amp;"")</f>
        <v/>
      </c>
    </row>
    <row r="23" customFormat="false" ht="15" hidden="false" customHeight="false" outlineLevel="0" collapsed="false">
      <c r="B23" s="38" t="str">
        <f aca="false">IFERROR(MATCH(SMALL(tsk_CurrentSprintKey,ROW()-ROW(SprintBacklog[[#Headers],[_Task]])),tsk_CurrentSprintKey,0),"")</f>
        <v/>
      </c>
      <c r="C23" s="30" t="str">
        <f aca="false">IF(SprintBacklog[[#This Row],[_Task]]="","",INDEX(tsk_Name,SprintBacklog[[#This Row],[_Task]])&amp;"")</f>
        <v/>
      </c>
      <c r="D23" s="88" t="str">
        <f aca="false">IF(SprintBacklog[[#This Row],[_Task]]="","",INDEX(tsk_StoryPoints,SprintBacklog[[#This Row],[_Task]]))</f>
        <v/>
      </c>
      <c r="E23" s="30" t="str">
        <f aca="false">IF(SprintBacklog[[#This Row],[_Task]]="","",INDEX(tsk_ResourceNames,SprintBacklog[[#This Row],[_Task]])&amp;"")</f>
        <v/>
      </c>
      <c r="F23" s="65" t="str">
        <f aca="false">IF(SprintBacklog[[#This Row],[_Task]]="","",IF(N(INDEX(tsk_FcFinish,SprintBacklog[[#This Row],[_Task]]))=0,"",INDEX(tsk_FcFinish,SprintBacklog[[#This Row],[_Task]])))</f>
        <v/>
      </c>
      <c r="G23" s="40" t="str">
        <f aca="false">IF(SprintBacklog[[#This Row],[_Task]]="","",INDEX(tsk_Progress,SprintBacklog[[#This Row],[_Task]]))</f>
        <v/>
      </c>
      <c r="H23" s="30" t="str">
        <f aca="false">IF(SprintBacklog[[#This Row],[_Task]]="","",INDEX(tsk_Status,SprintBacklog[[#This Row],[_Task]])&amp;"")</f>
        <v/>
      </c>
    </row>
    <row r="24" customFormat="false" ht="15" hidden="false" customHeight="false" outlineLevel="0" collapsed="false">
      <c r="B24" s="38" t="str">
        <f aca="false">IFERROR(MATCH(SMALL(tsk_CurrentSprintKey,ROW()-ROW(SprintBacklog[[#Headers],[_Task]])),tsk_CurrentSprintKey,0),"")</f>
        <v/>
      </c>
      <c r="C24" s="30" t="str">
        <f aca="false">IF(SprintBacklog[[#This Row],[_Task]]="","",INDEX(tsk_Name,SprintBacklog[[#This Row],[_Task]])&amp;"")</f>
        <v/>
      </c>
      <c r="D24" s="88" t="str">
        <f aca="false">IF(SprintBacklog[[#This Row],[_Task]]="","",INDEX(tsk_StoryPoints,SprintBacklog[[#This Row],[_Task]]))</f>
        <v/>
      </c>
      <c r="E24" s="30" t="str">
        <f aca="false">IF(SprintBacklog[[#This Row],[_Task]]="","",INDEX(tsk_ResourceNames,SprintBacklog[[#This Row],[_Task]])&amp;"")</f>
        <v/>
      </c>
      <c r="F24" s="65" t="str">
        <f aca="false">IF(SprintBacklog[[#This Row],[_Task]]="","",IF(N(INDEX(tsk_FcFinish,SprintBacklog[[#This Row],[_Task]]))=0,"",INDEX(tsk_FcFinish,SprintBacklog[[#This Row],[_Task]])))</f>
        <v/>
      </c>
      <c r="G24" s="40" t="str">
        <f aca="false">IF(SprintBacklog[[#This Row],[_Task]]="","",INDEX(tsk_Progress,SprintBacklog[[#This Row],[_Task]]))</f>
        <v/>
      </c>
      <c r="H24" s="30" t="str">
        <f aca="false">IF(SprintBacklog[[#This Row],[_Task]]="","",INDEX(tsk_Status,SprintBacklog[[#This Row],[_Task]])&amp;"")</f>
        <v/>
      </c>
    </row>
    <row r="25" customFormat="false" ht="15" hidden="false" customHeight="false" outlineLevel="0" collapsed="false">
      <c r="B25" s="38" t="str">
        <f aca="false">IFERROR(MATCH(SMALL(tsk_CurrentSprintKey,ROW()-ROW(SprintBacklog[[#Headers],[_Task]])),tsk_CurrentSprintKey,0),"")</f>
        <v/>
      </c>
      <c r="C25" s="30" t="str">
        <f aca="false">IF(SprintBacklog[[#This Row],[_Task]]="","",INDEX(tsk_Name,SprintBacklog[[#This Row],[_Task]])&amp;"")</f>
        <v/>
      </c>
      <c r="D25" s="88" t="str">
        <f aca="false">IF(SprintBacklog[[#This Row],[_Task]]="","",INDEX(tsk_StoryPoints,SprintBacklog[[#This Row],[_Task]]))</f>
        <v/>
      </c>
      <c r="E25" s="30" t="str">
        <f aca="false">IF(SprintBacklog[[#This Row],[_Task]]="","",INDEX(tsk_ResourceNames,SprintBacklog[[#This Row],[_Task]])&amp;"")</f>
        <v/>
      </c>
      <c r="F25" s="65" t="str">
        <f aca="false">IF(SprintBacklog[[#This Row],[_Task]]="","",IF(N(INDEX(tsk_FcFinish,SprintBacklog[[#This Row],[_Task]]))=0,"",INDEX(tsk_FcFinish,SprintBacklog[[#This Row],[_Task]])))</f>
        <v/>
      </c>
      <c r="G25" s="40" t="str">
        <f aca="false">IF(SprintBacklog[[#This Row],[_Task]]="","",INDEX(tsk_Progress,SprintBacklog[[#This Row],[_Task]]))</f>
        <v/>
      </c>
      <c r="H25" s="30" t="str">
        <f aca="false">IF(SprintBacklog[[#This Row],[_Task]]="","",INDEX(tsk_Status,SprintBacklog[[#This Row],[_Task]])&amp;"")</f>
        <v/>
      </c>
    </row>
    <row r="26" customFormat="false" ht="15" hidden="false" customHeight="false" outlineLevel="0" collapsed="false">
      <c r="B26" s="38" t="str">
        <f aca="false">IFERROR(MATCH(SMALL(tsk_CurrentSprintKey,ROW()-ROW(SprintBacklog[[#Headers],[_Task]])),tsk_CurrentSprintKey,0),"")</f>
        <v/>
      </c>
      <c r="C26" s="30" t="str">
        <f aca="false">IF(SprintBacklog[[#This Row],[_Task]]="","",INDEX(tsk_Name,SprintBacklog[[#This Row],[_Task]])&amp;"")</f>
        <v/>
      </c>
      <c r="D26" s="88" t="str">
        <f aca="false">IF(SprintBacklog[[#This Row],[_Task]]="","",INDEX(tsk_StoryPoints,SprintBacklog[[#This Row],[_Task]]))</f>
        <v/>
      </c>
      <c r="E26" s="30" t="str">
        <f aca="false">IF(SprintBacklog[[#This Row],[_Task]]="","",INDEX(tsk_ResourceNames,SprintBacklog[[#This Row],[_Task]])&amp;"")</f>
        <v/>
      </c>
      <c r="F26" s="65" t="str">
        <f aca="false">IF(SprintBacklog[[#This Row],[_Task]]="","",IF(N(INDEX(tsk_FcFinish,SprintBacklog[[#This Row],[_Task]]))=0,"",INDEX(tsk_FcFinish,SprintBacklog[[#This Row],[_Task]])))</f>
        <v/>
      </c>
      <c r="G26" s="40" t="str">
        <f aca="false">IF(SprintBacklog[[#This Row],[_Task]]="","",INDEX(tsk_Progress,SprintBacklog[[#This Row],[_Task]]))</f>
        <v/>
      </c>
      <c r="H26" s="30" t="str">
        <f aca="false">IF(SprintBacklog[[#This Row],[_Task]]="","",INDEX(tsk_Status,SprintBacklog[[#This Row],[_Task]])&amp;"")</f>
        <v/>
      </c>
    </row>
    <row r="27" customFormat="false" ht="15" hidden="false" customHeight="false" outlineLevel="0" collapsed="false">
      <c r="B27" s="38" t="str">
        <f aca="false">IFERROR(MATCH(SMALL(tsk_CurrentSprintKey,ROW()-ROW(SprintBacklog[[#Headers],[_Task]])),tsk_CurrentSprintKey,0),"")</f>
        <v/>
      </c>
      <c r="C27" s="30" t="str">
        <f aca="false">IF(SprintBacklog[[#This Row],[_Task]]="","",INDEX(tsk_Name,SprintBacklog[[#This Row],[_Task]])&amp;"")</f>
        <v/>
      </c>
      <c r="D27" s="88" t="str">
        <f aca="false">IF(SprintBacklog[[#This Row],[_Task]]="","",INDEX(tsk_StoryPoints,SprintBacklog[[#This Row],[_Task]]))</f>
        <v/>
      </c>
      <c r="E27" s="30" t="str">
        <f aca="false">IF(SprintBacklog[[#This Row],[_Task]]="","",INDEX(tsk_ResourceNames,SprintBacklog[[#This Row],[_Task]])&amp;"")</f>
        <v/>
      </c>
      <c r="F27" s="65" t="str">
        <f aca="false">IF(SprintBacklog[[#This Row],[_Task]]="","",IF(N(INDEX(tsk_FcFinish,SprintBacklog[[#This Row],[_Task]]))=0,"",INDEX(tsk_FcFinish,SprintBacklog[[#This Row],[_Task]])))</f>
        <v/>
      </c>
      <c r="G27" s="40" t="str">
        <f aca="false">IF(SprintBacklog[[#This Row],[_Task]]="","",INDEX(tsk_Progress,SprintBacklog[[#This Row],[_Task]]))</f>
        <v/>
      </c>
      <c r="H27" s="30" t="str">
        <f aca="false">IF(SprintBacklog[[#This Row],[_Task]]="","",INDEX(tsk_Status,SprintBacklog[[#This Row],[_Task]])&amp;"")</f>
        <v/>
      </c>
    </row>
    <row r="28" customFormat="false" ht="15" hidden="false" customHeight="false" outlineLevel="0" collapsed="false">
      <c r="B28" s="38" t="str">
        <f aca="false">IFERROR(MATCH(SMALL(tsk_CurrentSprintKey,ROW()-ROW(SprintBacklog[[#Headers],[_Task]])),tsk_CurrentSprintKey,0),"")</f>
        <v/>
      </c>
      <c r="C28" s="30" t="str">
        <f aca="false">IF(SprintBacklog[[#This Row],[_Task]]="","",INDEX(tsk_Name,SprintBacklog[[#This Row],[_Task]])&amp;"")</f>
        <v/>
      </c>
      <c r="D28" s="88" t="str">
        <f aca="false">IF(SprintBacklog[[#This Row],[_Task]]="","",INDEX(tsk_StoryPoints,SprintBacklog[[#This Row],[_Task]]))</f>
        <v/>
      </c>
      <c r="E28" s="30" t="str">
        <f aca="false">IF(SprintBacklog[[#This Row],[_Task]]="","",INDEX(tsk_ResourceNames,SprintBacklog[[#This Row],[_Task]])&amp;"")</f>
        <v/>
      </c>
      <c r="F28" s="65" t="str">
        <f aca="false">IF(SprintBacklog[[#This Row],[_Task]]="","",IF(N(INDEX(tsk_FcFinish,SprintBacklog[[#This Row],[_Task]]))=0,"",INDEX(tsk_FcFinish,SprintBacklog[[#This Row],[_Task]])))</f>
        <v/>
      </c>
      <c r="G28" s="40" t="str">
        <f aca="false">IF(SprintBacklog[[#This Row],[_Task]]="","",INDEX(tsk_Progress,SprintBacklog[[#This Row],[_Task]]))</f>
        <v/>
      </c>
      <c r="H28" s="30" t="str">
        <f aca="false">IF(SprintBacklog[[#This Row],[_Task]]="","",INDEX(tsk_Status,SprintBacklog[[#This Row],[_Task]])&amp;"")</f>
        <v/>
      </c>
    </row>
    <row r="29" customFormat="false" ht="15" hidden="false" customHeight="false" outlineLevel="0" collapsed="false">
      <c r="B29" s="38" t="str">
        <f aca="false">IFERROR(MATCH(SMALL(tsk_CurrentSprintKey,ROW()-ROW(SprintBacklog[[#Headers],[_Task]])),tsk_CurrentSprintKey,0),"")</f>
        <v/>
      </c>
      <c r="C29" s="30" t="str">
        <f aca="false">IF(SprintBacklog[[#This Row],[_Task]]="","",INDEX(tsk_Name,SprintBacklog[[#This Row],[_Task]])&amp;"")</f>
        <v/>
      </c>
      <c r="D29" s="88" t="str">
        <f aca="false">IF(SprintBacklog[[#This Row],[_Task]]="","",INDEX(tsk_StoryPoints,SprintBacklog[[#This Row],[_Task]]))</f>
        <v/>
      </c>
      <c r="E29" s="30" t="str">
        <f aca="false">IF(SprintBacklog[[#This Row],[_Task]]="","",INDEX(tsk_ResourceNames,SprintBacklog[[#This Row],[_Task]])&amp;"")</f>
        <v/>
      </c>
      <c r="F29" s="65" t="str">
        <f aca="false">IF(SprintBacklog[[#This Row],[_Task]]="","",IF(N(INDEX(tsk_FcFinish,SprintBacklog[[#This Row],[_Task]]))=0,"",INDEX(tsk_FcFinish,SprintBacklog[[#This Row],[_Task]])))</f>
        <v/>
      </c>
      <c r="G29" s="40" t="str">
        <f aca="false">IF(SprintBacklog[[#This Row],[_Task]]="","",INDEX(tsk_Progress,SprintBacklog[[#This Row],[_Task]]))</f>
        <v/>
      </c>
      <c r="H29" s="30" t="str">
        <f aca="false">IF(SprintBacklog[[#This Row],[_Task]]="","",INDEX(tsk_Status,SprintBacklog[[#This Row],[_Task]])&amp;"")</f>
        <v/>
      </c>
    </row>
    <row r="30" customFormat="false" ht="15" hidden="false" customHeight="false" outlineLevel="0" collapsed="false">
      <c r="B30" s="38" t="str">
        <f aca="false">IFERROR(MATCH(SMALL(tsk_CurrentSprintKey,ROW()-ROW(SprintBacklog[[#Headers],[_Task]])),tsk_CurrentSprintKey,0),"")</f>
        <v/>
      </c>
      <c r="C30" s="30" t="str">
        <f aca="false">IF(SprintBacklog[[#This Row],[_Task]]="","",INDEX(tsk_Name,SprintBacklog[[#This Row],[_Task]])&amp;"")</f>
        <v/>
      </c>
      <c r="D30" s="88" t="str">
        <f aca="false">IF(SprintBacklog[[#This Row],[_Task]]="","",INDEX(tsk_StoryPoints,SprintBacklog[[#This Row],[_Task]]))</f>
        <v/>
      </c>
      <c r="E30" s="30" t="str">
        <f aca="false">IF(SprintBacklog[[#This Row],[_Task]]="","",INDEX(tsk_ResourceNames,SprintBacklog[[#This Row],[_Task]])&amp;"")</f>
        <v/>
      </c>
      <c r="F30" s="65" t="str">
        <f aca="false">IF(SprintBacklog[[#This Row],[_Task]]="","",IF(N(INDEX(tsk_FcFinish,SprintBacklog[[#This Row],[_Task]]))=0,"",INDEX(tsk_FcFinish,SprintBacklog[[#This Row],[_Task]])))</f>
        <v/>
      </c>
      <c r="G30" s="40" t="str">
        <f aca="false">IF(SprintBacklog[[#This Row],[_Task]]="","",INDEX(tsk_Progress,SprintBacklog[[#This Row],[_Task]]))</f>
        <v/>
      </c>
      <c r="H30" s="30" t="str">
        <f aca="false">IF(SprintBacklog[[#This Row],[_Task]]="","",INDEX(tsk_Status,SprintBacklog[[#This Row],[_Task]])&amp;"")</f>
        <v/>
      </c>
    </row>
    <row r="31" customFormat="false" ht="15" hidden="false" customHeight="false" outlineLevel="0" collapsed="false">
      <c r="B31" s="38" t="str">
        <f aca="false">IFERROR(MATCH(SMALL(tsk_CurrentSprintKey,ROW()-ROW(SprintBacklog[[#Headers],[_Task]])),tsk_CurrentSprintKey,0),"")</f>
        <v/>
      </c>
      <c r="C31" s="30" t="str">
        <f aca="false">IF(SprintBacklog[[#This Row],[_Task]]="","",INDEX(tsk_Name,SprintBacklog[[#This Row],[_Task]])&amp;"")</f>
        <v/>
      </c>
      <c r="D31" s="88" t="str">
        <f aca="false">IF(SprintBacklog[[#This Row],[_Task]]="","",INDEX(tsk_StoryPoints,SprintBacklog[[#This Row],[_Task]]))</f>
        <v/>
      </c>
      <c r="E31" s="30" t="str">
        <f aca="false">IF(SprintBacklog[[#This Row],[_Task]]="","",INDEX(tsk_ResourceNames,SprintBacklog[[#This Row],[_Task]])&amp;"")</f>
        <v/>
      </c>
      <c r="F31" s="65" t="str">
        <f aca="false">IF(SprintBacklog[[#This Row],[_Task]]="","",IF(N(INDEX(tsk_FcFinish,SprintBacklog[[#This Row],[_Task]]))=0,"",INDEX(tsk_FcFinish,SprintBacklog[[#This Row],[_Task]])))</f>
        <v/>
      </c>
      <c r="G31" s="40" t="str">
        <f aca="false">IF(SprintBacklog[[#This Row],[_Task]]="","",INDEX(tsk_Progress,SprintBacklog[[#This Row],[_Task]]))</f>
        <v/>
      </c>
      <c r="H31" s="30" t="str">
        <f aca="false">IF(SprintBacklog[[#This Row],[_Task]]="","",INDEX(tsk_Status,SprintBacklog[[#This Row],[_Task]])&amp;"")</f>
        <v/>
      </c>
    </row>
    <row r="32" customFormat="false" ht="15" hidden="false" customHeight="false" outlineLevel="0" collapsed="false">
      <c r="B32" s="38" t="str">
        <f aca="false">IFERROR(MATCH(SMALL(tsk_CurrentSprintKey,ROW()-ROW(SprintBacklog[[#Headers],[_Task]])),tsk_CurrentSprintKey,0),"")</f>
        <v/>
      </c>
      <c r="C32" s="30" t="str">
        <f aca="false">IF(SprintBacklog[[#This Row],[_Task]]="","",INDEX(tsk_Name,SprintBacklog[[#This Row],[_Task]])&amp;"")</f>
        <v/>
      </c>
      <c r="D32" s="88" t="str">
        <f aca="false">IF(SprintBacklog[[#This Row],[_Task]]="","",INDEX(tsk_StoryPoints,SprintBacklog[[#This Row],[_Task]]))</f>
        <v/>
      </c>
      <c r="E32" s="30" t="str">
        <f aca="false">IF(SprintBacklog[[#This Row],[_Task]]="","",INDEX(tsk_ResourceNames,SprintBacklog[[#This Row],[_Task]])&amp;"")</f>
        <v/>
      </c>
      <c r="F32" s="65" t="str">
        <f aca="false">IF(SprintBacklog[[#This Row],[_Task]]="","",IF(N(INDEX(tsk_FcFinish,SprintBacklog[[#This Row],[_Task]]))=0,"",INDEX(tsk_FcFinish,SprintBacklog[[#This Row],[_Task]])))</f>
        <v/>
      </c>
      <c r="G32" s="40" t="str">
        <f aca="false">IF(SprintBacklog[[#This Row],[_Task]]="","",INDEX(tsk_Progress,SprintBacklog[[#This Row],[_Task]]))</f>
        <v/>
      </c>
      <c r="H32" s="30" t="str">
        <f aca="false">IF(SprintBacklog[[#This Row],[_Task]]="","",INDEX(tsk_Status,SprintBacklog[[#This Row],[_Task]])&amp;"")</f>
        <v/>
      </c>
    </row>
    <row r="33" customFormat="false" ht="15" hidden="false" customHeight="false" outlineLevel="0" collapsed="false">
      <c r="B33" s="38" t="str">
        <f aca="false">IFERROR(MATCH(SMALL(tsk_CurrentSprintKey,ROW()-ROW(SprintBacklog[[#Headers],[_Task]])),tsk_CurrentSprintKey,0),"")</f>
        <v/>
      </c>
      <c r="C33" s="30" t="str">
        <f aca="false">IF(SprintBacklog[[#This Row],[_Task]]="","",INDEX(tsk_Name,SprintBacklog[[#This Row],[_Task]])&amp;"")</f>
        <v/>
      </c>
      <c r="D33" s="88" t="str">
        <f aca="false">IF(SprintBacklog[[#This Row],[_Task]]="","",INDEX(tsk_StoryPoints,SprintBacklog[[#This Row],[_Task]]))</f>
        <v/>
      </c>
      <c r="E33" s="30" t="str">
        <f aca="false">IF(SprintBacklog[[#This Row],[_Task]]="","",INDEX(tsk_ResourceNames,SprintBacklog[[#This Row],[_Task]])&amp;"")</f>
        <v/>
      </c>
      <c r="F33" s="65" t="str">
        <f aca="false">IF(SprintBacklog[[#This Row],[_Task]]="","",IF(N(INDEX(tsk_FcFinish,SprintBacklog[[#This Row],[_Task]]))=0,"",INDEX(tsk_FcFinish,SprintBacklog[[#This Row],[_Task]])))</f>
        <v/>
      </c>
      <c r="G33" s="40" t="str">
        <f aca="false">IF(SprintBacklog[[#This Row],[_Task]]="","",INDEX(tsk_Progress,SprintBacklog[[#This Row],[_Task]]))</f>
        <v/>
      </c>
      <c r="H33" s="30" t="str">
        <f aca="false">IF(SprintBacklog[[#This Row],[_Task]]="","",INDEX(tsk_Status,SprintBacklog[[#This Row],[_Task]])&amp;"")</f>
        <v/>
      </c>
    </row>
    <row r="34" customFormat="false" ht="15" hidden="false" customHeight="false" outlineLevel="0" collapsed="false">
      <c r="B34" s="38" t="str">
        <f aca="false">IFERROR(MATCH(SMALL(tsk_CurrentSprintKey,ROW()-ROW(SprintBacklog[[#Headers],[_Task]])),tsk_CurrentSprintKey,0),"")</f>
        <v/>
      </c>
      <c r="C34" s="30" t="str">
        <f aca="false">IF(SprintBacklog[[#This Row],[_Task]]="","",INDEX(tsk_Name,SprintBacklog[[#This Row],[_Task]])&amp;"")</f>
        <v/>
      </c>
      <c r="D34" s="88" t="str">
        <f aca="false">IF(SprintBacklog[[#This Row],[_Task]]="","",INDEX(tsk_StoryPoints,SprintBacklog[[#This Row],[_Task]]))</f>
        <v/>
      </c>
      <c r="E34" s="30" t="str">
        <f aca="false">IF(SprintBacklog[[#This Row],[_Task]]="","",INDEX(tsk_ResourceNames,SprintBacklog[[#This Row],[_Task]])&amp;"")</f>
        <v/>
      </c>
      <c r="F34" s="65" t="str">
        <f aca="false">IF(SprintBacklog[[#This Row],[_Task]]="","",IF(N(INDEX(tsk_FcFinish,SprintBacklog[[#This Row],[_Task]]))=0,"",INDEX(tsk_FcFinish,SprintBacklog[[#This Row],[_Task]])))</f>
        <v/>
      </c>
      <c r="G34" s="40" t="str">
        <f aca="false">IF(SprintBacklog[[#This Row],[_Task]]="","",INDEX(tsk_Progress,SprintBacklog[[#This Row],[_Task]]))</f>
        <v/>
      </c>
      <c r="H34" s="30" t="str">
        <f aca="false">IF(SprintBacklog[[#This Row],[_Task]]="","",INDEX(tsk_Status,SprintBacklog[[#This Row],[_Task]])&amp;"")</f>
        <v/>
      </c>
    </row>
    <row r="35" customFormat="false" ht="15" hidden="false" customHeight="false" outlineLevel="0" collapsed="false">
      <c r="B35" s="38" t="str">
        <f aca="false">IFERROR(MATCH(SMALL(tsk_CurrentSprintKey,ROW()-ROW(SprintBacklog[[#Headers],[_Task]])),tsk_CurrentSprintKey,0),"")</f>
        <v/>
      </c>
      <c r="C35" s="30" t="str">
        <f aca="false">IF(SprintBacklog[[#This Row],[_Task]]="","",INDEX(tsk_Name,SprintBacklog[[#This Row],[_Task]])&amp;"")</f>
        <v/>
      </c>
      <c r="D35" s="88" t="str">
        <f aca="false">IF(SprintBacklog[[#This Row],[_Task]]="","",INDEX(tsk_StoryPoints,SprintBacklog[[#This Row],[_Task]]))</f>
        <v/>
      </c>
      <c r="E35" s="30" t="str">
        <f aca="false">IF(SprintBacklog[[#This Row],[_Task]]="","",INDEX(tsk_ResourceNames,SprintBacklog[[#This Row],[_Task]])&amp;"")</f>
        <v/>
      </c>
      <c r="F35" s="65" t="str">
        <f aca="false">IF(SprintBacklog[[#This Row],[_Task]]="","",IF(N(INDEX(tsk_FcFinish,SprintBacklog[[#This Row],[_Task]]))=0,"",INDEX(tsk_FcFinish,SprintBacklog[[#This Row],[_Task]])))</f>
        <v/>
      </c>
      <c r="G35" s="40" t="str">
        <f aca="false">IF(SprintBacklog[[#This Row],[_Task]]="","",INDEX(tsk_Progress,SprintBacklog[[#This Row],[_Task]]))</f>
        <v/>
      </c>
      <c r="H35" s="30" t="str">
        <f aca="false">IF(SprintBacklog[[#This Row],[_Task]]="","",INDEX(tsk_Status,SprintBacklog[[#This Row],[_Task]])&amp;"")</f>
        <v/>
      </c>
    </row>
    <row r="36" customFormat="false" ht="15" hidden="false" customHeight="false" outlineLevel="0" collapsed="false">
      <c r="B36" s="38" t="str">
        <f aca="false">IFERROR(MATCH(SMALL(tsk_CurrentSprintKey,ROW()-ROW(SprintBacklog[[#Headers],[_Task]])),tsk_CurrentSprintKey,0),"")</f>
        <v/>
      </c>
      <c r="C36" s="30" t="str">
        <f aca="false">IF(SprintBacklog[[#This Row],[_Task]]="","",INDEX(tsk_Name,SprintBacklog[[#This Row],[_Task]])&amp;"")</f>
        <v/>
      </c>
      <c r="D36" s="88" t="str">
        <f aca="false">IF(SprintBacklog[[#This Row],[_Task]]="","",INDEX(tsk_StoryPoints,SprintBacklog[[#This Row],[_Task]]))</f>
        <v/>
      </c>
      <c r="E36" s="30" t="str">
        <f aca="false">IF(SprintBacklog[[#This Row],[_Task]]="","",INDEX(tsk_ResourceNames,SprintBacklog[[#This Row],[_Task]])&amp;"")</f>
        <v/>
      </c>
      <c r="F36" s="65" t="str">
        <f aca="false">IF(SprintBacklog[[#This Row],[_Task]]="","",IF(N(INDEX(tsk_FcFinish,SprintBacklog[[#This Row],[_Task]]))=0,"",INDEX(tsk_FcFinish,SprintBacklog[[#This Row],[_Task]])))</f>
        <v/>
      </c>
      <c r="G36" s="40" t="str">
        <f aca="false">IF(SprintBacklog[[#This Row],[_Task]]="","",INDEX(tsk_Progress,SprintBacklog[[#This Row],[_Task]]))</f>
        <v/>
      </c>
      <c r="H36" s="30" t="str">
        <f aca="false">IF(SprintBacklog[[#This Row],[_Task]]="","",INDEX(tsk_Status,SprintBacklog[[#This Row],[_Task]])&amp;"")</f>
        <v/>
      </c>
    </row>
    <row r="37" customFormat="false" ht="15" hidden="false" customHeight="false" outlineLevel="0" collapsed="false">
      <c r="B37" s="38" t="str">
        <f aca="false">IFERROR(MATCH(SMALL(tsk_CurrentSprintKey,ROW()-ROW(SprintBacklog[[#Headers],[_Task]])),tsk_CurrentSprintKey,0),"")</f>
        <v/>
      </c>
      <c r="C37" s="30" t="str">
        <f aca="false">IF(SprintBacklog[[#This Row],[_Task]]="","",INDEX(tsk_Name,SprintBacklog[[#This Row],[_Task]])&amp;"")</f>
        <v/>
      </c>
      <c r="D37" s="88" t="str">
        <f aca="false">IF(SprintBacklog[[#This Row],[_Task]]="","",INDEX(tsk_StoryPoints,SprintBacklog[[#This Row],[_Task]]))</f>
        <v/>
      </c>
      <c r="E37" s="30" t="str">
        <f aca="false">IF(SprintBacklog[[#This Row],[_Task]]="","",INDEX(tsk_ResourceNames,SprintBacklog[[#This Row],[_Task]])&amp;"")</f>
        <v/>
      </c>
      <c r="F37" s="65" t="str">
        <f aca="false">IF(SprintBacklog[[#This Row],[_Task]]="","",IF(N(INDEX(tsk_FcFinish,SprintBacklog[[#This Row],[_Task]]))=0,"",INDEX(tsk_FcFinish,SprintBacklog[[#This Row],[_Task]])))</f>
        <v/>
      </c>
      <c r="G37" s="40" t="str">
        <f aca="false">IF(SprintBacklog[[#This Row],[_Task]]="","",INDEX(tsk_Progress,SprintBacklog[[#This Row],[_Task]]))</f>
        <v/>
      </c>
      <c r="H37" s="30" t="str">
        <f aca="false">IF(SprintBacklog[[#This Row],[_Task]]="","",INDEX(tsk_Status,SprintBacklog[[#This Row],[_Task]])&amp;"")</f>
        <v/>
      </c>
    </row>
    <row r="38" customFormat="false" ht="15" hidden="false" customHeight="false" outlineLevel="0" collapsed="false">
      <c r="B38" s="38" t="str">
        <f aca="false">IFERROR(MATCH(SMALL(tsk_CurrentSprintKey,ROW()-ROW(SprintBacklog[[#Headers],[_Task]])),tsk_CurrentSprintKey,0),"")</f>
        <v/>
      </c>
      <c r="C38" s="30" t="str">
        <f aca="false">IF(SprintBacklog[[#This Row],[_Task]]="","",INDEX(tsk_Name,SprintBacklog[[#This Row],[_Task]])&amp;"")</f>
        <v/>
      </c>
      <c r="D38" s="88" t="str">
        <f aca="false">IF(SprintBacklog[[#This Row],[_Task]]="","",INDEX(tsk_StoryPoints,SprintBacklog[[#This Row],[_Task]]))</f>
        <v/>
      </c>
      <c r="E38" s="30" t="str">
        <f aca="false">IF(SprintBacklog[[#This Row],[_Task]]="","",INDEX(tsk_ResourceNames,SprintBacklog[[#This Row],[_Task]])&amp;"")</f>
        <v/>
      </c>
      <c r="F38" s="65" t="str">
        <f aca="false">IF(SprintBacklog[[#This Row],[_Task]]="","",IF(N(INDEX(tsk_FcFinish,SprintBacklog[[#This Row],[_Task]]))=0,"",INDEX(tsk_FcFinish,SprintBacklog[[#This Row],[_Task]])))</f>
        <v/>
      </c>
      <c r="G38" s="40" t="str">
        <f aca="false">IF(SprintBacklog[[#This Row],[_Task]]="","",INDEX(tsk_Progress,SprintBacklog[[#This Row],[_Task]]))</f>
        <v/>
      </c>
      <c r="H38" s="30" t="str">
        <f aca="false">IF(SprintBacklog[[#This Row],[_Task]]="","",INDEX(tsk_Status,SprintBacklog[[#This Row],[_Task]])&amp;"")</f>
        <v/>
      </c>
    </row>
    <row r="39" customFormat="false" ht="15" hidden="false" customHeight="false" outlineLevel="0" collapsed="false">
      <c r="B39" s="38" t="str">
        <f aca="false">IFERROR(MATCH(SMALL(tsk_CurrentSprintKey,ROW()-ROW(SprintBacklog[[#Headers],[_Task]])),tsk_CurrentSprintKey,0),"")</f>
        <v/>
      </c>
      <c r="C39" s="30" t="str">
        <f aca="false">IF(SprintBacklog[[#This Row],[_Task]]="","",INDEX(tsk_Name,SprintBacklog[[#This Row],[_Task]])&amp;"")</f>
        <v/>
      </c>
      <c r="D39" s="88" t="str">
        <f aca="false">IF(SprintBacklog[[#This Row],[_Task]]="","",INDEX(tsk_StoryPoints,SprintBacklog[[#This Row],[_Task]]))</f>
        <v/>
      </c>
      <c r="E39" s="30" t="str">
        <f aca="false">IF(SprintBacklog[[#This Row],[_Task]]="","",INDEX(tsk_ResourceNames,SprintBacklog[[#This Row],[_Task]])&amp;"")</f>
        <v/>
      </c>
      <c r="F39" s="65" t="str">
        <f aca="false">IF(SprintBacklog[[#This Row],[_Task]]="","",IF(N(INDEX(tsk_FcFinish,SprintBacklog[[#This Row],[_Task]]))=0,"",INDEX(tsk_FcFinish,SprintBacklog[[#This Row],[_Task]])))</f>
        <v/>
      </c>
      <c r="G39" s="40" t="str">
        <f aca="false">IF(SprintBacklog[[#This Row],[_Task]]="","",INDEX(tsk_Progress,SprintBacklog[[#This Row],[_Task]]))</f>
        <v/>
      </c>
      <c r="H39" s="30" t="str">
        <f aca="false">IF(SprintBacklog[[#This Row],[_Task]]="","",INDEX(tsk_Status,SprintBacklog[[#This Row],[_Task]])&amp;"")</f>
        <v/>
      </c>
    </row>
    <row r="40" customFormat="false" ht="15" hidden="false" customHeight="false" outlineLevel="0" collapsed="false">
      <c r="B40" s="38" t="str">
        <f aca="false">IFERROR(MATCH(SMALL(tsk_CurrentSprintKey,ROW()-ROW(SprintBacklog[[#Headers],[_Task]])),tsk_CurrentSprintKey,0),"")</f>
        <v/>
      </c>
      <c r="C40" s="30" t="str">
        <f aca="false">IF(SprintBacklog[[#This Row],[_Task]]="","",INDEX(tsk_Name,SprintBacklog[[#This Row],[_Task]])&amp;"")</f>
        <v/>
      </c>
      <c r="D40" s="88" t="str">
        <f aca="false">IF(SprintBacklog[[#This Row],[_Task]]="","",INDEX(tsk_StoryPoints,SprintBacklog[[#This Row],[_Task]]))</f>
        <v/>
      </c>
      <c r="E40" s="30" t="str">
        <f aca="false">IF(SprintBacklog[[#This Row],[_Task]]="","",INDEX(tsk_ResourceNames,SprintBacklog[[#This Row],[_Task]])&amp;"")</f>
        <v/>
      </c>
      <c r="F40" s="65" t="str">
        <f aca="false">IF(SprintBacklog[[#This Row],[_Task]]="","",IF(N(INDEX(tsk_FcFinish,SprintBacklog[[#This Row],[_Task]]))=0,"",INDEX(tsk_FcFinish,SprintBacklog[[#This Row],[_Task]])))</f>
        <v/>
      </c>
      <c r="G40" s="40" t="str">
        <f aca="false">IF(SprintBacklog[[#This Row],[_Task]]="","",INDEX(tsk_Progress,SprintBacklog[[#This Row],[_Task]]))</f>
        <v/>
      </c>
      <c r="H40" s="30" t="str">
        <f aca="false">IF(SprintBacklog[[#This Row],[_Task]]="","",INDEX(tsk_Status,SprintBacklog[[#This Row],[_Task]])&amp;"")</f>
        <v/>
      </c>
    </row>
    <row r="42" customFormat="false" ht="15" hidden="false" customHeight="false" outlineLevel="0" collapsed="false">
      <c r="C42" s="36" t="s">
        <v>296</v>
      </c>
    </row>
    <row r="43" customFormat="false" ht="23.85" hidden="false" customHeight="false" outlineLevel="0" collapsed="false">
      <c r="C43" s="15" t="s">
        <v>297</v>
      </c>
      <c r="D43" s="15" t="s">
        <v>265</v>
      </c>
      <c r="E43" s="15" t="s">
        <v>298</v>
      </c>
      <c r="F43" s="37" t="s">
        <v>299</v>
      </c>
      <c r="G43" s="37" t="s">
        <v>300</v>
      </c>
      <c r="H43" s="37" t="s">
        <v>301</v>
      </c>
    </row>
    <row r="44" customFormat="false" ht="15" hidden="false" customHeight="false" outlineLevel="0" collapsed="false">
      <c r="C44" s="31" t="n">
        <f aca="false">IF(OR(CurrentSprint="",ROW()-ROW(SprintBurndown[[#Headers],[Day]])&gt;SprintLength),"",CurrentSprintStart+ROW()-ROW(SprintBurndown[[#Headers],[Day]])-1)</f>
        <v>1</v>
      </c>
      <c r="D44" s="89" t="n">
        <f aca="false">IF(OR(SprintBurndown[[#This Row],[Day]]="",SprintBurndown[[#This Row],[Day]]&gt;StatusDate),"",agl_CurCommitted-SUMIFS(tsk_LeafPoints,tsk_Sprint,CurrentSprint,tsk_DoneDate,"&lt;="&amp;SprintBurndown[[#This Row],[Day]]))</f>
        <v>0</v>
      </c>
      <c r="E44" s="89" t="n">
        <f aca="false">IF(SprintBurndown[[#This Row],[Day]]="","",agl_CurCommitted*MAX(0,1-NETWORKDAYS.INTL(CurrentSprintStart,SprintBurndown[[#This Row],[Day]],WorkWeek,Holidays)/MAX(1,NETWORKDAYS.INTL(CurrentSprintStart,CurrentSprintEnd,WorkWeek,Holidays))))</f>
        <v>0</v>
      </c>
      <c r="F44" s="38" t="str">
        <f aca="false">IF(SprintBurndown[[#This Row],[Day]]="","",TEXT(SprintBurndown[[#This Row],[Day]],"dd-mmm"))</f>
        <v>31-Dec</v>
      </c>
      <c r="G44" s="90" t="n">
        <f aca="false">IF(SprintBurndown[[#This Row],[Remaining]]="",NA(),SprintBurndown[[#This Row],[Remaining]])</f>
        <v>0</v>
      </c>
      <c r="H44" s="90" t="n">
        <f aca="false">IF(SprintBurndown[[#This Row],[Ideal]]="",NA(),SprintBurndown[[#This Row],[Ideal]])</f>
        <v>0</v>
      </c>
    </row>
    <row r="45" customFormat="false" ht="15" hidden="false" customHeight="false" outlineLevel="0" collapsed="false">
      <c r="C45" s="31" t="n">
        <f aca="false">IF(OR(CurrentSprint="",ROW()-ROW(SprintBurndown[[#Headers],[Day]])&gt;SprintLength),"",CurrentSprintStart+ROW()-ROW(SprintBurndown[[#Headers],[Day]])-1)</f>
        <v>2</v>
      </c>
      <c r="D45" s="89" t="str">
        <f aca="false">IF(OR(SprintBurndown[[#This Row],[Day]]="",SprintBurndown[[#This Row],[Day]]&gt;StatusDate),"",agl_CurCommitted-SUMIFS(tsk_LeafPoints,tsk_Sprint,CurrentSprint,tsk_DoneDate,"&lt;="&amp;SprintBurndown[[#This Row],[Day]]))</f>
        <v/>
      </c>
      <c r="E45" s="89" t="n">
        <f aca="false">IF(SprintBurndown[[#This Row],[Day]]="","",agl_CurCommitted*MAX(0,1-NETWORKDAYS.INTL(CurrentSprintStart,SprintBurndown[[#This Row],[Day]],WorkWeek,Holidays)/MAX(1,NETWORKDAYS.INTL(CurrentSprintStart,CurrentSprintEnd,WorkWeek,Holidays))))</f>
        <v>0</v>
      </c>
      <c r="F45" s="38" t="str">
        <f aca="false">IF(SprintBurndown[[#This Row],[Day]]="","",TEXT(SprintBurndown[[#This Row],[Day]],"dd-mmm"))</f>
        <v>01-Jan</v>
      </c>
      <c r="G45" s="38" t="e">
        <f aca="false">IF(SprintBurndown[[#This Row],[Remaining]]="",NA(),SprintBurndown[[#This Row],[Remaining]])</f>
        <v>#N/A</v>
      </c>
      <c r="H45" s="90" t="n">
        <f aca="false">IF(SprintBurndown[[#This Row],[Ideal]]="",NA(),SprintBurndown[[#This Row],[Ideal]])</f>
        <v>0</v>
      </c>
    </row>
    <row r="46" customFormat="false" ht="15" hidden="false" customHeight="false" outlineLevel="0" collapsed="false">
      <c r="C46" s="31" t="n">
        <f aca="false">IF(OR(CurrentSprint="",ROW()-ROW(SprintBurndown[[#Headers],[Day]])&gt;SprintLength),"",CurrentSprintStart+ROW()-ROW(SprintBurndown[[#Headers],[Day]])-1)</f>
        <v>3</v>
      </c>
      <c r="D46" s="89" t="str">
        <f aca="false">IF(OR(SprintBurndown[[#This Row],[Day]]="",SprintBurndown[[#This Row],[Day]]&gt;StatusDate),"",agl_CurCommitted-SUMIFS(tsk_LeafPoints,tsk_Sprint,CurrentSprint,tsk_DoneDate,"&lt;="&amp;SprintBurndown[[#This Row],[Day]]))</f>
        <v/>
      </c>
      <c r="E46" s="89" t="n">
        <f aca="false">IF(SprintBurndown[[#This Row],[Day]]="","",agl_CurCommitted*MAX(0,1-NETWORKDAYS.INTL(CurrentSprintStart,SprintBurndown[[#This Row],[Day]],WorkWeek,Holidays)/MAX(1,NETWORKDAYS.INTL(CurrentSprintStart,CurrentSprintEnd,WorkWeek,Holidays))))</f>
        <v>0</v>
      </c>
      <c r="F46" s="38" t="str">
        <f aca="false">IF(SprintBurndown[[#This Row],[Day]]="","",TEXT(SprintBurndown[[#This Row],[Day]],"dd-mmm"))</f>
        <v>02-Jan</v>
      </c>
      <c r="G46" s="38" t="e">
        <f aca="false">IF(SprintBurndown[[#This Row],[Remaining]]="",NA(),SprintBurndown[[#This Row],[Remaining]])</f>
        <v>#N/A</v>
      </c>
      <c r="H46" s="90" t="n">
        <f aca="false">IF(SprintBurndown[[#This Row],[Ideal]]="",NA(),SprintBurndown[[#This Row],[Ideal]])</f>
        <v>0</v>
      </c>
    </row>
    <row r="47" customFormat="false" ht="15" hidden="false" customHeight="false" outlineLevel="0" collapsed="false">
      <c r="C47" s="31" t="n">
        <f aca="false">IF(OR(CurrentSprint="",ROW()-ROW(SprintBurndown[[#Headers],[Day]])&gt;SprintLength),"",CurrentSprintStart+ROW()-ROW(SprintBurndown[[#Headers],[Day]])-1)</f>
        <v>4</v>
      </c>
      <c r="D47" s="89" t="str">
        <f aca="false">IF(OR(SprintBurndown[[#This Row],[Day]]="",SprintBurndown[[#This Row],[Day]]&gt;StatusDate),"",agl_CurCommitted-SUMIFS(tsk_LeafPoints,tsk_Sprint,CurrentSprint,tsk_DoneDate,"&lt;="&amp;SprintBurndown[[#This Row],[Day]]))</f>
        <v/>
      </c>
      <c r="E47" s="89" t="n">
        <f aca="false">IF(SprintBurndown[[#This Row],[Day]]="","",agl_CurCommitted*MAX(0,1-NETWORKDAYS.INTL(CurrentSprintStart,SprintBurndown[[#This Row],[Day]],WorkWeek,Holidays)/MAX(1,NETWORKDAYS.INTL(CurrentSprintStart,CurrentSprintEnd,WorkWeek,Holidays))))</f>
        <v>0</v>
      </c>
      <c r="F47" s="38" t="str">
        <f aca="false">IF(SprintBurndown[[#This Row],[Day]]="","",TEXT(SprintBurndown[[#This Row],[Day]],"dd-mmm"))</f>
        <v>03-Jan</v>
      </c>
      <c r="G47" s="38" t="e">
        <f aca="false">IF(SprintBurndown[[#This Row],[Remaining]]="",NA(),SprintBurndown[[#This Row],[Remaining]])</f>
        <v>#N/A</v>
      </c>
      <c r="H47" s="90" t="n">
        <f aca="false">IF(SprintBurndown[[#This Row],[Ideal]]="",NA(),SprintBurndown[[#This Row],[Ideal]])</f>
        <v>0</v>
      </c>
    </row>
    <row r="48" customFormat="false" ht="15" hidden="false" customHeight="false" outlineLevel="0" collapsed="false">
      <c r="C48" s="31" t="n">
        <f aca="false">IF(OR(CurrentSprint="",ROW()-ROW(SprintBurndown[[#Headers],[Day]])&gt;SprintLength),"",CurrentSprintStart+ROW()-ROW(SprintBurndown[[#Headers],[Day]])-1)</f>
        <v>5</v>
      </c>
      <c r="D48" s="89" t="str">
        <f aca="false">IF(OR(SprintBurndown[[#This Row],[Day]]="",SprintBurndown[[#This Row],[Day]]&gt;StatusDate),"",agl_CurCommitted-SUMIFS(tsk_LeafPoints,tsk_Sprint,CurrentSprint,tsk_DoneDate,"&lt;="&amp;SprintBurndown[[#This Row],[Day]]))</f>
        <v/>
      </c>
      <c r="E48" s="89" t="n">
        <f aca="false">IF(SprintBurndown[[#This Row],[Day]]="","",agl_CurCommitted*MAX(0,1-NETWORKDAYS.INTL(CurrentSprintStart,SprintBurndown[[#This Row],[Day]],WorkWeek,Holidays)/MAX(1,NETWORKDAYS.INTL(CurrentSprintStart,CurrentSprintEnd,WorkWeek,Holidays))))</f>
        <v>0</v>
      </c>
      <c r="F48" s="38" t="str">
        <f aca="false">IF(SprintBurndown[[#This Row],[Day]]="","",TEXT(SprintBurndown[[#This Row],[Day]],"dd-mmm"))</f>
        <v>04-Jan</v>
      </c>
      <c r="G48" s="38" t="e">
        <f aca="false">IF(SprintBurndown[[#This Row],[Remaining]]="",NA(),SprintBurndown[[#This Row],[Remaining]])</f>
        <v>#N/A</v>
      </c>
      <c r="H48" s="90" t="n">
        <f aca="false">IF(SprintBurndown[[#This Row],[Ideal]]="",NA(),SprintBurndown[[#This Row],[Ideal]])</f>
        <v>0</v>
      </c>
    </row>
    <row r="49" customFormat="false" ht="15" hidden="false" customHeight="false" outlineLevel="0" collapsed="false">
      <c r="C49" s="31" t="n">
        <f aca="false">IF(OR(CurrentSprint="",ROW()-ROW(SprintBurndown[[#Headers],[Day]])&gt;SprintLength),"",CurrentSprintStart+ROW()-ROW(SprintBurndown[[#Headers],[Day]])-1)</f>
        <v>6</v>
      </c>
      <c r="D49" s="89" t="str">
        <f aca="false">IF(OR(SprintBurndown[[#This Row],[Day]]="",SprintBurndown[[#This Row],[Day]]&gt;StatusDate),"",agl_CurCommitted-SUMIFS(tsk_LeafPoints,tsk_Sprint,CurrentSprint,tsk_DoneDate,"&lt;="&amp;SprintBurndown[[#This Row],[Day]]))</f>
        <v/>
      </c>
      <c r="E49" s="89" t="n">
        <f aca="false">IF(SprintBurndown[[#This Row],[Day]]="","",agl_CurCommitted*MAX(0,1-NETWORKDAYS.INTL(CurrentSprintStart,SprintBurndown[[#This Row],[Day]],WorkWeek,Holidays)/MAX(1,NETWORKDAYS.INTL(CurrentSprintStart,CurrentSprintEnd,WorkWeek,Holidays))))</f>
        <v>0</v>
      </c>
      <c r="F49" s="38" t="str">
        <f aca="false">IF(SprintBurndown[[#This Row],[Day]]="","",TEXT(SprintBurndown[[#This Row],[Day]],"dd-mmm"))</f>
        <v>05-Jan</v>
      </c>
      <c r="G49" s="38" t="e">
        <f aca="false">IF(SprintBurndown[[#This Row],[Remaining]]="",NA(),SprintBurndown[[#This Row],[Remaining]])</f>
        <v>#N/A</v>
      </c>
      <c r="H49" s="90" t="n">
        <f aca="false">IF(SprintBurndown[[#This Row],[Ideal]]="",NA(),SprintBurndown[[#This Row],[Ideal]])</f>
        <v>0</v>
      </c>
    </row>
    <row r="50" customFormat="false" ht="15" hidden="false" customHeight="false" outlineLevel="0" collapsed="false">
      <c r="C50" s="31" t="n">
        <f aca="false">IF(OR(CurrentSprint="",ROW()-ROW(SprintBurndown[[#Headers],[Day]])&gt;SprintLength),"",CurrentSprintStart+ROW()-ROW(SprintBurndown[[#Headers],[Day]])-1)</f>
        <v>7</v>
      </c>
      <c r="D50" s="89" t="str">
        <f aca="false">IF(OR(SprintBurndown[[#This Row],[Day]]="",SprintBurndown[[#This Row],[Day]]&gt;StatusDate),"",agl_CurCommitted-SUMIFS(tsk_LeafPoints,tsk_Sprint,CurrentSprint,tsk_DoneDate,"&lt;="&amp;SprintBurndown[[#This Row],[Day]]))</f>
        <v/>
      </c>
      <c r="E50" s="89" t="n">
        <f aca="false">IF(SprintBurndown[[#This Row],[Day]]="","",agl_CurCommitted*MAX(0,1-NETWORKDAYS.INTL(CurrentSprintStart,SprintBurndown[[#This Row],[Day]],WorkWeek,Holidays)/MAX(1,NETWORKDAYS.INTL(CurrentSprintStart,CurrentSprintEnd,WorkWeek,Holidays))))</f>
        <v>0</v>
      </c>
      <c r="F50" s="38" t="str">
        <f aca="false">IF(SprintBurndown[[#This Row],[Day]]="","",TEXT(SprintBurndown[[#This Row],[Day]],"dd-mmm"))</f>
        <v>06-Jan</v>
      </c>
      <c r="G50" s="38" t="e">
        <f aca="false">IF(SprintBurndown[[#This Row],[Remaining]]="",NA(),SprintBurndown[[#This Row],[Remaining]])</f>
        <v>#N/A</v>
      </c>
      <c r="H50" s="90" t="n">
        <f aca="false">IF(SprintBurndown[[#This Row],[Ideal]]="",NA(),SprintBurndown[[#This Row],[Ideal]])</f>
        <v>0</v>
      </c>
    </row>
    <row r="51" customFormat="false" ht="15" hidden="false" customHeight="false" outlineLevel="0" collapsed="false">
      <c r="C51" s="31" t="n">
        <f aca="false">IF(OR(CurrentSprint="",ROW()-ROW(SprintBurndown[[#Headers],[Day]])&gt;SprintLength),"",CurrentSprintStart+ROW()-ROW(SprintBurndown[[#Headers],[Day]])-1)</f>
        <v>8</v>
      </c>
      <c r="D51" s="89" t="str">
        <f aca="false">IF(OR(SprintBurndown[[#This Row],[Day]]="",SprintBurndown[[#This Row],[Day]]&gt;StatusDate),"",agl_CurCommitted-SUMIFS(tsk_LeafPoints,tsk_Sprint,CurrentSprint,tsk_DoneDate,"&lt;="&amp;SprintBurndown[[#This Row],[Day]]))</f>
        <v/>
      </c>
      <c r="E51" s="89" t="n">
        <f aca="false">IF(SprintBurndown[[#This Row],[Day]]="","",agl_CurCommitted*MAX(0,1-NETWORKDAYS.INTL(CurrentSprintStart,SprintBurndown[[#This Row],[Day]],WorkWeek,Holidays)/MAX(1,NETWORKDAYS.INTL(CurrentSprintStart,CurrentSprintEnd,WorkWeek,Holidays))))</f>
        <v>0</v>
      </c>
      <c r="F51" s="38" t="str">
        <f aca="false">IF(SprintBurndown[[#This Row],[Day]]="","",TEXT(SprintBurndown[[#This Row],[Day]],"dd-mmm"))</f>
        <v>07-Jan</v>
      </c>
      <c r="G51" s="38" t="e">
        <f aca="false">IF(SprintBurndown[[#This Row],[Remaining]]="",NA(),SprintBurndown[[#This Row],[Remaining]])</f>
        <v>#N/A</v>
      </c>
      <c r="H51" s="90" t="n">
        <f aca="false">IF(SprintBurndown[[#This Row],[Ideal]]="",NA(),SprintBurndown[[#This Row],[Ideal]])</f>
        <v>0</v>
      </c>
    </row>
    <row r="52" customFormat="false" ht="15" hidden="false" customHeight="false" outlineLevel="0" collapsed="false">
      <c r="C52" s="31" t="n">
        <f aca="false">IF(OR(CurrentSprint="",ROW()-ROW(SprintBurndown[[#Headers],[Day]])&gt;SprintLength),"",CurrentSprintStart+ROW()-ROW(SprintBurndown[[#Headers],[Day]])-1)</f>
        <v>9</v>
      </c>
      <c r="D52" s="89" t="str">
        <f aca="false">IF(OR(SprintBurndown[[#This Row],[Day]]="",SprintBurndown[[#This Row],[Day]]&gt;StatusDate),"",agl_CurCommitted-SUMIFS(tsk_LeafPoints,tsk_Sprint,CurrentSprint,tsk_DoneDate,"&lt;="&amp;SprintBurndown[[#This Row],[Day]]))</f>
        <v/>
      </c>
      <c r="E52" s="89" t="n">
        <f aca="false">IF(SprintBurndown[[#This Row],[Day]]="","",agl_CurCommitted*MAX(0,1-NETWORKDAYS.INTL(CurrentSprintStart,SprintBurndown[[#This Row],[Day]],WorkWeek,Holidays)/MAX(1,NETWORKDAYS.INTL(CurrentSprintStart,CurrentSprintEnd,WorkWeek,Holidays))))</f>
        <v>0</v>
      </c>
      <c r="F52" s="38" t="str">
        <f aca="false">IF(SprintBurndown[[#This Row],[Day]]="","",TEXT(SprintBurndown[[#This Row],[Day]],"dd-mmm"))</f>
        <v>08-Jan</v>
      </c>
      <c r="G52" s="38" t="e">
        <f aca="false">IF(SprintBurndown[[#This Row],[Remaining]]="",NA(),SprintBurndown[[#This Row],[Remaining]])</f>
        <v>#N/A</v>
      </c>
      <c r="H52" s="90" t="n">
        <f aca="false">IF(SprintBurndown[[#This Row],[Ideal]]="",NA(),SprintBurndown[[#This Row],[Ideal]])</f>
        <v>0</v>
      </c>
    </row>
    <row r="53" customFormat="false" ht="15" hidden="false" customHeight="false" outlineLevel="0" collapsed="false">
      <c r="C53" s="31" t="n">
        <f aca="false">IF(OR(CurrentSprint="",ROW()-ROW(SprintBurndown[[#Headers],[Day]])&gt;SprintLength),"",CurrentSprintStart+ROW()-ROW(SprintBurndown[[#Headers],[Day]])-1)</f>
        <v>10</v>
      </c>
      <c r="D53" s="89" t="str">
        <f aca="false">IF(OR(SprintBurndown[[#This Row],[Day]]="",SprintBurndown[[#This Row],[Day]]&gt;StatusDate),"",agl_CurCommitted-SUMIFS(tsk_LeafPoints,tsk_Sprint,CurrentSprint,tsk_DoneDate,"&lt;="&amp;SprintBurndown[[#This Row],[Day]]))</f>
        <v/>
      </c>
      <c r="E53" s="89" t="n">
        <f aca="false">IF(SprintBurndown[[#This Row],[Day]]="","",agl_CurCommitted*MAX(0,1-NETWORKDAYS.INTL(CurrentSprintStart,SprintBurndown[[#This Row],[Day]],WorkWeek,Holidays)/MAX(1,NETWORKDAYS.INTL(CurrentSprintStart,CurrentSprintEnd,WorkWeek,Holidays))))</f>
        <v>0</v>
      </c>
      <c r="F53" s="38" t="str">
        <f aca="false">IF(SprintBurndown[[#This Row],[Day]]="","",TEXT(SprintBurndown[[#This Row],[Day]],"dd-mmm"))</f>
        <v>09-Jan</v>
      </c>
      <c r="G53" s="38" t="e">
        <f aca="false">IF(SprintBurndown[[#This Row],[Remaining]]="",NA(),SprintBurndown[[#This Row],[Remaining]])</f>
        <v>#N/A</v>
      </c>
      <c r="H53" s="90" t="n">
        <f aca="false">IF(SprintBurndown[[#This Row],[Ideal]]="",NA(),SprintBurndown[[#This Row],[Ideal]])</f>
        <v>0</v>
      </c>
    </row>
    <row r="54" customFormat="false" ht="15" hidden="false" customHeight="false" outlineLevel="0" collapsed="false">
      <c r="C54" s="31" t="n">
        <f aca="false">IF(OR(CurrentSprint="",ROW()-ROW(SprintBurndown[[#Headers],[Day]])&gt;SprintLength),"",CurrentSprintStart+ROW()-ROW(SprintBurndown[[#Headers],[Day]])-1)</f>
        <v>11</v>
      </c>
      <c r="D54" s="89" t="str">
        <f aca="false">IF(OR(SprintBurndown[[#This Row],[Day]]="",SprintBurndown[[#This Row],[Day]]&gt;StatusDate),"",agl_CurCommitted-SUMIFS(tsk_LeafPoints,tsk_Sprint,CurrentSprint,tsk_DoneDate,"&lt;="&amp;SprintBurndown[[#This Row],[Day]]))</f>
        <v/>
      </c>
      <c r="E54" s="89" t="n">
        <f aca="false">IF(SprintBurndown[[#This Row],[Day]]="","",agl_CurCommitted*MAX(0,1-NETWORKDAYS.INTL(CurrentSprintStart,SprintBurndown[[#This Row],[Day]],WorkWeek,Holidays)/MAX(1,NETWORKDAYS.INTL(CurrentSprintStart,CurrentSprintEnd,WorkWeek,Holidays))))</f>
        <v>0</v>
      </c>
      <c r="F54" s="38" t="str">
        <f aca="false">IF(SprintBurndown[[#This Row],[Day]]="","",TEXT(SprintBurndown[[#This Row],[Day]],"dd-mmm"))</f>
        <v>10-Jan</v>
      </c>
      <c r="G54" s="38" t="e">
        <f aca="false">IF(SprintBurndown[[#This Row],[Remaining]]="",NA(),SprintBurndown[[#This Row],[Remaining]])</f>
        <v>#N/A</v>
      </c>
      <c r="H54" s="90" t="n">
        <f aca="false">IF(SprintBurndown[[#This Row],[Ideal]]="",NA(),SprintBurndown[[#This Row],[Ideal]])</f>
        <v>0</v>
      </c>
    </row>
    <row r="55" customFormat="false" ht="15" hidden="false" customHeight="false" outlineLevel="0" collapsed="false">
      <c r="C55" s="31" t="n">
        <f aca="false">IF(OR(CurrentSprint="",ROW()-ROW(SprintBurndown[[#Headers],[Day]])&gt;SprintLength),"",CurrentSprintStart+ROW()-ROW(SprintBurndown[[#Headers],[Day]])-1)</f>
        <v>12</v>
      </c>
      <c r="D55" s="89" t="str">
        <f aca="false">IF(OR(SprintBurndown[[#This Row],[Day]]="",SprintBurndown[[#This Row],[Day]]&gt;StatusDate),"",agl_CurCommitted-SUMIFS(tsk_LeafPoints,tsk_Sprint,CurrentSprint,tsk_DoneDate,"&lt;="&amp;SprintBurndown[[#This Row],[Day]]))</f>
        <v/>
      </c>
      <c r="E55" s="89" t="n">
        <f aca="false">IF(SprintBurndown[[#This Row],[Day]]="","",agl_CurCommitted*MAX(0,1-NETWORKDAYS.INTL(CurrentSprintStart,SprintBurndown[[#This Row],[Day]],WorkWeek,Holidays)/MAX(1,NETWORKDAYS.INTL(CurrentSprintStart,CurrentSprintEnd,WorkWeek,Holidays))))</f>
        <v>0</v>
      </c>
      <c r="F55" s="38" t="str">
        <f aca="false">IF(SprintBurndown[[#This Row],[Day]]="","",TEXT(SprintBurndown[[#This Row],[Day]],"dd-mmm"))</f>
        <v>11-Jan</v>
      </c>
      <c r="G55" s="38" t="e">
        <f aca="false">IF(SprintBurndown[[#This Row],[Remaining]]="",NA(),SprintBurndown[[#This Row],[Remaining]])</f>
        <v>#N/A</v>
      </c>
      <c r="H55" s="90" t="n">
        <f aca="false">IF(SprintBurndown[[#This Row],[Ideal]]="",NA(),SprintBurndown[[#This Row],[Ideal]])</f>
        <v>0</v>
      </c>
    </row>
    <row r="56" customFormat="false" ht="15" hidden="false" customHeight="false" outlineLevel="0" collapsed="false">
      <c r="C56" s="31" t="n">
        <f aca="false">IF(OR(CurrentSprint="",ROW()-ROW(SprintBurndown[[#Headers],[Day]])&gt;SprintLength),"",CurrentSprintStart+ROW()-ROW(SprintBurndown[[#Headers],[Day]])-1)</f>
        <v>13</v>
      </c>
      <c r="D56" s="89" t="str">
        <f aca="false">IF(OR(SprintBurndown[[#This Row],[Day]]="",SprintBurndown[[#This Row],[Day]]&gt;StatusDate),"",agl_CurCommitted-SUMIFS(tsk_LeafPoints,tsk_Sprint,CurrentSprint,tsk_DoneDate,"&lt;="&amp;SprintBurndown[[#This Row],[Day]]))</f>
        <v/>
      </c>
      <c r="E56" s="89" t="n">
        <f aca="false">IF(SprintBurndown[[#This Row],[Day]]="","",agl_CurCommitted*MAX(0,1-NETWORKDAYS.INTL(CurrentSprintStart,SprintBurndown[[#This Row],[Day]],WorkWeek,Holidays)/MAX(1,NETWORKDAYS.INTL(CurrentSprintStart,CurrentSprintEnd,WorkWeek,Holidays))))</f>
        <v>0</v>
      </c>
      <c r="F56" s="38" t="str">
        <f aca="false">IF(SprintBurndown[[#This Row],[Day]]="","",TEXT(SprintBurndown[[#This Row],[Day]],"dd-mmm"))</f>
        <v>12-Jan</v>
      </c>
      <c r="G56" s="38" t="e">
        <f aca="false">IF(SprintBurndown[[#This Row],[Remaining]]="",NA(),SprintBurndown[[#This Row],[Remaining]])</f>
        <v>#N/A</v>
      </c>
      <c r="H56" s="90" t="n">
        <f aca="false">IF(SprintBurndown[[#This Row],[Ideal]]="",NA(),SprintBurndown[[#This Row],[Ideal]])</f>
        <v>0</v>
      </c>
    </row>
    <row r="57" customFormat="false" ht="15" hidden="false" customHeight="false" outlineLevel="0" collapsed="false">
      <c r="C57" s="31" t="n">
        <f aca="false">IF(OR(CurrentSprint="",ROW()-ROW(SprintBurndown[[#Headers],[Day]])&gt;SprintLength),"",CurrentSprintStart+ROW()-ROW(SprintBurndown[[#Headers],[Day]])-1)</f>
        <v>14</v>
      </c>
      <c r="D57" s="89" t="str">
        <f aca="false">IF(OR(SprintBurndown[[#This Row],[Day]]="",SprintBurndown[[#This Row],[Day]]&gt;StatusDate),"",agl_CurCommitted-SUMIFS(tsk_LeafPoints,tsk_Sprint,CurrentSprint,tsk_DoneDate,"&lt;="&amp;SprintBurndown[[#This Row],[Day]]))</f>
        <v/>
      </c>
      <c r="E57" s="89" t="n">
        <f aca="false">IF(SprintBurndown[[#This Row],[Day]]="","",agl_CurCommitted*MAX(0,1-NETWORKDAYS.INTL(CurrentSprintStart,SprintBurndown[[#This Row],[Day]],WorkWeek,Holidays)/MAX(1,NETWORKDAYS.INTL(CurrentSprintStart,CurrentSprintEnd,WorkWeek,Holidays))))</f>
        <v>0</v>
      </c>
      <c r="F57" s="38" t="str">
        <f aca="false">IF(SprintBurndown[[#This Row],[Day]]="","",TEXT(SprintBurndown[[#This Row],[Day]],"dd-mmm"))</f>
        <v>13-Jan</v>
      </c>
      <c r="G57" s="38" t="e">
        <f aca="false">IF(SprintBurndown[[#This Row],[Remaining]]="",NA(),SprintBurndown[[#This Row],[Remaining]])</f>
        <v>#N/A</v>
      </c>
      <c r="H57" s="90" t="n">
        <f aca="false">IF(SprintBurndown[[#This Row],[Ideal]]="",NA(),SprintBurndown[[#This Row],[Ideal]])</f>
        <v>0</v>
      </c>
    </row>
    <row r="58" customFormat="false" ht="15" hidden="false" customHeight="false" outlineLevel="0" collapsed="false">
      <c r="C58" s="31" t="str">
        <f aca="false">IF(OR(CurrentSprint="",ROW()-ROW(SprintBurndown[[#Headers],[Day]])&gt;SprintLength),"",CurrentSprintStart+ROW()-ROW(SprintBurndown[[#Headers],[Day]])-1)</f>
        <v/>
      </c>
      <c r="D58" s="89" t="str">
        <f aca="false">IF(OR(SprintBurndown[[#This Row],[Day]]="",SprintBurndown[[#This Row],[Day]]&gt;StatusDate),"",agl_CurCommitted-SUMIFS(tsk_LeafPoints,tsk_Sprint,CurrentSprint,tsk_DoneDate,"&lt;="&amp;SprintBurndown[[#This Row],[Day]]))</f>
        <v/>
      </c>
      <c r="E58" s="89" t="str">
        <f aca="false">IF(SprintBurndown[[#This Row],[Day]]="","",agl_CurCommitted*MAX(0,1-NETWORKDAYS.INTL(CurrentSprintStart,SprintBurndown[[#This Row],[Day]],WorkWeek,Holidays)/MAX(1,NETWORKDAYS.INTL(CurrentSprintStart,CurrentSprintEnd,WorkWeek,Holidays))))</f>
        <v/>
      </c>
      <c r="F58" s="38" t="str">
        <f aca="false">IF(SprintBurndown[[#This Row],[Day]]="","",TEXT(SprintBurndown[[#This Row],[Day]],"dd-mmm"))</f>
        <v/>
      </c>
      <c r="G58" s="38" t="e">
        <f aca="false">IF(SprintBurndown[[#This Row],[Remaining]]="",NA(),SprintBurndown[[#This Row],[Remaining]])</f>
        <v>#N/A</v>
      </c>
      <c r="H58" s="38" t="e">
        <f aca="false">IF(SprintBurndown[[#This Row],[Ideal]]="",NA(),SprintBurndown[[#This Row],[Ideal]])</f>
        <v>#N/A</v>
      </c>
    </row>
    <row r="59" customFormat="false" ht="15" hidden="false" customHeight="false" outlineLevel="0" collapsed="false">
      <c r="C59" s="31" t="str">
        <f aca="false">IF(OR(CurrentSprint="",ROW()-ROW(SprintBurndown[[#Headers],[Day]])&gt;SprintLength),"",CurrentSprintStart+ROW()-ROW(SprintBurndown[[#Headers],[Day]])-1)</f>
        <v/>
      </c>
      <c r="D59" s="89" t="str">
        <f aca="false">IF(OR(SprintBurndown[[#This Row],[Day]]="",SprintBurndown[[#This Row],[Day]]&gt;StatusDate),"",agl_CurCommitted-SUMIFS(tsk_LeafPoints,tsk_Sprint,CurrentSprint,tsk_DoneDate,"&lt;="&amp;SprintBurndown[[#This Row],[Day]]))</f>
        <v/>
      </c>
      <c r="E59" s="89" t="str">
        <f aca="false">IF(SprintBurndown[[#This Row],[Day]]="","",agl_CurCommitted*MAX(0,1-NETWORKDAYS.INTL(CurrentSprintStart,SprintBurndown[[#This Row],[Day]],WorkWeek,Holidays)/MAX(1,NETWORKDAYS.INTL(CurrentSprintStart,CurrentSprintEnd,WorkWeek,Holidays))))</f>
        <v/>
      </c>
      <c r="F59" s="38" t="str">
        <f aca="false">IF(SprintBurndown[[#This Row],[Day]]="","",TEXT(SprintBurndown[[#This Row],[Day]],"dd-mmm"))</f>
        <v/>
      </c>
      <c r="G59" s="38" t="e">
        <f aca="false">IF(SprintBurndown[[#This Row],[Remaining]]="",NA(),SprintBurndown[[#This Row],[Remaining]])</f>
        <v>#N/A</v>
      </c>
      <c r="H59" s="38" t="e">
        <f aca="false">IF(SprintBurndown[[#This Row],[Ideal]]="",NA(),SprintBurndown[[#This Row],[Ideal]])</f>
        <v>#N/A</v>
      </c>
    </row>
    <row r="60" customFormat="false" ht="15" hidden="false" customHeight="false" outlineLevel="0" collapsed="false">
      <c r="C60" s="31" t="str">
        <f aca="false">IF(OR(CurrentSprint="",ROW()-ROW(SprintBurndown[[#Headers],[Day]])&gt;SprintLength),"",CurrentSprintStart+ROW()-ROW(SprintBurndown[[#Headers],[Day]])-1)</f>
        <v/>
      </c>
      <c r="D60" s="89" t="str">
        <f aca="false">IF(OR(SprintBurndown[[#This Row],[Day]]="",SprintBurndown[[#This Row],[Day]]&gt;StatusDate),"",agl_CurCommitted-SUMIFS(tsk_LeafPoints,tsk_Sprint,CurrentSprint,tsk_DoneDate,"&lt;="&amp;SprintBurndown[[#This Row],[Day]]))</f>
        <v/>
      </c>
      <c r="E60" s="89" t="str">
        <f aca="false">IF(SprintBurndown[[#This Row],[Day]]="","",agl_CurCommitted*MAX(0,1-NETWORKDAYS.INTL(CurrentSprintStart,SprintBurndown[[#This Row],[Day]],WorkWeek,Holidays)/MAX(1,NETWORKDAYS.INTL(CurrentSprintStart,CurrentSprintEnd,WorkWeek,Holidays))))</f>
        <v/>
      </c>
      <c r="F60" s="38" t="str">
        <f aca="false">IF(SprintBurndown[[#This Row],[Day]]="","",TEXT(SprintBurndown[[#This Row],[Day]],"dd-mmm"))</f>
        <v/>
      </c>
      <c r="G60" s="38" t="e">
        <f aca="false">IF(SprintBurndown[[#This Row],[Remaining]]="",NA(),SprintBurndown[[#This Row],[Remaining]])</f>
        <v>#N/A</v>
      </c>
      <c r="H60" s="38" t="e">
        <f aca="false">IF(SprintBurndown[[#This Row],[Ideal]]="",NA(),SprintBurndown[[#This Row],[Ideal]])</f>
        <v>#N/A</v>
      </c>
    </row>
    <row r="61" customFormat="false" ht="15" hidden="false" customHeight="false" outlineLevel="0" collapsed="false">
      <c r="C61" s="31" t="str">
        <f aca="false">IF(OR(CurrentSprint="",ROW()-ROW(SprintBurndown[[#Headers],[Day]])&gt;SprintLength),"",CurrentSprintStart+ROW()-ROW(SprintBurndown[[#Headers],[Day]])-1)</f>
        <v/>
      </c>
      <c r="D61" s="89" t="str">
        <f aca="false">IF(OR(SprintBurndown[[#This Row],[Day]]="",SprintBurndown[[#This Row],[Day]]&gt;StatusDate),"",agl_CurCommitted-SUMIFS(tsk_LeafPoints,tsk_Sprint,CurrentSprint,tsk_DoneDate,"&lt;="&amp;SprintBurndown[[#This Row],[Day]]))</f>
        <v/>
      </c>
      <c r="E61" s="89" t="str">
        <f aca="false">IF(SprintBurndown[[#This Row],[Day]]="","",agl_CurCommitted*MAX(0,1-NETWORKDAYS.INTL(CurrentSprintStart,SprintBurndown[[#This Row],[Day]],WorkWeek,Holidays)/MAX(1,NETWORKDAYS.INTL(CurrentSprintStart,CurrentSprintEnd,WorkWeek,Holidays))))</f>
        <v/>
      </c>
      <c r="F61" s="38" t="str">
        <f aca="false">IF(SprintBurndown[[#This Row],[Day]]="","",TEXT(SprintBurndown[[#This Row],[Day]],"dd-mmm"))</f>
        <v/>
      </c>
      <c r="G61" s="38" t="e">
        <f aca="false">IF(SprintBurndown[[#This Row],[Remaining]]="",NA(),SprintBurndown[[#This Row],[Remaining]])</f>
        <v>#N/A</v>
      </c>
      <c r="H61" s="38" t="e">
        <f aca="false">IF(SprintBurndown[[#This Row],[Ideal]]="",NA(),SprintBurndown[[#This Row],[Ideal]])</f>
        <v>#N/A</v>
      </c>
    </row>
    <row r="62" customFormat="false" ht="15" hidden="false" customHeight="false" outlineLevel="0" collapsed="false">
      <c r="C62" s="31" t="str">
        <f aca="false">IF(OR(CurrentSprint="",ROW()-ROW(SprintBurndown[[#Headers],[Day]])&gt;SprintLength),"",CurrentSprintStart+ROW()-ROW(SprintBurndown[[#Headers],[Day]])-1)</f>
        <v/>
      </c>
      <c r="D62" s="89" t="str">
        <f aca="false">IF(OR(SprintBurndown[[#This Row],[Day]]="",SprintBurndown[[#This Row],[Day]]&gt;StatusDate),"",agl_CurCommitted-SUMIFS(tsk_LeafPoints,tsk_Sprint,CurrentSprint,tsk_DoneDate,"&lt;="&amp;SprintBurndown[[#This Row],[Day]]))</f>
        <v/>
      </c>
      <c r="E62" s="89" t="str">
        <f aca="false">IF(SprintBurndown[[#This Row],[Day]]="","",agl_CurCommitted*MAX(0,1-NETWORKDAYS.INTL(CurrentSprintStart,SprintBurndown[[#This Row],[Day]],WorkWeek,Holidays)/MAX(1,NETWORKDAYS.INTL(CurrentSprintStart,CurrentSprintEnd,WorkWeek,Holidays))))</f>
        <v/>
      </c>
      <c r="F62" s="38" t="str">
        <f aca="false">IF(SprintBurndown[[#This Row],[Day]]="","",TEXT(SprintBurndown[[#This Row],[Day]],"dd-mmm"))</f>
        <v/>
      </c>
      <c r="G62" s="38" t="e">
        <f aca="false">IF(SprintBurndown[[#This Row],[Remaining]]="",NA(),SprintBurndown[[#This Row],[Remaining]])</f>
        <v>#N/A</v>
      </c>
      <c r="H62" s="38" t="e">
        <f aca="false">IF(SprintBurndown[[#This Row],[Ideal]]="",NA(),SprintBurndown[[#This Row],[Ideal]])</f>
        <v>#N/A</v>
      </c>
    </row>
    <row r="63" customFormat="false" ht="15" hidden="false" customHeight="false" outlineLevel="0" collapsed="false">
      <c r="C63" s="31" t="str">
        <f aca="false">IF(OR(CurrentSprint="",ROW()-ROW(SprintBurndown[[#Headers],[Day]])&gt;SprintLength),"",CurrentSprintStart+ROW()-ROW(SprintBurndown[[#Headers],[Day]])-1)</f>
        <v/>
      </c>
      <c r="D63" s="89" t="str">
        <f aca="false">IF(OR(SprintBurndown[[#This Row],[Day]]="",SprintBurndown[[#This Row],[Day]]&gt;StatusDate),"",agl_CurCommitted-SUMIFS(tsk_LeafPoints,tsk_Sprint,CurrentSprint,tsk_DoneDate,"&lt;="&amp;SprintBurndown[[#This Row],[Day]]))</f>
        <v/>
      </c>
      <c r="E63" s="89" t="str">
        <f aca="false">IF(SprintBurndown[[#This Row],[Day]]="","",agl_CurCommitted*MAX(0,1-NETWORKDAYS.INTL(CurrentSprintStart,SprintBurndown[[#This Row],[Day]],WorkWeek,Holidays)/MAX(1,NETWORKDAYS.INTL(CurrentSprintStart,CurrentSprintEnd,WorkWeek,Holidays))))</f>
        <v/>
      </c>
      <c r="F63" s="38" t="str">
        <f aca="false">IF(SprintBurndown[[#This Row],[Day]]="","",TEXT(SprintBurndown[[#This Row],[Day]],"dd-mmm"))</f>
        <v/>
      </c>
      <c r="G63" s="38" t="e">
        <f aca="false">IF(SprintBurndown[[#This Row],[Remaining]]="",NA(),SprintBurndown[[#This Row],[Remaining]])</f>
        <v>#N/A</v>
      </c>
      <c r="H63" s="38" t="e">
        <f aca="false">IF(SprintBurndown[[#This Row],[Ideal]]="",NA(),SprintBurndown[[#This Row],[Ideal]])</f>
        <v>#N/A</v>
      </c>
    </row>
    <row r="64" customFormat="false" ht="15" hidden="false" customHeight="false" outlineLevel="0" collapsed="false">
      <c r="C64" s="31" t="str">
        <f aca="false">IF(OR(CurrentSprint="",ROW()-ROW(SprintBurndown[[#Headers],[Day]])&gt;SprintLength),"",CurrentSprintStart+ROW()-ROW(SprintBurndown[[#Headers],[Day]])-1)</f>
        <v/>
      </c>
      <c r="D64" s="89" t="str">
        <f aca="false">IF(OR(SprintBurndown[[#This Row],[Day]]="",SprintBurndown[[#This Row],[Day]]&gt;StatusDate),"",agl_CurCommitted-SUMIFS(tsk_LeafPoints,tsk_Sprint,CurrentSprint,tsk_DoneDate,"&lt;="&amp;SprintBurndown[[#This Row],[Day]]))</f>
        <v/>
      </c>
      <c r="E64" s="89" t="str">
        <f aca="false">IF(SprintBurndown[[#This Row],[Day]]="","",agl_CurCommitted*MAX(0,1-NETWORKDAYS.INTL(CurrentSprintStart,SprintBurndown[[#This Row],[Day]],WorkWeek,Holidays)/MAX(1,NETWORKDAYS.INTL(CurrentSprintStart,CurrentSprintEnd,WorkWeek,Holidays))))</f>
        <v/>
      </c>
      <c r="F64" s="38" t="str">
        <f aca="false">IF(SprintBurndown[[#This Row],[Day]]="","",TEXT(SprintBurndown[[#This Row],[Day]],"dd-mmm"))</f>
        <v/>
      </c>
      <c r="G64" s="38" t="e">
        <f aca="false">IF(SprintBurndown[[#This Row],[Remaining]]="",NA(),SprintBurndown[[#This Row],[Remaining]])</f>
        <v>#N/A</v>
      </c>
      <c r="H64" s="38" t="e">
        <f aca="false">IF(SprintBurndown[[#This Row],[Ideal]]="",NA(),SprintBurndown[[#This Row],[Ideal]])</f>
        <v>#N/A</v>
      </c>
    </row>
    <row r="65" customFormat="false" ht="15" hidden="false" customHeight="false" outlineLevel="0" collapsed="false">
      <c r="C65" s="31" t="str">
        <f aca="false">IF(OR(CurrentSprint="",ROW()-ROW(SprintBurndown[[#Headers],[Day]])&gt;SprintLength),"",CurrentSprintStart+ROW()-ROW(SprintBurndown[[#Headers],[Day]])-1)</f>
        <v/>
      </c>
      <c r="D65" s="89" t="str">
        <f aca="false">IF(OR(SprintBurndown[[#This Row],[Day]]="",SprintBurndown[[#This Row],[Day]]&gt;StatusDate),"",agl_CurCommitted-SUMIFS(tsk_LeafPoints,tsk_Sprint,CurrentSprint,tsk_DoneDate,"&lt;="&amp;SprintBurndown[[#This Row],[Day]]))</f>
        <v/>
      </c>
      <c r="E65" s="89" t="str">
        <f aca="false">IF(SprintBurndown[[#This Row],[Day]]="","",agl_CurCommitted*MAX(0,1-NETWORKDAYS.INTL(CurrentSprintStart,SprintBurndown[[#This Row],[Day]],WorkWeek,Holidays)/MAX(1,NETWORKDAYS.INTL(CurrentSprintStart,CurrentSprintEnd,WorkWeek,Holidays))))</f>
        <v/>
      </c>
      <c r="F65" s="38" t="str">
        <f aca="false">IF(SprintBurndown[[#This Row],[Day]]="","",TEXT(SprintBurndown[[#This Row],[Day]],"dd-mmm"))</f>
        <v/>
      </c>
      <c r="G65" s="38" t="e">
        <f aca="false">IF(SprintBurndown[[#This Row],[Remaining]]="",NA(),SprintBurndown[[#This Row],[Remaining]])</f>
        <v>#N/A</v>
      </c>
      <c r="H65" s="38" t="e">
        <f aca="false">IF(SprintBurndown[[#This Row],[Ideal]]="",NA(),SprintBurndown[[#This Row],[Ideal]])</f>
        <v>#N/A</v>
      </c>
    </row>
    <row r="66" customFormat="false" ht="15" hidden="false" customHeight="false" outlineLevel="0" collapsed="false">
      <c r="C66" s="31" t="str">
        <f aca="false">IF(OR(CurrentSprint="",ROW()-ROW(SprintBurndown[[#Headers],[Day]])&gt;SprintLength),"",CurrentSprintStart+ROW()-ROW(SprintBurndown[[#Headers],[Day]])-1)</f>
        <v/>
      </c>
      <c r="D66" s="89" t="str">
        <f aca="false">IF(OR(SprintBurndown[[#This Row],[Day]]="",SprintBurndown[[#This Row],[Day]]&gt;StatusDate),"",agl_CurCommitted-SUMIFS(tsk_LeafPoints,tsk_Sprint,CurrentSprint,tsk_DoneDate,"&lt;="&amp;SprintBurndown[[#This Row],[Day]]))</f>
        <v/>
      </c>
      <c r="E66" s="89" t="str">
        <f aca="false">IF(SprintBurndown[[#This Row],[Day]]="","",agl_CurCommitted*MAX(0,1-NETWORKDAYS.INTL(CurrentSprintStart,SprintBurndown[[#This Row],[Day]],WorkWeek,Holidays)/MAX(1,NETWORKDAYS.INTL(CurrentSprintStart,CurrentSprintEnd,WorkWeek,Holidays))))</f>
        <v/>
      </c>
      <c r="F66" s="38" t="str">
        <f aca="false">IF(SprintBurndown[[#This Row],[Day]]="","",TEXT(SprintBurndown[[#This Row],[Day]],"dd-mmm"))</f>
        <v/>
      </c>
      <c r="G66" s="38" t="e">
        <f aca="false">IF(SprintBurndown[[#This Row],[Remaining]]="",NA(),SprintBurndown[[#This Row],[Remaining]])</f>
        <v>#N/A</v>
      </c>
      <c r="H66" s="38" t="e">
        <f aca="false">IF(SprintBurndown[[#This Row],[Ideal]]="",NA(),SprintBurndown[[#This Row],[Ideal]])</f>
        <v>#N/A</v>
      </c>
    </row>
    <row r="67" customFormat="false" ht="15" hidden="false" customHeight="false" outlineLevel="0" collapsed="false">
      <c r="C67" s="31" t="str">
        <f aca="false">IF(OR(CurrentSprint="",ROW()-ROW(SprintBurndown[[#Headers],[Day]])&gt;SprintLength),"",CurrentSprintStart+ROW()-ROW(SprintBurndown[[#Headers],[Day]])-1)</f>
        <v/>
      </c>
      <c r="D67" s="89" t="str">
        <f aca="false">IF(OR(SprintBurndown[[#This Row],[Day]]="",SprintBurndown[[#This Row],[Day]]&gt;StatusDate),"",agl_CurCommitted-SUMIFS(tsk_LeafPoints,tsk_Sprint,CurrentSprint,tsk_DoneDate,"&lt;="&amp;SprintBurndown[[#This Row],[Day]]))</f>
        <v/>
      </c>
      <c r="E67" s="89" t="str">
        <f aca="false">IF(SprintBurndown[[#This Row],[Day]]="","",agl_CurCommitted*MAX(0,1-NETWORKDAYS.INTL(CurrentSprintStart,SprintBurndown[[#This Row],[Day]],WorkWeek,Holidays)/MAX(1,NETWORKDAYS.INTL(CurrentSprintStart,CurrentSprintEnd,WorkWeek,Holidays))))</f>
        <v/>
      </c>
      <c r="F67" s="38" t="str">
        <f aca="false">IF(SprintBurndown[[#This Row],[Day]]="","",TEXT(SprintBurndown[[#This Row],[Day]],"dd-mmm"))</f>
        <v/>
      </c>
      <c r="G67" s="38" t="e">
        <f aca="false">IF(SprintBurndown[[#This Row],[Remaining]]="",NA(),SprintBurndown[[#This Row],[Remaining]])</f>
        <v>#N/A</v>
      </c>
      <c r="H67" s="38" t="e">
        <f aca="false">IF(SprintBurndown[[#This Row],[Ideal]]="",NA(),SprintBurndown[[#This Row],[Ideal]])</f>
        <v>#N/A</v>
      </c>
    </row>
    <row r="68" customFormat="false" ht="15" hidden="false" customHeight="false" outlineLevel="0" collapsed="false">
      <c r="C68" s="31" t="str">
        <f aca="false">IF(OR(CurrentSprint="",ROW()-ROW(SprintBurndown[[#Headers],[Day]])&gt;SprintLength),"",CurrentSprintStart+ROW()-ROW(SprintBurndown[[#Headers],[Day]])-1)</f>
        <v/>
      </c>
      <c r="D68" s="89" t="str">
        <f aca="false">IF(OR(SprintBurndown[[#This Row],[Day]]="",SprintBurndown[[#This Row],[Day]]&gt;StatusDate),"",agl_CurCommitted-SUMIFS(tsk_LeafPoints,tsk_Sprint,CurrentSprint,tsk_DoneDate,"&lt;="&amp;SprintBurndown[[#This Row],[Day]]))</f>
        <v/>
      </c>
      <c r="E68" s="89" t="str">
        <f aca="false">IF(SprintBurndown[[#This Row],[Day]]="","",agl_CurCommitted*MAX(0,1-NETWORKDAYS.INTL(CurrentSprintStart,SprintBurndown[[#This Row],[Day]],WorkWeek,Holidays)/MAX(1,NETWORKDAYS.INTL(CurrentSprintStart,CurrentSprintEnd,WorkWeek,Holidays))))</f>
        <v/>
      </c>
      <c r="F68" s="38" t="str">
        <f aca="false">IF(SprintBurndown[[#This Row],[Day]]="","",TEXT(SprintBurndown[[#This Row],[Day]],"dd-mmm"))</f>
        <v/>
      </c>
      <c r="G68" s="38" t="e">
        <f aca="false">IF(SprintBurndown[[#This Row],[Remaining]]="",NA(),SprintBurndown[[#This Row],[Remaining]])</f>
        <v>#N/A</v>
      </c>
      <c r="H68" s="38" t="e">
        <f aca="false">IF(SprintBurndown[[#This Row],[Ideal]]="",NA(),SprintBurndown[[#This Row],[Ideal]])</f>
        <v>#N/A</v>
      </c>
    </row>
    <row r="69" customFormat="false" ht="15" hidden="false" customHeight="false" outlineLevel="0" collapsed="false">
      <c r="C69" s="31" t="str">
        <f aca="false">IF(OR(CurrentSprint="",ROW()-ROW(SprintBurndown[[#Headers],[Day]])&gt;SprintLength),"",CurrentSprintStart+ROW()-ROW(SprintBurndown[[#Headers],[Day]])-1)</f>
        <v/>
      </c>
      <c r="D69" s="89" t="str">
        <f aca="false">IF(OR(SprintBurndown[[#This Row],[Day]]="",SprintBurndown[[#This Row],[Day]]&gt;StatusDate),"",agl_CurCommitted-SUMIFS(tsk_LeafPoints,tsk_Sprint,CurrentSprint,tsk_DoneDate,"&lt;="&amp;SprintBurndown[[#This Row],[Day]]))</f>
        <v/>
      </c>
      <c r="E69" s="89" t="str">
        <f aca="false">IF(SprintBurndown[[#This Row],[Day]]="","",agl_CurCommitted*MAX(0,1-NETWORKDAYS.INTL(CurrentSprintStart,SprintBurndown[[#This Row],[Day]],WorkWeek,Holidays)/MAX(1,NETWORKDAYS.INTL(CurrentSprintStart,CurrentSprintEnd,WorkWeek,Holidays))))</f>
        <v/>
      </c>
      <c r="F69" s="38" t="str">
        <f aca="false">IF(SprintBurndown[[#This Row],[Day]]="","",TEXT(SprintBurndown[[#This Row],[Day]],"dd-mmm"))</f>
        <v/>
      </c>
      <c r="G69" s="38" t="e">
        <f aca="false">IF(SprintBurndown[[#This Row],[Remaining]]="",NA(),SprintBurndown[[#This Row],[Remaining]])</f>
        <v>#N/A</v>
      </c>
      <c r="H69" s="38" t="e">
        <f aca="false">IF(SprintBurndown[[#This Row],[Ideal]]="",NA(),SprintBurndown[[#This Row],[Ideal]])</f>
        <v>#N/A</v>
      </c>
    </row>
    <row r="70" customFormat="false" ht="15" hidden="false" customHeight="false" outlineLevel="0" collapsed="false">
      <c r="C70" s="31" t="str">
        <f aca="false">IF(OR(CurrentSprint="",ROW()-ROW(SprintBurndown[[#Headers],[Day]])&gt;SprintLength),"",CurrentSprintStart+ROW()-ROW(SprintBurndown[[#Headers],[Day]])-1)</f>
        <v/>
      </c>
      <c r="D70" s="89" t="str">
        <f aca="false">IF(OR(SprintBurndown[[#This Row],[Day]]="",SprintBurndown[[#This Row],[Day]]&gt;StatusDate),"",agl_CurCommitted-SUMIFS(tsk_LeafPoints,tsk_Sprint,CurrentSprint,tsk_DoneDate,"&lt;="&amp;SprintBurndown[[#This Row],[Day]]))</f>
        <v/>
      </c>
      <c r="E70" s="89" t="str">
        <f aca="false">IF(SprintBurndown[[#This Row],[Day]]="","",agl_CurCommitted*MAX(0,1-NETWORKDAYS.INTL(CurrentSprintStart,SprintBurndown[[#This Row],[Day]],WorkWeek,Holidays)/MAX(1,NETWORKDAYS.INTL(CurrentSprintStart,CurrentSprintEnd,WorkWeek,Holidays))))</f>
        <v/>
      </c>
      <c r="F70" s="38" t="str">
        <f aca="false">IF(SprintBurndown[[#This Row],[Day]]="","",TEXT(SprintBurndown[[#This Row],[Day]],"dd-mmm"))</f>
        <v/>
      </c>
      <c r="G70" s="38" t="e">
        <f aca="false">IF(SprintBurndown[[#This Row],[Remaining]]="",NA(),SprintBurndown[[#This Row],[Remaining]])</f>
        <v>#N/A</v>
      </c>
      <c r="H70" s="38" t="e">
        <f aca="false">IF(SprintBurndown[[#This Row],[Ideal]]="",NA(),SprintBurndown[[#This Row],[Ideal]])</f>
        <v>#N/A</v>
      </c>
    </row>
    <row r="71" customFormat="false" ht="15" hidden="false" customHeight="false" outlineLevel="0" collapsed="false">
      <c r="C71" s="31" t="str">
        <f aca="false">IF(OR(CurrentSprint="",ROW()-ROW(SprintBurndown[[#Headers],[Day]])&gt;SprintLength),"",CurrentSprintStart+ROW()-ROW(SprintBurndown[[#Headers],[Day]])-1)</f>
        <v/>
      </c>
      <c r="D71" s="89" t="str">
        <f aca="false">IF(OR(SprintBurndown[[#This Row],[Day]]="",SprintBurndown[[#This Row],[Day]]&gt;StatusDate),"",agl_CurCommitted-SUMIFS(tsk_LeafPoints,tsk_Sprint,CurrentSprint,tsk_DoneDate,"&lt;="&amp;SprintBurndown[[#This Row],[Day]]))</f>
        <v/>
      </c>
      <c r="E71" s="89" t="str">
        <f aca="false">IF(SprintBurndown[[#This Row],[Day]]="","",agl_CurCommitted*MAX(0,1-NETWORKDAYS.INTL(CurrentSprintStart,SprintBurndown[[#This Row],[Day]],WorkWeek,Holidays)/MAX(1,NETWORKDAYS.INTL(CurrentSprintStart,CurrentSprintEnd,WorkWeek,Holidays))))</f>
        <v/>
      </c>
      <c r="F71" s="38" t="str">
        <f aca="false">IF(SprintBurndown[[#This Row],[Day]]="","",TEXT(SprintBurndown[[#This Row],[Day]],"dd-mmm"))</f>
        <v/>
      </c>
      <c r="G71" s="38" t="e">
        <f aca="false">IF(SprintBurndown[[#This Row],[Remaining]]="",NA(),SprintBurndown[[#This Row],[Remaining]])</f>
        <v>#N/A</v>
      </c>
      <c r="H71" s="38" t="e">
        <f aca="false">IF(SprintBurndown[[#This Row],[Ideal]]="",NA(),SprintBurndown[[#This Row],[Ideal]])</f>
        <v>#N/A</v>
      </c>
    </row>
    <row r="72" customFormat="false" ht="15" hidden="false" customHeight="false" outlineLevel="0" collapsed="false">
      <c r="C72" s="31" t="str">
        <f aca="false">IF(OR(CurrentSprint="",ROW()-ROW(SprintBurndown[[#Headers],[Day]])&gt;SprintLength),"",CurrentSprintStart+ROW()-ROW(SprintBurndown[[#Headers],[Day]])-1)</f>
        <v/>
      </c>
      <c r="D72" s="89" t="str">
        <f aca="false">IF(OR(SprintBurndown[[#This Row],[Day]]="",SprintBurndown[[#This Row],[Day]]&gt;StatusDate),"",agl_CurCommitted-SUMIFS(tsk_LeafPoints,tsk_Sprint,CurrentSprint,tsk_DoneDate,"&lt;="&amp;SprintBurndown[[#This Row],[Day]]))</f>
        <v/>
      </c>
      <c r="E72" s="89" t="str">
        <f aca="false">IF(SprintBurndown[[#This Row],[Day]]="","",agl_CurCommitted*MAX(0,1-NETWORKDAYS.INTL(CurrentSprintStart,SprintBurndown[[#This Row],[Day]],WorkWeek,Holidays)/MAX(1,NETWORKDAYS.INTL(CurrentSprintStart,CurrentSprintEnd,WorkWeek,Holidays))))</f>
        <v/>
      </c>
      <c r="F72" s="38" t="str">
        <f aca="false">IF(SprintBurndown[[#This Row],[Day]]="","",TEXT(SprintBurndown[[#This Row],[Day]],"dd-mmm"))</f>
        <v/>
      </c>
      <c r="G72" s="38" t="e">
        <f aca="false">IF(SprintBurndown[[#This Row],[Remaining]]="",NA(),SprintBurndown[[#This Row],[Remaining]])</f>
        <v>#N/A</v>
      </c>
      <c r="H72" s="38" t="e">
        <f aca="false">IF(SprintBurndown[[#This Row],[Ideal]]="",NA(),SprintBurndown[[#This Row],[Ideal]])</f>
        <v>#N/A</v>
      </c>
    </row>
    <row r="73" customFormat="false" ht="15" hidden="false" customHeight="false" outlineLevel="0" collapsed="false">
      <c r="C73" s="31" t="str">
        <f aca="false">IF(OR(CurrentSprint="",ROW()-ROW(SprintBurndown[[#Headers],[Day]])&gt;SprintLength),"",CurrentSprintStart+ROW()-ROW(SprintBurndown[[#Headers],[Day]])-1)</f>
        <v/>
      </c>
      <c r="D73" s="89" t="str">
        <f aca="false">IF(OR(SprintBurndown[[#This Row],[Day]]="",SprintBurndown[[#This Row],[Day]]&gt;StatusDate),"",agl_CurCommitted-SUMIFS(tsk_LeafPoints,tsk_Sprint,CurrentSprint,tsk_DoneDate,"&lt;="&amp;SprintBurndown[[#This Row],[Day]]))</f>
        <v/>
      </c>
      <c r="E73" s="89" t="str">
        <f aca="false">IF(SprintBurndown[[#This Row],[Day]]="","",agl_CurCommitted*MAX(0,1-NETWORKDAYS.INTL(CurrentSprintStart,SprintBurndown[[#This Row],[Day]],WorkWeek,Holidays)/MAX(1,NETWORKDAYS.INTL(CurrentSprintStart,CurrentSprintEnd,WorkWeek,Holidays))))</f>
        <v/>
      </c>
      <c r="F73" s="38" t="str">
        <f aca="false">IF(SprintBurndown[[#This Row],[Day]]="","",TEXT(SprintBurndown[[#This Row],[Day]],"dd-mmm"))</f>
        <v/>
      </c>
      <c r="G73" s="38" t="e">
        <f aca="false">IF(SprintBurndown[[#This Row],[Remaining]]="",NA(),SprintBurndown[[#This Row],[Remaining]])</f>
        <v>#N/A</v>
      </c>
      <c r="H73" s="38" t="e">
        <f aca="false">IF(SprintBurndown[[#This Row],[Ideal]]="",NA(),SprintBurndown[[#This Row],[Ideal]])</f>
        <v>#N/A</v>
      </c>
    </row>
    <row r="74" customFormat="false" ht="15" hidden="false" customHeight="false" outlineLevel="0" collapsed="false">
      <c r="C74" s="31" t="str">
        <f aca="false">IF(OR(CurrentSprint="",ROW()-ROW(SprintBurndown[[#Headers],[Day]])&gt;SprintLength),"",CurrentSprintStart+ROW()-ROW(SprintBurndown[[#Headers],[Day]])-1)</f>
        <v/>
      </c>
      <c r="D74" s="89" t="str">
        <f aca="false">IF(OR(SprintBurndown[[#This Row],[Day]]="",SprintBurndown[[#This Row],[Day]]&gt;StatusDate),"",agl_CurCommitted-SUMIFS(tsk_LeafPoints,tsk_Sprint,CurrentSprint,tsk_DoneDate,"&lt;="&amp;SprintBurndown[[#This Row],[Day]]))</f>
        <v/>
      </c>
      <c r="E74" s="89" t="str">
        <f aca="false">IF(SprintBurndown[[#This Row],[Day]]="","",agl_CurCommitted*MAX(0,1-NETWORKDAYS.INTL(CurrentSprintStart,SprintBurndown[[#This Row],[Day]],WorkWeek,Holidays)/MAX(1,NETWORKDAYS.INTL(CurrentSprintStart,CurrentSprintEnd,WorkWeek,Holidays))))</f>
        <v/>
      </c>
      <c r="F74" s="38" t="str">
        <f aca="false">IF(SprintBurndown[[#This Row],[Day]]="","",TEXT(SprintBurndown[[#This Row],[Day]],"dd-mmm"))</f>
        <v/>
      </c>
      <c r="G74" s="38" t="e">
        <f aca="false">IF(SprintBurndown[[#This Row],[Remaining]]="",NA(),SprintBurndown[[#This Row],[Remaining]])</f>
        <v>#N/A</v>
      </c>
      <c r="H74" s="38" t="e">
        <f aca="false">IF(SprintBurndown[[#This Row],[Ideal]]="",NA(),SprintBurndown[[#This Row],[Ideal]])</f>
        <v>#N/A</v>
      </c>
    </row>
  </sheetData>
  <conditionalFormatting sqref="F44:H74">
    <cfRule type="expression" priority="2" aboveAverage="0" equalAverage="0" bottom="0" percent="0" rank="0" text="" dxfId="33">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32" t="s">
        <v>302</v>
      </c>
    </row>
    <row r="2" customFormat="false" ht="15" hidden="false" customHeight="false" outlineLevel="0" collapsed="false">
      <c r="A2" s="2" t="s">
        <v>303</v>
      </c>
    </row>
    <row r="4" customFormat="false" ht="23.85" hidden="false" customHeight="false" outlineLevel="0" collapsed="false">
      <c r="B4" s="50" t="s">
        <v>304</v>
      </c>
      <c r="C4" s="50" t="s">
        <v>305</v>
      </c>
      <c r="D4" s="50" t="s">
        <v>306</v>
      </c>
      <c r="E4" s="50" t="s">
        <v>223</v>
      </c>
      <c r="F4" s="50" t="s">
        <v>307</v>
      </c>
      <c r="G4" s="50" t="s">
        <v>224</v>
      </c>
      <c r="H4" s="50" t="s">
        <v>28</v>
      </c>
      <c r="I4" s="50" t="s">
        <v>308</v>
      </c>
      <c r="J4" s="50" t="s">
        <v>309</v>
      </c>
      <c r="K4" s="15" t="s">
        <v>225</v>
      </c>
      <c r="L4" s="15" t="s">
        <v>226</v>
      </c>
      <c r="M4" s="15" t="s">
        <v>310</v>
      </c>
      <c r="N4" s="50" t="s">
        <v>311</v>
      </c>
      <c r="O4" s="15" t="s">
        <v>227</v>
      </c>
      <c r="P4" s="15" t="s">
        <v>312</v>
      </c>
      <c r="Q4" s="50" t="s">
        <v>222</v>
      </c>
      <c r="R4" s="50" t="s">
        <v>313</v>
      </c>
      <c r="S4" s="37" t="s">
        <v>314</v>
      </c>
      <c r="T4" s="37" t="s">
        <v>315</v>
      </c>
    </row>
    <row r="5" customFormat="false" ht="15" hidden="false" customHeight="false" outlineLevel="0" collapsed="false">
      <c r="B5" s="52" t="n">
        <v>1</v>
      </c>
      <c r="C5" s="53"/>
      <c r="D5" s="53"/>
      <c r="E5" s="53"/>
      <c r="F5" s="7"/>
      <c r="G5" s="7"/>
      <c r="H5" s="52"/>
      <c r="I5" s="52"/>
      <c r="J5" s="52"/>
      <c r="K5" s="51" t="str">
        <f aca="false">IF(RAIDLog[[#This Row],[Title]]="","",IF(RAIDLog[[#This Row],[Type]]="Issue",5,N(RAIDLog[[#This Row],[Probability]]))*N(RAIDLog[[#This Row],[Impact]]))</f>
        <v/>
      </c>
      <c r="L5" s="51" t="str">
        <f aca="false">IF(RAIDLog[[#This Row],[Title]]="","",IF(RAIDLog[[#This Row],[Score]]&gt;=RAIDHighScore,"High",IF(RAIDLog[[#This Row],[Score]]&gt;=RAIDMediumScore,"Medium","Low")))</f>
        <v/>
      </c>
      <c r="M5" s="51" t="str">
        <f aca="false">IF(OR(RAIDLog[[#This Row],[Title]]="",N(RAIDLog[[#This Row],[Due]])=0),"",IF(AND(RAIDLog[[#This Row],[Status]]&lt;&gt;"Closed",RAIDLog[[#This Row],[Due]]&lt;StatusDate),"Overdue",""))</f>
        <v/>
      </c>
      <c r="N5" s="52"/>
      <c r="O5" s="30" t="str">
        <f aca="false">IF(N(RAIDLog[[#This Row],[Task UID]])=0,"",IFERROR(INDEX(tsk_Name,MATCH(RAIDLog[[#This Row],[Task UID]],tsk_UID,0)),"UID "&amp;RAIDLog[[#This Row],[Task UID]]&amp;" not found"))</f>
        <v/>
      </c>
      <c r="P5" s="31" t="str">
        <f aca="false">IF(N(RAIDLog[[#This Row],[Task UID]])=0,"",IFERROR(INDEX(tsk_FcFinish,MATCH(RAIDLog[[#This Row],[Task UID]],tsk_UID,0)),""))</f>
        <v/>
      </c>
      <c r="Q5" s="53"/>
      <c r="R5" s="53"/>
      <c r="S5" s="38" t="str">
        <f aca="false">IF(RAIDLog[[#This Row],[Title]]="","",RAIDLog[[#This Row],[Type]]&amp;" "&amp;RAIDLog[[#This Row],[Ref]]&amp;": "&amp;RAIDLog[[#This Row],[Title]])</f>
        <v/>
      </c>
      <c r="T5" s="38" t="str">
        <f aca="false">IF(AND(NOT(RAIDLog[[#This Row],[Title]]=""),RAIDLog[[#This Row],[Status]]&lt;&gt;"Closed"),RAIDLog[[#This Row],[Score]]+1-(ROW()-ROW(RAIDLog[[#Headers],[Ref]]))/100000,"")</f>
        <v/>
      </c>
    </row>
    <row r="6" customFormat="false" ht="15" hidden="false" customHeight="false" outlineLevel="0" collapsed="false">
      <c r="B6" s="52" t="n">
        <v>2</v>
      </c>
      <c r="C6" s="53"/>
      <c r="D6" s="53"/>
      <c r="E6" s="53"/>
      <c r="F6" s="7"/>
      <c r="G6" s="7"/>
      <c r="H6" s="52"/>
      <c r="I6" s="52"/>
      <c r="J6" s="52"/>
      <c r="K6" s="51" t="str">
        <f aca="false">IF(RAIDLog[[#This Row],[Title]]="","",IF(RAIDLog[[#This Row],[Type]]="Issue",5,N(RAIDLog[[#This Row],[Probability]]))*N(RAIDLog[[#This Row],[Impact]]))</f>
        <v/>
      </c>
      <c r="L6" s="51" t="str">
        <f aca="false">IF(RAIDLog[[#This Row],[Title]]="","",IF(RAIDLog[[#This Row],[Score]]&gt;=RAIDHighScore,"High",IF(RAIDLog[[#This Row],[Score]]&gt;=RAIDMediumScore,"Medium","Low")))</f>
        <v/>
      </c>
      <c r="M6" s="51" t="str">
        <f aca="false">IF(OR(RAIDLog[[#This Row],[Title]]="",N(RAIDLog[[#This Row],[Due]])=0),"",IF(AND(RAIDLog[[#This Row],[Status]]&lt;&gt;"Closed",RAIDLog[[#This Row],[Due]]&lt;StatusDate),"Overdue",""))</f>
        <v/>
      </c>
      <c r="N6" s="52"/>
      <c r="O6" s="30" t="str">
        <f aca="false">IF(N(RAIDLog[[#This Row],[Task UID]])=0,"",IFERROR(INDEX(tsk_Name,MATCH(RAIDLog[[#This Row],[Task UID]],tsk_UID,0)),"UID "&amp;RAIDLog[[#This Row],[Task UID]]&amp;" not found"))</f>
        <v/>
      </c>
      <c r="P6" s="31" t="str">
        <f aca="false">IF(N(RAIDLog[[#This Row],[Task UID]])=0,"",IFERROR(INDEX(tsk_FcFinish,MATCH(RAIDLog[[#This Row],[Task UID]],tsk_UID,0)),""))</f>
        <v/>
      </c>
      <c r="Q6" s="53"/>
      <c r="R6" s="53"/>
      <c r="S6" s="38" t="str">
        <f aca="false">IF(RAIDLog[[#This Row],[Title]]="","",RAIDLog[[#This Row],[Type]]&amp;" "&amp;RAIDLog[[#This Row],[Ref]]&amp;": "&amp;RAIDLog[[#This Row],[Title]])</f>
        <v/>
      </c>
      <c r="T6" s="38" t="str">
        <f aca="false">IF(AND(NOT(RAIDLog[[#This Row],[Title]]=""),RAIDLog[[#This Row],[Status]]&lt;&gt;"Closed"),RAIDLog[[#This Row],[Score]]+1-(ROW()-ROW(RAIDLog[[#Headers],[Ref]]))/100000,"")</f>
        <v/>
      </c>
    </row>
    <row r="7" customFormat="false" ht="15" hidden="false" customHeight="false" outlineLevel="0" collapsed="false">
      <c r="B7" s="52" t="n">
        <v>3</v>
      </c>
      <c r="C7" s="53"/>
      <c r="D7" s="53"/>
      <c r="E7" s="53"/>
      <c r="F7" s="7"/>
      <c r="G7" s="7"/>
      <c r="H7" s="52"/>
      <c r="I7" s="52"/>
      <c r="J7" s="52"/>
      <c r="K7" s="51" t="str">
        <f aca="false">IF(RAIDLog[[#This Row],[Title]]="","",IF(RAIDLog[[#This Row],[Type]]="Issue",5,N(RAIDLog[[#This Row],[Probability]]))*N(RAIDLog[[#This Row],[Impact]]))</f>
        <v/>
      </c>
      <c r="L7" s="51" t="str">
        <f aca="false">IF(RAIDLog[[#This Row],[Title]]="","",IF(RAIDLog[[#This Row],[Score]]&gt;=RAIDHighScore,"High",IF(RAIDLog[[#This Row],[Score]]&gt;=RAIDMediumScore,"Medium","Low")))</f>
        <v/>
      </c>
      <c r="M7" s="51" t="str">
        <f aca="false">IF(OR(RAIDLog[[#This Row],[Title]]="",N(RAIDLog[[#This Row],[Due]])=0),"",IF(AND(RAIDLog[[#This Row],[Status]]&lt;&gt;"Closed",RAIDLog[[#This Row],[Due]]&lt;StatusDate),"Overdue",""))</f>
        <v/>
      </c>
      <c r="N7" s="52"/>
      <c r="O7" s="30" t="str">
        <f aca="false">IF(N(RAIDLog[[#This Row],[Task UID]])=0,"",IFERROR(INDEX(tsk_Name,MATCH(RAIDLog[[#This Row],[Task UID]],tsk_UID,0)),"UID "&amp;RAIDLog[[#This Row],[Task UID]]&amp;" not found"))</f>
        <v/>
      </c>
      <c r="P7" s="31" t="str">
        <f aca="false">IF(N(RAIDLog[[#This Row],[Task UID]])=0,"",IFERROR(INDEX(tsk_FcFinish,MATCH(RAIDLog[[#This Row],[Task UID]],tsk_UID,0)),""))</f>
        <v/>
      </c>
      <c r="Q7" s="53"/>
      <c r="R7" s="53"/>
      <c r="S7" s="38" t="str">
        <f aca="false">IF(RAIDLog[[#This Row],[Title]]="","",RAIDLog[[#This Row],[Type]]&amp;" "&amp;RAIDLog[[#This Row],[Ref]]&amp;": "&amp;RAIDLog[[#This Row],[Title]])</f>
        <v/>
      </c>
      <c r="T7" s="38" t="str">
        <f aca="false">IF(AND(NOT(RAIDLog[[#This Row],[Title]]=""),RAIDLog[[#This Row],[Status]]&lt;&gt;"Closed"),RAIDLog[[#This Row],[Score]]+1-(ROW()-ROW(RAIDLog[[#Headers],[Ref]]))/100000,"")</f>
        <v/>
      </c>
    </row>
    <row r="8" customFormat="false" ht="15" hidden="false" customHeight="false" outlineLevel="0" collapsed="false">
      <c r="B8" s="52" t="n">
        <v>4</v>
      </c>
      <c r="C8" s="53"/>
      <c r="D8" s="53"/>
      <c r="E8" s="53"/>
      <c r="F8" s="7"/>
      <c r="G8" s="7"/>
      <c r="H8" s="52"/>
      <c r="I8" s="52"/>
      <c r="J8" s="52"/>
      <c r="K8" s="51" t="str">
        <f aca="false">IF(RAIDLog[[#This Row],[Title]]="","",IF(RAIDLog[[#This Row],[Type]]="Issue",5,N(RAIDLog[[#This Row],[Probability]]))*N(RAIDLog[[#This Row],[Impact]]))</f>
        <v/>
      </c>
      <c r="L8" s="51" t="str">
        <f aca="false">IF(RAIDLog[[#This Row],[Title]]="","",IF(RAIDLog[[#This Row],[Score]]&gt;=RAIDHighScore,"High",IF(RAIDLog[[#This Row],[Score]]&gt;=RAIDMediumScore,"Medium","Low")))</f>
        <v/>
      </c>
      <c r="M8" s="51" t="str">
        <f aca="false">IF(OR(RAIDLog[[#This Row],[Title]]="",N(RAIDLog[[#This Row],[Due]])=0),"",IF(AND(RAIDLog[[#This Row],[Status]]&lt;&gt;"Closed",RAIDLog[[#This Row],[Due]]&lt;StatusDate),"Overdue",""))</f>
        <v/>
      </c>
      <c r="N8" s="52"/>
      <c r="O8" s="30" t="str">
        <f aca="false">IF(N(RAIDLog[[#This Row],[Task UID]])=0,"",IFERROR(INDEX(tsk_Name,MATCH(RAIDLog[[#This Row],[Task UID]],tsk_UID,0)),"UID "&amp;RAIDLog[[#This Row],[Task UID]]&amp;" not found"))</f>
        <v/>
      </c>
      <c r="P8" s="31" t="str">
        <f aca="false">IF(N(RAIDLog[[#This Row],[Task UID]])=0,"",IFERROR(INDEX(tsk_FcFinish,MATCH(RAIDLog[[#This Row],[Task UID]],tsk_UID,0)),""))</f>
        <v/>
      </c>
      <c r="Q8" s="53"/>
      <c r="R8" s="53"/>
      <c r="S8" s="38" t="str">
        <f aca="false">IF(RAIDLog[[#This Row],[Title]]="","",RAIDLog[[#This Row],[Type]]&amp;" "&amp;RAIDLog[[#This Row],[Ref]]&amp;": "&amp;RAIDLog[[#This Row],[Title]])</f>
        <v/>
      </c>
      <c r="T8" s="38" t="str">
        <f aca="false">IF(AND(NOT(RAIDLog[[#This Row],[Title]]=""),RAIDLog[[#This Row],[Status]]&lt;&gt;"Closed"),RAIDLog[[#This Row],[Score]]+1-(ROW()-ROW(RAIDLog[[#Headers],[Ref]]))/100000,"")</f>
        <v/>
      </c>
    </row>
    <row r="9" customFormat="false" ht="15" hidden="false" customHeight="false" outlineLevel="0" collapsed="false">
      <c r="B9" s="52" t="n">
        <v>5</v>
      </c>
      <c r="C9" s="53"/>
      <c r="D9" s="53"/>
      <c r="E9" s="53"/>
      <c r="F9" s="7"/>
      <c r="G9" s="7"/>
      <c r="H9" s="52"/>
      <c r="I9" s="52"/>
      <c r="J9" s="52"/>
      <c r="K9" s="51" t="str">
        <f aca="false">IF(RAIDLog[[#This Row],[Title]]="","",IF(RAIDLog[[#This Row],[Type]]="Issue",5,N(RAIDLog[[#This Row],[Probability]]))*N(RAIDLog[[#This Row],[Impact]]))</f>
        <v/>
      </c>
      <c r="L9" s="51" t="str">
        <f aca="false">IF(RAIDLog[[#This Row],[Title]]="","",IF(RAIDLog[[#This Row],[Score]]&gt;=RAIDHighScore,"High",IF(RAIDLog[[#This Row],[Score]]&gt;=RAIDMediumScore,"Medium","Low")))</f>
        <v/>
      </c>
      <c r="M9" s="51" t="str">
        <f aca="false">IF(OR(RAIDLog[[#This Row],[Title]]="",N(RAIDLog[[#This Row],[Due]])=0),"",IF(AND(RAIDLog[[#This Row],[Status]]&lt;&gt;"Closed",RAIDLog[[#This Row],[Due]]&lt;StatusDate),"Overdue",""))</f>
        <v/>
      </c>
      <c r="N9" s="52"/>
      <c r="O9" s="30" t="str">
        <f aca="false">IF(N(RAIDLog[[#This Row],[Task UID]])=0,"",IFERROR(INDEX(tsk_Name,MATCH(RAIDLog[[#This Row],[Task UID]],tsk_UID,0)),"UID "&amp;RAIDLog[[#This Row],[Task UID]]&amp;" not found"))</f>
        <v/>
      </c>
      <c r="P9" s="31" t="str">
        <f aca="false">IF(N(RAIDLog[[#This Row],[Task UID]])=0,"",IFERROR(INDEX(tsk_FcFinish,MATCH(RAIDLog[[#This Row],[Task UID]],tsk_UID,0)),""))</f>
        <v/>
      </c>
      <c r="Q9" s="53"/>
      <c r="R9" s="53"/>
      <c r="S9" s="38" t="str">
        <f aca="false">IF(RAIDLog[[#This Row],[Title]]="","",RAIDLog[[#This Row],[Type]]&amp;" "&amp;RAIDLog[[#This Row],[Ref]]&amp;": "&amp;RAIDLog[[#This Row],[Title]])</f>
        <v/>
      </c>
      <c r="T9" s="38" t="str">
        <f aca="false">IF(AND(NOT(RAIDLog[[#This Row],[Title]]=""),RAIDLog[[#This Row],[Status]]&lt;&gt;"Closed"),RAIDLog[[#This Row],[Score]]+1-(ROW()-ROW(RAIDLog[[#Headers],[Ref]]))/100000,"")</f>
        <v/>
      </c>
    </row>
    <row r="10" customFormat="false" ht="15" hidden="false" customHeight="false" outlineLevel="0" collapsed="false">
      <c r="B10" s="52" t="n">
        <v>6</v>
      </c>
      <c r="C10" s="53"/>
      <c r="D10" s="53"/>
      <c r="E10" s="53"/>
      <c r="F10" s="7"/>
      <c r="G10" s="7"/>
      <c r="H10" s="52"/>
      <c r="I10" s="52"/>
      <c r="J10" s="52"/>
      <c r="K10" s="51" t="str">
        <f aca="false">IF(RAIDLog[[#This Row],[Title]]="","",IF(RAIDLog[[#This Row],[Type]]="Issue",5,N(RAIDLog[[#This Row],[Probability]]))*N(RAIDLog[[#This Row],[Impact]]))</f>
        <v/>
      </c>
      <c r="L10" s="51" t="str">
        <f aca="false">IF(RAIDLog[[#This Row],[Title]]="","",IF(RAIDLog[[#This Row],[Score]]&gt;=RAIDHighScore,"High",IF(RAIDLog[[#This Row],[Score]]&gt;=RAIDMediumScore,"Medium","Low")))</f>
        <v/>
      </c>
      <c r="M10" s="51" t="str">
        <f aca="false">IF(OR(RAIDLog[[#This Row],[Title]]="",N(RAIDLog[[#This Row],[Due]])=0),"",IF(AND(RAIDLog[[#This Row],[Status]]&lt;&gt;"Closed",RAIDLog[[#This Row],[Due]]&lt;StatusDate),"Overdue",""))</f>
        <v/>
      </c>
      <c r="N10" s="52"/>
      <c r="O10" s="30" t="str">
        <f aca="false">IF(N(RAIDLog[[#This Row],[Task UID]])=0,"",IFERROR(INDEX(tsk_Name,MATCH(RAIDLog[[#This Row],[Task UID]],tsk_UID,0)),"UID "&amp;RAIDLog[[#This Row],[Task UID]]&amp;" not found"))</f>
        <v/>
      </c>
      <c r="P10" s="31" t="str">
        <f aca="false">IF(N(RAIDLog[[#This Row],[Task UID]])=0,"",IFERROR(INDEX(tsk_FcFinish,MATCH(RAIDLog[[#This Row],[Task UID]],tsk_UID,0)),""))</f>
        <v/>
      </c>
      <c r="Q10" s="53"/>
      <c r="R10" s="53"/>
      <c r="S10" s="38" t="str">
        <f aca="false">IF(RAIDLog[[#This Row],[Title]]="","",RAIDLog[[#This Row],[Type]]&amp;" "&amp;RAIDLog[[#This Row],[Ref]]&amp;": "&amp;RAIDLog[[#This Row],[Title]])</f>
        <v/>
      </c>
      <c r="T10" s="38" t="str">
        <f aca="false">IF(AND(NOT(RAIDLog[[#This Row],[Title]]=""),RAIDLog[[#This Row],[Status]]&lt;&gt;"Closed"),RAIDLog[[#This Row],[Score]]+1-(ROW()-ROW(RAIDLog[[#Headers],[Ref]]))/100000,"")</f>
        <v/>
      </c>
    </row>
    <row r="11" customFormat="false" ht="15" hidden="false" customHeight="false" outlineLevel="0" collapsed="false">
      <c r="B11" s="52" t="n">
        <v>7</v>
      </c>
      <c r="C11" s="53"/>
      <c r="D11" s="53"/>
      <c r="E11" s="53"/>
      <c r="F11" s="7"/>
      <c r="G11" s="7"/>
      <c r="H11" s="52"/>
      <c r="I11" s="52"/>
      <c r="J11" s="52"/>
      <c r="K11" s="51" t="str">
        <f aca="false">IF(RAIDLog[[#This Row],[Title]]="","",IF(RAIDLog[[#This Row],[Type]]="Issue",5,N(RAIDLog[[#This Row],[Probability]]))*N(RAIDLog[[#This Row],[Impact]]))</f>
        <v/>
      </c>
      <c r="L11" s="51" t="str">
        <f aca="false">IF(RAIDLog[[#This Row],[Title]]="","",IF(RAIDLog[[#This Row],[Score]]&gt;=RAIDHighScore,"High",IF(RAIDLog[[#This Row],[Score]]&gt;=RAIDMediumScore,"Medium","Low")))</f>
        <v/>
      </c>
      <c r="M11" s="51" t="str">
        <f aca="false">IF(OR(RAIDLog[[#This Row],[Title]]="",N(RAIDLog[[#This Row],[Due]])=0),"",IF(AND(RAIDLog[[#This Row],[Status]]&lt;&gt;"Closed",RAIDLog[[#This Row],[Due]]&lt;StatusDate),"Overdue",""))</f>
        <v/>
      </c>
      <c r="N11" s="52"/>
      <c r="O11" s="30" t="str">
        <f aca="false">IF(N(RAIDLog[[#This Row],[Task UID]])=0,"",IFERROR(INDEX(tsk_Name,MATCH(RAIDLog[[#This Row],[Task UID]],tsk_UID,0)),"UID "&amp;RAIDLog[[#This Row],[Task UID]]&amp;" not found"))</f>
        <v/>
      </c>
      <c r="P11" s="31" t="str">
        <f aca="false">IF(N(RAIDLog[[#This Row],[Task UID]])=0,"",IFERROR(INDEX(tsk_FcFinish,MATCH(RAIDLog[[#This Row],[Task UID]],tsk_UID,0)),""))</f>
        <v/>
      </c>
      <c r="Q11" s="53"/>
      <c r="R11" s="53"/>
      <c r="S11" s="38" t="str">
        <f aca="false">IF(RAIDLog[[#This Row],[Title]]="","",RAIDLog[[#This Row],[Type]]&amp;" "&amp;RAIDLog[[#This Row],[Ref]]&amp;": "&amp;RAIDLog[[#This Row],[Title]])</f>
        <v/>
      </c>
      <c r="T11" s="38" t="str">
        <f aca="false">IF(AND(NOT(RAIDLog[[#This Row],[Title]]=""),RAIDLog[[#This Row],[Status]]&lt;&gt;"Closed"),RAIDLog[[#This Row],[Score]]+1-(ROW()-ROW(RAIDLog[[#Headers],[Ref]]))/100000,"")</f>
        <v/>
      </c>
    </row>
    <row r="12" customFormat="false" ht="15" hidden="false" customHeight="false" outlineLevel="0" collapsed="false">
      <c r="B12" s="52" t="n">
        <v>8</v>
      </c>
      <c r="C12" s="53"/>
      <c r="D12" s="53"/>
      <c r="E12" s="53"/>
      <c r="F12" s="7"/>
      <c r="G12" s="7"/>
      <c r="H12" s="52"/>
      <c r="I12" s="52"/>
      <c r="J12" s="52"/>
      <c r="K12" s="51" t="str">
        <f aca="false">IF(RAIDLog[[#This Row],[Title]]="","",IF(RAIDLog[[#This Row],[Type]]="Issue",5,N(RAIDLog[[#This Row],[Probability]]))*N(RAIDLog[[#This Row],[Impact]]))</f>
        <v/>
      </c>
      <c r="L12" s="51" t="str">
        <f aca="false">IF(RAIDLog[[#This Row],[Title]]="","",IF(RAIDLog[[#This Row],[Score]]&gt;=RAIDHighScore,"High",IF(RAIDLog[[#This Row],[Score]]&gt;=RAIDMediumScore,"Medium","Low")))</f>
        <v/>
      </c>
      <c r="M12" s="51" t="str">
        <f aca="false">IF(OR(RAIDLog[[#This Row],[Title]]="",N(RAIDLog[[#This Row],[Due]])=0),"",IF(AND(RAIDLog[[#This Row],[Status]]&lt;&gt;"Closed",RAIDLog[[#This Row],[Due]]&lt;StatusDate),"Overdue",""))</f>
        <v/>
      </c>
      <c r="N12" s="52"/>
      <c r="O12" s="30" t="str">
        <f aca="false">IF(N(RAIDLog[[#This Row],[Task UID]])=0,"",IFERROR(INDEX(tsk_Name,MATCH(RAIDLog[[#This Row],[Task UID]],tsk_UID,0)),"UID "&amp;RAIDLog[[#This Row],[Task UID]]&amp;" not found"))</f>
        <v/>
      </c>
      <c r="P12" s="31" t="str">
        <f aca="false">IF(N(RAIDLog[[#This Row],[Task UID]])=0,"",IFERROR(INDEX(tsk_FcFinish,MATCH(RAIDLog[[#This Row],[Task UID]],tsk_UID,0)),""))</f>
        <v/>
      </c>
      <c r="Q12" s="53"/>
      <c r="R12" s="53"/>
      <c r="S12" s="38" t="str">
        <f aca="false">IF(RAIDLog[[#This Row],[Title]]="","",RAIDLog[[#This Row],[Type]]&amp;" "&amp;RAIDLog[[#This Row],[Ref]]&amp;": "&amp;RAIDLog[[#This Row],[Title]])</f>
        <v/>
      </c>
      <c r="T12" s="38" t="str">
        <f aca="false">IF(AND(NOT(RAIDLog[[#This Row],[Title]]=""),RAIDLog[[#This Row],[Status]]&lt;&gt;"Closed"),RAIDLog[[#This Row],[Score]]+1-(ROW()-ROW(RAIDLog[[#Headers],[Ref]]))/100000,"")</f>
        <v/>
      </c>
    </row>
    <row r="13" customFormat="false" ht="15" hidden="false" customHeight="false" outlineLevel="0" collapsed="false">
      <c r="B13" s="52" t="n">
        <v>9</v>
      </c>
      <c r="C13" s="53"/>
      <c r="D13" s="53"/>
      <c r="E13" s="53"/>
      <c r="F13" s="7"/>
      <c r="G13" s="7"/>
      <c r="H13" s="52"/>
      <c r="I13" s="52"/>
      <c r="J13" s="52"/>
      <c r="K13" s="51" t="str">
        <f aca="false">IF(RAIDLog[[#This Row],[Title]]="","",IF(RAIDLog[[#This Row],[Type]]="Issue",5,N(RAIDLog[[#This Row],[Probability]]))*N(RAIDLog[[#This Row],[Impact]]))</f>
        <v/>
      </c>
      <c r="L13" s="51" t="str">
        <f aca="false">IF(RAIDLog[[#This Row],[Title]]="","",IF(RAIDLog[[#This Row],[Score]]&gt;=RAIDHighScore,"High",IF(RAIDLog[[#This Row],[Score]]&gt;=RAIDMediumScore,"Medium","Low")))</f>
        <v/>
      </c>
      <c r="M13" s="51" t="str">
        <f aca="false">IF(OR(RAIDLog[[#This Row],[Title]]="",N(RAIDLog[[#This Row],[Due]])=0),"",IF(AND(RAIDLog[[#This Row],[Status]]&lt;&gt;"Closed",RAIDLog[[#This Row],[Due]]&lt;StatusDate),"Overdue",""))</f>
        <v/>
      </c>
      <c r="N13" s="52"/>
      <c r="O13" s="30" t="str">
        <f aca="false">IF(N(RAIDLog[[#This Row],[Task UID]])=0,"",IFERROR(INDEX(tsk_Name,MATCH(RAIDLog[[#This Row],[Task UID]],tsk_UID,0)),"UID "&amp;RAIDLog[[#This Row],[Task UID]]&amp;" not found"))</f>
        <v/>
      </c>
      <c r="P13" s="31" t="str">
        <f aca="false">IF(N(RAIDLog[[#This Row],[Task UID]])=0,"",IFERROR(INDEX(tsk_FcFinish,MATCH(RAIDLog[[#This Row],[Task UID]],tsk_UID,0)),""))</f>
        <v/>
      </c>
      <c r="Q13" s="53"/>
      <c r="R13" s="53"/>
      <c r="S13" s="38" t="str">
        <f aca="false">IF(RAIDLog[[#This Row],[Title]]="","",RAIDLog[[#This Row],[Type]]&amp;" "&amp;RAIDLog[[#This Row],[Ref]]&amp;": "&amp;RAIDLog[[#This Row],[Title]])</f>
        <v/>
      </c>
      <c r="T13" s="38" t="str">
        <f aca="false">IF(AND(NOT(RAIDLog[[#This Row],[Title]]=""),RAIDLog[[#This Row],[Status]]&lt;&gt;"Closed"),RAIDLog[[#This Row],[Score]]+1-(ROW()-ROW(RAIDLog[[#Headers],[Ref]]))/100000,"")</f>
        <v/>
      </c>
    </row>
    <row r="14" customFormat="false" ht="15" hidden="false" customHeight="false" outlineLevel="0" collapsed="false">
      <c r="B14" s="52" t="n">
        <v>10</v>
      </c>
      <c r="C14" s="53"/>
      <c r="D14" s="53"/>
      <c r="E14" s="53"/>
      <c r="F14" s="7"/>
      <c r="G14" s="7"/>
      <c r="H14" s="52"/>
      <c r="I14" s="52"/>
      <c r="J14" s="52"/>
      <c r="K14" s="51" t="str">
        <f aca="false">IF(RAIDLog[[#This Row],[Title]]="","",IF(RAIDLog[[#This Row],[Type]]="Issue",5,N(RAIDLog[[#This Row],[Probability]]))*N(RAIDLog[[#This Row],[Impact]]))</f>
        <v/>
      </c>
      <c r="L14" s="51" t="str">
        <f aca="false">IF(RAIDLog[[#This Row],[Title]]="","",IF(RAIDLog[[#This Row],[Score]]&gt;=RAIDHighScore,"High",IF(RAIDLog[[#This Row],[Score]]&gt;=RAIDMediumScore,"Medium","Low")))</f>
        <v/>
      </c>
      <c r="M14" s="51" t="str">
        <f aca="false">IF(OR(RAIDLog[[#This Row],[Title]]="",N(RAIDLog[[#This Row],[Due]])=0),"",IF(AND(RAIDLog[[#This Row],[Status]]&lt;&gt;"Closed",RAIDLog[[#This Row],[Due]]&lt;StatusDate),"Overdue",""))</f>
        <v/>
      </c>
      <c r="N14" s="52"/>
      <c r="O14" s="30" t="str">
        <f aca="false">IF(N(RAIDLog[[#This Row],[Task UID]])=0,"",IFERROR(INDEX(tsk_Name,MATCH(RAIDLog[[#This Row],[Task UID]],tsk_UID,0)),"UID "&amp;RAIDLog[[#This Row],[Task UID]]&amp;" not found"))</f>
        <v/>
      </c>
      <c r="P14" s="31" t="str">
        <f aca="false">IF(N(RAIDLog[[#This Row],[Task UID]])=0,"",IFERROR(INDEX(tsk_FcFinish,MATCH(RAIDLog[[#This Row],[Task UID]],tsk_UID,0)),""))</f>
        <v/>
      </c>
      <c r="Q14" s="53"/>
      <c r="R14" s="53"/>
      <c r="S14" s="38" t="str">
        <f aca="false">IF(RAIDLog[[#This Row],[Title]]="","",RAIDLog[[#This Row],[Type]]&amp;" "&amp;RAIDLog[[#This Row],[Ref]]&amp;": "&amp;RAIDLog[[#This Row],[Title]])</f>
        <v/>
      </c>
      <c r="T14" s="38" t="str">
        <f aca="false">IF(AND(NOT(RAIDLog[[#This Row],[Title]]=""),RAIDLog[[#This Row],[Status]]&lt;&gt;"Closed"),RAIDLog[[#This Row],[Score]]+1-(ROW()-ROW(RAIDLog[[#Headers],[Ref]]))/100000,"")</f>
        <v/>
      </c>
    </row>
    <row r="15" customFormat="false" ht="15" hidden="false" customHeight="false" outlineLevel="0" collapsed="false">
      <c r="B15" s="52" t="n">
        <v>11</v>
      </c>
      <c r="C15" s="53"/>
      <c r="D15" s="53"/>
      <c r="E15" s="53"/>
      <c r="F15" s="7"/>
      <c r="G15" s="7"/>
      <c r="H15" s="52"/>
      <c r="I15" s="52"/>
      <c r="J15" s="52"/>
      <c r="K15" s="51" t="str">
        <f aca="false">IF(RAIDLog[[#This Row],[Title]]="","",IF(RAIDLog[[#This Row],[Type]]="Issue",5,N(RAIDLog[[#This Row],[Probability]]))*N(RAIDLog[[#This Row],[Impact]]))</f>
        <v/>
      </c>
      <c r="L15" s="51" t="str">
        <f aca="false">IF(RAIDLog[[#This Row],[Title]]="","",IF(RAIDLog[[#This Row],[Score]]&gt;=RAIDHighScore,"High",IF(RAIDLog[[#This Row],[Score]]&gt;=RAIDMediumScore,"Medium","Low")))</f>
        <v/>
      </c>
      <c r="M15" s="51" t="str">
        <f aca="false">IF(OR(RAIDLog[[#This Row],[Title]]="",N(RAIDLog[[#This Row],[Due]])=0),"",IF(AND(RAIDLog[[#This Row],[Status]]&lt;&gt;"Closed",RAIDLog[[#This Row],[Due]]&lt;StatusDate),"Overdue",""))</f>
        <v/>
      </c>
      <c r="N15" s="52"/>
      <c r="O15" s="30" t="str">
        <f aca="false">IF(N(RAIDLog[[#This Row],[Task UID]])=0,"",IFERROR(INDEX(tsk_Name,MATCH(RAIDLog[[#This Row],[Task UID]],tsk_UID,0)),"UID "&amp;RAIDLog[[#This Row],[Task UID]]&amp;" not found"))</f>
        <v/>
      </c>
      <c r="P15" s="31" t="str">
        <f aca="false">IF(N(RAIDLog[[#This Row],[Task UID]])=0,"",IFERROR(INDEX(tsk_FcFinish,MATCH(RAIDLog[[#This Row],[Task UID]],tsk_UID,0)),""))</f>
        <v/>
      </c>
      <c r="Q15" s="53"/>
      <c r="R15" s="53"/>
      <c r="S15" s="38" t="str">
        <f aca="false">IF(RAIDLog[[#This Row],[Title]]="","",RAIDLog[[#This Row],[Type]]&amp;" "&amp;RAIDLog[[#This Row],[Ref]]&amp;": "&amp;RAIDLog[[#This Row],[Title]])</f>
        <v/>
      </c>
      <c r="T15" s="38" t="str">
        <f aca="false">IF(AND(NOT(RAIDLog[[#This Row],[Title]]=""),RAIDLog[[#This Row],[Status]]&lt;&gt;"Closed"),RAIDLog[[#This Row],[Score]]+1-(ROW()-ROW(RAIDLog[[#Headers],[Ref]]))/100000,"")</f>
        <v/>
      </c>
    </row>
    <row r="16" customFormat="false" ht="15" hidden="false" customHeight="false" outlineLevel="0" collapsed="false">
      <c r="B16" s="52" t="n">
        <v>12</v>
      </c>
      <c r="C16" s="53"/>
      <c r="D16" s="53"/>
      <c r="E16" s="53"/>
      <c r="F16" s="7"/>
      <c r="G16" s="7"/>
      <c r="H16" s="52"/>
      <c r="I16" s="52"/>
      <c r="J16" s="52"/>
      <c r="K16" s="51" t="str">
        <f aca="false">IF(RAIDLog[[#This Row],[Title]]="","",IF(RAIDLog[[#This Row],[Type]]="Issue",5,N(RAIDLog[[#This Row],[Probability]]))*N(RAIDLog[[#This Row],[Impact]]))</f>
        <v/>
      </c>
      <c r="L16" s="51" t="str">
        <f aca="false">IF(RAIDLog[[#This Row],[Title]]="","",IF(RAIDLog[[#This Row],[Score]]&gt;=RAIDHighScore,"High",IF(RAIDLog[[#This Row],[Score]]&gt;=RAIDMediumScore,"Medium","Low")))</f>
        <v/>
      </c>
      <c r="M16" s="51" t="str">
        <f aca="false">IF(OR(RAIDLog[[#This Row],[Title]]="",N(RAIDLog[[#This Row],[Due]])=0),"",IF(AND(RAIDLog[[#This Row],[Status]]&lt;&gt;"Closed",RAIDLog[[#This Row],[Due]]&lt;StatusDate),"Overdue",""))</f>
        <v/>
      </c>
      <c r="N16" s="52"/>
      <c r="O16" s="30" t="str">
        <f aca="false">IF(N(RAIDLog[[#This Row],[Task UID]])=0,"",IFERROR(INDEX(tsk_Name,MATCH(RAIDLog[[#This Row],[Task UID]],tsk_UID,0)),"UID "&amp;RAIDLog[[#This Row],[Task UID]]&amp;" not found"))</f>
        <v/>
      </c>
      <c r="P16" s="31" t="str">
        <f aca="false">IF(N(RAIDLog[[#This Row],[Task UID]])=0,"",IFERROR(INDEX(tsk_FcFinish,MATCH(RAIDLog[[#This Row],[Task UID]],tsk_UID,0)),""))</f>
        <v/>
      </c>
      <c r="Q16" s="53"/>
      <c r="R16" s="53"/>
      <c r="S16" s="38" t="str">
        <f aca="false">IF(RAIDLog[[#This Row],[Title]]="","",RAIDLog[[#This Row],[Type]]&amp;" "&amp;RAIDLog[[#This Row],[Ref]]&amp;": "&amp;RAIDLog[[#This Row],[Title]])</f>
        <v/>
      </c>
      <c r="T16" s="38" t="str">
        <f aca="false">IF(AND(NOT(RAIDLog[[#This Row],[Title]]=""),RAIDLog[[#This Row],[Status]]&lt;&gt;"Closed"),RAIDLog[[#This Row],[Score]]+1-(ROW()-ROW(RAIDLog[[#Headers],[Ref]]))/100000,"")</f>
        <v/>
      </c>
    </row>
    <row r="17" customFormat="false" ht="15" hidden="false" customHeight="false" outlineLevel="0" collapsed="false">
      <c r="B17" s="52" t="n">
        <v>13</v>
      </c>
      <c r="C17" s="53"/>
      <c r="D17" s="53"/>
      <c r="E17" s="53"/>
      <c r="F17" s="7"/>
      <c r="G17" s="7"/>
      <c r="H17" s="52"/>
      <c r="I17" s="52"/>
      <c r="J17" s="52"/>
      <c r="K17" s="51" t="str">
        <f aca="false">IF(RAIDLog[[#This Row],[Title]]="","",IF(RAIDLog[[#This Row],[Type]]="Issue",5,N(RAIDLog[[#This Row],[Probability]]))*N(RAIDLog[[#This Row],[Impact]]))</f>
        <v/>
      </c>
      <c r="L17" s="51" t="str">
        <f aca="false">IF(RAIDLog[[#This Row],[Title]]="","",IF(RAIDLog[[#This Row],[Score]]&gt;=RAIDHighScore,"High",IF(RAIDLog[[#This Row],[Score]]&gt;=RAIDMediumScore,"Medium","Low")))</f>
        <v/>
      </c>
      <c r="M17" s="51" t="str">
        <f aca="false">IF(OR(RAIDLog[[#This Row],[Title]]="",N(RAIDLog[[#This Row],[Due]])=0),"",IF(AND(RAIDLog[[#This Row],[Status]]&lt;&gt;"Closed",RAIDLog[[#This Row],[Due]]&lt;StatusDate),"Overdue",""))</f>
        <v/>
      </c>
      <c r="N17" s="52"/>
      <c r="O17" s="30" t="str">
        <f aca="false">IF(N(RAIDLog[[#This Row],[Task UID]])=0,"",IFERROR(INDEX(tsk_Name,MATCH(RAIDLog[[#This Row],[Task UID]],tsk_UID,0)),"UID "&amp;RAIDLog[[#This Row],[Task UID]]&amp;" not found"))</f>
        <v/>
      </c>
      <c r="P17" s="31" t="str">
        <f aca="false">IF(N(RAIDLog[[#This Row],[Task UID]])=0,"",IFERROR(INDEX(tsk_FcFinish,MATCH(RAIDLog[[#This Row],[Task UID]],tsk_UID,0)),""))</f>
        <v/>
      </c>
      <c r="Q17" s="53"/>
      <c r="R17" s="53"/>
      <c r="S17" s="38" t="str">
        <f aca="false">IF(RAIDLog[[#This Row],[Title]]="","",RAIDLog[[#This Row],[Type]]&amp;" "&amp;RAIDLog[[#This Row],[Ref]]&amp;": "&amp;RAIDLog[[#This Row],[Title]])</f>
        <v/>
      </c>
      <c r="T17" s="38" t="str">
        <f aca="false">IF(AND(NOT(RAIDLog[[#This Row],[Title]]=""),RAIDLog[[#This Row],[Status]]&lt;&gt;"Closed"),RAIDLog[[#This Row],[Score]]+1-(ROW()-ROW(RAIDLog[[#Headers],[Ref]]))/100000,"")</f>
        <v/>
      </c>
    </row>
    <row r="18" customFormat="false" ht="15" hidden="false" customHeight="false" outlineLevel="0" collapsed="false">
      <c r="B18" s="52" t="n">
        <v>14</v>
      </c>
      <c r="C18" s="53"/>
      <c r="D18" s="53"/>
      <c r="E18" s="53"/>
      <c r="F18" s="7"/>
      <c r="G18" s="7"/>
      <c r="H18" s="52"/>
      <c r="I18" s="52"/>
      <c r="J18" s="52"/>
      <c r="K18" s="51" t="str">
        <f aca="false">IF(RAIDLog[[#This Row],[Title]]="","",IF(RAIDLog[[#This Row],[Type]]="Issue",5,N(RAIDLog[[#This Row],[Probability]]))*N(RAIDLog[[#This Row],[Impact]]))</f>
        <v/>
      </c>
      <c r="L18" s="51" t="str">
        <f aca="false">IF(RAIDLog[[#This Row],[Title]]="","",IF(RAIDLog[[#This Row],[Score]]&gt;=RAIDHighScore,"High",IF(RAIDLog[[#This Row],[Score]]&gt;=RAIDMediumScore,"Medium","Low")))</f>
        <v/>
      </c>
      <c r="M18" s="51" t="str">
        <f aca="false">IF(OR(RAIDLog[[#This Row],[Title]]="",N(RAIDLog[[#This Row],[Due]])=0),"",IF(AND(RAIDLog[[#This Row],[Status]]&lt;&gt;"Closed",RAIDLog[[#This Row],[Due]]&lt;StatusDate),"Overdue",""))</f>
        <v/>
      </c>
      <c r="N18" s="52"/>
      <c r="O18" s="30" t="str">
        <f aca="false">IF(N(RAIDLog[[#This Row],[Task UID]])=0,"",IFERROR(INDEX(tsk_Name,MATCH(RAIDLog[[#This Row],[Task UID]],tsk_UID,0)),"UID "&amp;RAIDLog[[#This Row],[Task UID]]&amp;" not found"))</f>
        <v/>
      </c>
      <c r="P18" s="31" t="str">
        <f aca="false">IF(N(RAIDLog[[#This Row],[Task UID]])=0,"",IFERROR(INDEX(tsk_FcFinish,MATCH(RAIDLog[[#This Row],[Task UID]],tsk_UID,0)),""))</f>
        <v/>
      </c>
      <c r="Q18" s="53"/>
      <c r="R18" s="53"/>
      <c r="S18" s="38" t="str">
        <f aca="false">IF(RAIDLog[[#This Row],[Title]]="","",RAIDLog[[#This Row],[Type]]&amp;" "&amp;RAIDLog[[#This Row],[Ref]]&amp;": "&amp;RAIDLog[[#This Row],[Title]])</f>
        <v/>
      </c>
      <c r="T18" s="38" t="str">
        <f aca="false">IF(AND(NOT(RAIDLog[[#This Row],[Title]]=""),RAIDLog[[#This Row],[Status]]&lt;&gt;"Closed"),RAIDLog[[#This Row],[Score]]+1-(ROW()-ROW(RAIDLog[[#Headers],[Ref]]))/100000,"")</f>
        <v/>
      </c>
    </row>
    <row r="19" customFormat="false" ht="15" hidden="false" customHeight="false" outlineLevel="0" collapsed="false">
      <c r="B19" s="52" t="n">
        <v>15</v>
      </c>
      <c r="C19" s="53"/>
      <c r="D19" s="53"/>
      <c r="E19" s="53"/>
      <c r="F19" s="7"/>
      <c r="G19" s="7"/>
      <c r="H19" s="52"/>
      <c r="I19" s="52"/>
      <c r="J19" s="52"/>
      <c r="K19" s="51" t="str">
        <f aca="false">IF(RAIDLog[[#This Row],[Title]]="","",IF(RAIDLog[[#This Row],[Type]]="Issue",5,N(RAIDLog[[#This Row],[Probability]]))*N(RAIDLog[[#This Row],[Impact]]))</f>
        <v/>
      </c>
      <c r="L19" s="51" t="str">
        <f aca="false">IF(RAIDLog[[#This Row],[Title]]="","",IF(RAIDLog[[#This Row],[Score]]&gt;=RAIDHighScore,"High",IF(RAIDLog[[#This Row],[Score]]&gt;=RAIDMediumScore,"Medium","Low")))</f>
        <v/>
      </c>
      <c r="M19" s="51" t="str">
        <f aca="false">IF(OR(RAIDLog[[#This Row],[Title]]="",N(RAIDLog[[#This Row],[Due]])=0),"",IF(AND(RAIDLog[[#This Row],[Status]]&lt;&gt;"Closed",RAIDLog[[#This Row],[Due]]&lt;StatusDate),"Overdue",""))</f>
        <v/>
      </c>
      <c r="N19" s="52"/>
      <c r="O19" s="30" t="str">
        <f aca="false">IF(N(RAIDLog[[#This Row],[Task UID]])=0,"",IFERROR(INDEX(tsk_Name,MATCH(RAIDLog[[#This Row],[Task UID]],tsk_UID,0)),"UID "&amp;RAIDLog[[#This Row],[Task UID]]&amp;" not found"))</f>
        <v/>
      </c>
      <c r="P19" s="31" t="str">
        <f aca="false">IF(N(RAIDLog[[#This Row],[Task UID]])=0,"",IFERROR(INDEX(tsk_FcFinish,MATCH(RAIDLog[[#This Row],[Task UID]],tsk_UID,0)),""))</f>
        <v/>
      </c>
      <c r="Q19" s="53"/>
      <c r="R19" s="53"/>
      <c r="S19" s="38" t="str">
        <f aca="false">IF(RAIDLog[[#This Row],[Title]]="","",RAIDLog[[#This Row],[Type]]&amp;" "&amp;RAIDLog[[#This Row],[Ref]]&amp;": "&amp;RAIDLog[[#This Row],[Title]])</f>
        <v/>
      </c>
      <c r="T19" s="38" t="str">
        <f aca="false">IF(AND(NOT(RAIDLog[[#This Row],[Title]]=""),RAIDLog[[#This Row],[Status]]&lt;&gt;"Closed"),RAIDLog[[#This Row],[Score]]+1-(ROW()-ROW(RAIDLog[[#Headers],[Ref]]))/100000,"")</f>
        <v/>
      </c>
    </row>
    <row r="20" customFormat="false" ht="15" hidden="false" customHeight="false" outlineLevel="0" collapsed="false">
      <c r="B20" s="52" t="n">
        <v>16</v>
      </c>
      <c r="C20" s="53"/>
      <c r="D20" s="53"/>
      <c r="E20" s="53"/>
      <c r="F20" s="7"/>
      <c r="G20" s="7"/>
      <c r="H20" s="52"/>
      <c r="I20" s="52"/>
      <c r="J20" s="52"/>
      <c r="K20" s="51" t="str">
        <f aca="false">IF(RAIDLog[[#This Row],[Title]]="","",IF(RAIDLog[[#This Row],[Type]]="Issue",5,N(RAIDLog[[#This Row],[Probability]]))*N(RAIDLog[[#This Row],[Impact]]))</f>
        <v/>
      </c>
      <c r="L20" s="51" t="str">
        <f aca="false">IF(RAIDLog[[#This Row],[Title]]="","",IF(RAIDLog[[#This Row],[Score]]&gt;=RAIDHighScore,"High",IF(RAIDLog[[#This Row],[Score]]&gt;=RAIDMediumScore,"Medium","Low")))</f>
        <v/>
      </c>
      <c r="M20" s="51" t="str">
        <f aca="false">IF(OR(RAIDLog[[#This Row],[Title]]="",N(RAIDLog[[#This Row],[Due]])=0),"",IF(AND(RAIDLog[[#This Row],[Status]]&lt;&gt;"Closed",RAIDLog[[#This Row],[Due]]&lt;StatusDate),"Overdue",""))</f>
        <v/>
      </c>
      <c r="N20" s="52"/>
      <c r="O20" s="30" t="str">
        <f aca="false">IF(N(RAIDLog[[#This Row],[Task UID]])=0,"",IFERROR(INDEX(tsk_Name,MATCH(RAIDLog[[#This Row],[Task UID]],tsk_UID,0)),"UID "&amp;RAIDLog[[#This Row],[Task UID]]&amp;" not found"))</f>
        <v/>
      </c>
      <c r="P20" s="31" t="str">
        <f aca="false">IF(N(RAIDLog[[#This Row],[Task UID]])=0,"",IFERROR(INDEX(tsk_FcFinish,MATCH(RAIDLog[[#This Row],[Task UID]],tsk_UID,0)),""))</f>
        <v/>
      </c>
      <c r="Q20" s="53"/>
      <c r="R20" s="53"/>
      <c r="S20" s="38" t="str">
        <f aca="false">IF(RAIDLog[[#This Row],[Title]]="","",RAIDLog[[#This Row],[Type]]&amp;" "&amp;RAIDLog[[#This Row],[Ref]]&amp;": "&amp;RAIDLog[[#This Row],[Title]])</f>
        <v/>
      </c>
      <c r="T20" s="38" t="str">
        <f aca="false">IF(AND(NOT(RAIDLog[[#This Row],[Title]]=""),RAIDLog[[#This Row],[Status]]&lt;&gt;"Closed"),RAIDLog[[#This Row],[Score]]+1-(ROW()-ROW(RAIDLog[[#Headers],[Ref]]))/100000,"")</f>
        <v/>
      </c>
    </row>
    <row r="21" customFormat="false" ht="15" hidden="false" customHeight="false" outlineLevel="0" collapsed="false">
      <c r="B21" s="52" t="n">
        <v>17</v>
      </c>
      <c r="C21" s="53"/>
      <c r="D21" s="53"/>
      <c r="E21" s="53"/>
      <c r="F21" s="7"/>
      <c r="G21" s="7"/>
      <c r="H21" s="52"/>
      <c r="I21" s="52"/>
      <c r="J21" s="52"/>
      <c r="K21" s="51" t="str">
        <f aca="false">IF(RAIDLog[[#This Row],[Title]]="","",IF(RAIDLog[[#This Row],[Type]]="Issue",5,N(RAIDLog[[#This Row],[Probability]]))*N(RAIDLog[[#This Row],[Impact]]))</f>
        <v/>
      </c>
      <c r="L21" s="51" t="str">
        <f aca="false">IF(RAIDLog[[#This Row],[Title]]="","",IF(RAIDLog[[#This Row],[Score]]&gt;=RAIDHighScore,"High",IF(RAIDLog[[#This Row],[Score]]&gt;=RAIDMediumScore,"Medium","Low")))</f>
        <v/>
      </c>
      <c r="M21" s="51" t="str">
        <f aca="false">IF(OR(RAIDLog[[#This Row],[Title]]="",N(RAIDLog[[#This Row],[Due]])=0),"",IF(AND(RAIDLog[[#This Row],[Status]]&lt;&gt;"Closed",RAIDLog[[#This Row],[Due]]&lt;StatusDate),"Overdue",""))</f>
        <v/>
      </c>
      <c r="N21" s="52"/>
      <c r="O21" s="30" t="str">
        <f aca="false">IF(N(RAIDLog[[#This Row],[Task UID]])=0,"",IFERROR(INDEX(tsk_Name,MATCH(RAIDLog[[#This Row],[Task UID]],tsk_UID,0)),"UID "&amp;RAIDLog[[#This Row],[Task UID]]&amp;" not found"))</f>
        <v/>
      </c>
      <c r="P21" s="31" t="str">
        <f aca="false">IF(N(RAIDLog[[#This Row],[Task UID]])=0,"",IFERROR(INDEX(tsk_FcFinish,MATCH(RAIDLog[[#This Row],[Task UID]],tsk_UID,0)),""))</f>
        <v/>
      </c>
      <c r="Q21" s="53"/>
      <c r="R21" s="53"/>
      <c r="S21" s="38" t="str">
        <f aca="false">IF(RAIDLog[[#This Row],[Title]]="","",RAIDLog[[#This Row],[Type]]&amp;" "&amp;RAIDLog[[#This Row],[Ref]]&amp;": "&amp;RAIDLog[[#This Row],[Title]])</f>
        <v/>
      </c>
      <c r="T21" s="38" t="str">
        <f aca="false">IF(AND(NOT(RAIDLog[[#This Row],[Title]]=""),RAIDLog[[#This Row],[Status]]&lt;&gt;"Closed"),RAIDLog[[#This Row],[Score]]+1-(ROW()-ROW(RAIDLog[[#Headers],[Ref]]))/100000,"")</f>
        <v/>
      </c>
    </row>
    <row r="22" customFormat="false" ht="15" hidden="false" customHeight="false" outlineLevel="0" collapsed="false">
      <c r="B22" s="52" t="n">
        <v>18</v>
      </c>
      <c r="C22" s="53"/>
      <c r="D22" s="53"/>
      <c r="E22" s="53"/>
      <c r="F22" s="7"/>
      <c r="G22" s="7"/>
      <c r="H22" s="52"/>
      <c r="I22" s="52"/>
      <c r="J22" s="52"/>
      <c r="K22" s="51" t="str">
        <f aca="false">IF(RAIDLog[[#This Row],[Title]]="","",IF(RAIDLog[[#This Row],[Type]]="Issue",5,N(RAIDLog[[#This Row],[Probability]]))*N(RAIDLog[[#This Row],[Impact]]))</f>
        <v/>
      </c>
      <c r="L22" s="51" t="str">
        <f aca="false">IF(RAIDLog[[#This Row],[Title]]="","",IF(RAIDLog[[#This Row],[Score]]&gt;=RAIDHighScore,"High",IF(RAIDLog[[#This Row],[Score]]&gt;=RAIDMediumScore,"Medium","Low")))</f>
        <v/>
      </c>
      <c r="M22" s="51" t="str">
        <f aca="false">IF(OR(RAIDLog[[#This Row],[Title]]="",N(RAIDLog[[#This Row],[Due]])=0),"",IF(AND(RAIDLog[[#This Row],[Status]]&lt;&gt;"Closed",RAIDLog[[#This Row],[Due]]&lt;StatusDate),"Overdue",""))</f>
        <v/>
      </c>
      <c r="N22" s="52"/>
      <c r="O22" s="30" t="str">
        <f aca="false">IF(N(RAIDLog[[#This Row],[Task UID]])=0,"",IFERROR(INDEX(tsk_Name,MATCH(RAIDLog[[#This Row],[Task UID]],tsk_UID,0)),"UID "&amp;RAIDLog[[#This Row],[Task UID]]&amp;" not found"))</f>
        <v/>
      </c>
      <c r="P22" s="31" t="str">
        <f aca="false">IF(N(RAIDLog[[#This Row],[Task UID]])=0,"",IFERROR(INDEX(tsk_FcFinish,MATCH(RAIDLog[[#This Row],[Task UID]],tsk_UID,0)),""))</f>
        <v/>
      </c>
      <c r="Q22" s="53"/>
      <c r="R22" s="53"/>
      <c r="S22" s="38" t="str">
        <f aca="false">IF(RAIDLog[[#This Row],[Title]]="","",RAIDLog[[#This Row],[Type]]&amp;" "&amp;RAIDLog[[#This Row],[Ref]]&amp;": "&amp;RAIDLog[[#This Row],[Title]])</f>
        <v/>
      </c>
      <c r="T22" s="38" t="str">
        <f aca="false">IF(AND(NOT(RAIDLog[[#This Row],[Title]]=""),RAIDLog[[#This Row],[Status]]&lt;&gt;"Closed"),RAIDLog[[#This Row],[Score]]+1-(ROW()-ROW(RAIDLog[[#Headers],[Ref]]))/100000,"")</f>
        <v/>
      </c>
    </row>
    <row r="23" customFormat="false" ht="15" hidden="false" customHeight="false" outlineLevel="0" collapsed="false">
      <c r="B23" s="52" t="n">
        <v>19</v>
      </c>
      <c r="C23" s="53"/>
      <c r="D23" s="53"/>
      <c r="E23" s="53"/>
      <c r="F23" s="7"/>
      <c r="G23" s="7"/>
      <c r="H23" s="52"/>
      <c r="I23" s="52"/>
      <c r="J23" s="52"/>
      <c r="K23" s="51" t="str">
        <f aca="false">IF(RAIDLog[[#This Row],[Title]]="","",IF(RAIDLog[[#This Row],[Type]]="Issue",5,N(RAIDLog[[#This Row],[Probability]]))*N(RAIDLog[[#This Row],[Impact]]))</f>
        <v/>
      </c>
      <c r="L23" s="51" t="str">
        <f aca="false">IF(RAIDLog[[#This Row],[Title]]="","",IF(RAIDLog[[#This Row],[Score]]&gt;=RAIDHighScore,"High",IF(RAIDLog[[#This Row],[Score]]&gt;=RAIDMediumScore,"Medium","Low")))</f>
        <v/>
      </c>
      <c r="M23" s="51" t="str">
        <f aca="false">IF(OR(RAIDLog[[#This Row],[Title]]="",N(RAIDLog[[#This Row],[Due]])=0),"",IF(AND(RAIDLog[[#This Row],[Status]]&lt;&gt;"Closed",RAIDLog[[#This Row],[Due]]&lt;StatusDate),"Overdue",""))</f>
        <v/>
      </c>
      <c r="N23" s="52"/>
      <c r="O23" s="30" t="str">
        <f aca="false">IF(N(RAIDLog[[#This Row],[Task UID]])=0,"",IFERROR(INDEX(tsk_Name,MATCH(RAIDLog[[#This Row],[Task UID]],tsk_UID,0)),"UID "&amp;RAIDLog[[#This Row],[Task UID]]&amp;" not found"))</f>
        <v/>
      </c>
      <c r="P23" s="31" t="str">
        <f aca="false">IF(N(RAIDLog[[#This Row],[Task UID]])=0,"",IFERROR(INDEX(tsk_FcFinish,MATCH(RAIDLog[[#This Row],[Task UID]],tsk_UID,0)),""))</f>
        <v/>
      </c>
      <c r="Q23" s="53"/>
      <c r="R23" s="53"/>
      <c r="S23" s="38" t="str">
        <f aca="false">IF(RAIDLog[[#This Row],[Title]]="","",RAIDLog[[#This Row],[Type]]&amp;" "&amp;RAIDLog[[#This Row],[Ref]]&amp;": "&amp;RAIDLog[[#This Row],[Title]])</f>
        <v/>
      </c>
      <c r="T23" s="38" t="str">
        <f aca="false">IF(AND(NOT(RAIDLog[[#This Row],[Title]]=""),RAIDLog[[#This Row],[Status]]&lt;&gt;"Closed"),RAIDLog[[#This Row],[Score]]+1-(ROW()-ROW(RAIDLog[[#Headers],[Ref]]))/100000,"")</f>
        <v/>
      </c>
    </row>
    <row r="24" customFormat="false" ht="15" hidden="false" customHeight="false" outlineLevel="0" collapsed="false">
      <c r="B24" s="52" t="n">
        <v>20</v>
      </c>
      <c r="C24" s="53"/>
      <c r="D24" s="53"/>
      <c r="E24" s="53"/>
      <c r="F24" s="7"/>
      <c r="G24" s="7"/>
      <c r="H24" s="52"/>
      <c r="I24" s="52"/>
      <c r="J24" s="52"/>
      <c r="K24" s="51" t="str">
        <f aca="false">IF(RAIDLog[[#This Row],[Title]]="","",IF(RAIDLog[[#This Row],[Type]]="Issue",5,N(RAIDLog[[#This Row],[Probability]]))*N(RAIDLog[[#This Row],[Impact]]))</f>
        <v/>
      </c>
      <c r="L24" s="51" t="str">
        <f aca="false">IF(RAIDLog[[#This Row],[Title]]="","",IF(RAIDLog[[#This Row],[Score]]&gt;=RAIDHighScore,"High",IF(RAIDLog[[#This Row],[Score]]&gt;=RAIDMediumScore,"Medium","Low")))</f>
        <v/>
      </c>
      <c r="M24" s="51" t="str">
        <f aca="false">IF(OR(RAIDLog[[#This Row],[Title]]="",N(RAIDLog[[#This Row],[Due]])=0),"",IF(AND(RAIDLog[[#This Row],[Status]]&lt;&gt;"Closed",RAIDLog[[#This Row],[Due]]&lt;StatusDate),"Overdue",""))</f>
        <v/>
      </c>
      <c r="N24" s="52"/>
      <c r="O24" s="30" t="str">
        <f aca="false">IF(N(RAIDLog[[#This Row],[Task UID]])=0,"",IFERROR(INDEX(tsk_Name,MATCH(RAIDLog[[#This Row],[Task UID]],tsk_UID,0)),"UID "&amp;RAIDLog[[#This Row],[Task UID]]&amp;" not found"))</f>
        <v/>
      </c>
      <c r="P24" s="31" t="str">
        <f aca="false">IF(N(RAIDLog[[#This Row],[Task UID]])=0,"",IFERROR(INDEX(tsk_FcFinish,MATCH(RAIDLog[[#This Row],[Task UID]],tsk_UID,0)),""))</f>
        <v/>
      </c>
      <c r="Q24" s="53"/>
      <c r="R24" s="53"/>
      <c r="S24" s="38" t="str">
        <f aca="false">IF(RAIDLog[[#This Row],[Title]]="","",RAIDLog[[#This Row],[Type]]&amp;" "&amp;RAIDLog[[#This Row],[Ref]]&amp;": "&amp;RAIDLog[[#This Row],[Title]])</f>
        <v/>
      </c>
      <c r="T24" s="38" t="str">
        <f aca="false">IF(AND(NOT(RAIDLog[[#This Row],[Title]]=""),RAIDLog[[#This Row],[Status]]&lt;&gt;"Closed"),RAIDLog[[#This Row],[Score]]+1-(ROW()-ROW(RAIDLog[[#Headers],[Ref]]))/100000,"")</f>
        <v/>
      </c>
    </row>
    <row r="25" customFormat="false" ht="15" hidden="false" customHeight="false" outlineLevel="0" collapsed="false">
      <c r="B25" s="52" t="n">
        <v>21</v>
      </c>
      <c r="C25" s="53"/>
      <c r="D25" s="53"/>
      <c r="E25" s="53"/>
      <c r="F25" s="7"/>
      <c r="G25" s="7"/>
      <c r="H25" s="52"/>
      <c r="I25" s="52"/>
      <c r="J25" s="52"/>
      <c r="K25" s="51" t="str">
        <f aca="false">IF(RAIDLog[[#This Row],[Title]]="","",IF(RAIDLog[[#This Row],[Type]]="Issue",5,N(RAIDLog[[#This Row],[Probability]]))*N(RAIDLog[[#This Row],[Impact]]))</f>
        <v/>
      </c>
      <c r="L25" s="51" t="str">
        <f aca="false">IF(RAIDLog[[#This Row],[Title]]="","",IF(RAIDLog[[#This Row],[Score]]&gt;=RAIDHighScore,"High",IF(RAIDLog[[#This Row],[Score]]&gt;=RAIDMediumScore,"Medium","Low")))</f>
        <v/>
      </c>
      <c r="M25" s="51" t="str">
        <f aca="false">IF(OR(RAIDLog[[#This Row],[Title]]="",N(RAIDLog[[#This Row],[Due]])=0),"",IF(AND(RAIDLog[[#This Row],[Status]]&lt;&gt;"Closed",RAIDLog[[#This Row],[Due]]&lt;StatusDate),"Overdue",""))</f>
        <v/>
      </c>
      <c r="N25" s="52"/>
      <c r="O25" s="30" t="str">
        <f aca="false">IF(N(RAIDLog[[#This Row],[Task UID]])=0,"",IFERROR(INDEX(tsk_Name,MATCH(RAIDLog[[#This Row],[Task UID]],tsk_UID,0)),"UID "&amp;RAIDLog[[#This Row],[Task UID]]&amp;" not found"))</f>
        <v/>
      </c>
      <c r="P25" s="31" t="str">
        <f aca="false">IF(N(RAIDLog[[#This Row],[Task UID]])=0,"",IFERROR(INDEX(tsk_FcFinish,MATCH(RAIDLog[[#This Row],[Task UID]],tsk_UID,0)),""))</f>
        <v/>
      </c>
      <c r="Q25" s="53"/>
      <c r="R25" s="53"/>
      <c r="S25" s="38" t="str">
        <f aca="false">IF(RAIDLog[[#This Row],[Title]]="","",RAIDLog[[#This Row],[Type]]&amp;" "&amp;RAIDLog[[#This Row],[Ref]]&amp;": "&amp;RAIDLog[[#This Row],[Title]])</f>
        <v/>
      </c>
      <c r="T25" s="38" t="str">
        <f aca="false">IF(AND(NOT(RAIDLog[[#This Row],[Title]]=""),RAIDLog[[#This Row],[Status]]&lt;&gt;"Closed"),RAIDLog[[#This Row],[Score]]+1-(ROW()-ROW(RAIDLog[[#Headers],[Ref]]))/100000,"")</f>
        <v/>
      </c>
    </row>
    <row r="26" customFormat="false" ht="15" hidden="false" customHeight="false" outlineLevel="0" collapsed="false">
      <c r="B26" s="52" t="n">
        <v>22</v>
      </c>
      <c r="C26" s="53"/>
      <c r="D26" s="53"/>
      <c r="E26" s="53"/>
      <c r="F26" s="7"/>
      <c r="G26" s="7"/>
      <c r="H26" s="52"/>
      <c r="I26" s="52"/>
      <c r="J26" s="52"/>
      <c r="K26" s="51" t="str">
        <f aca="false">IF(RAIDLog[[#This Row],[Title]]="","",IF(RAIDLog[[#This Row],[Type]]="Issue",5,N(RAIDLog[[#This Row],[Probability]]))*N(RAIDLog[[#This Row],[Impact]]))</f>
        <v/>
      </c>
      <c r="L26" s="51" t="str">
        <f aca="false">IF(RAIDLog[[#This Row],[Title]]="","",IF(RAIDLog[[#This Row],[Score]]&gt;=RAIDHighScore,"High",IF(RAIDLog[[#This Row],[Score]]&gt;=RAIDMediumScore,"Medium","Low")))</f>
        <v/>
      </c>
      <c r="M26" s="51" t="str">
        <f aca="false">IF(OR(RAIDLog[[#This Row],[Title]]="",N(RAIDLog[[#This Row],[Due]])=0),"",IF(AND(RAIDLog[[#This Row],[Status]]&lt;&gt;"Closed",RAIDLog[[#This Row],[Due]]&lt;StatusDate),"Overdue",""))</f>
        <v/>
      </c>
      <c r="N26" s="52"/>
      <c r="O26" s="30" t="str">
        <f aca="false">IF(N(RAIDLog[[#This Row],[Task UID]])=0,"",IFERROR(INDEX(tsk_Name,MATCH(RAIDLog[[#This Row],[Task UID]],tsk_UID,0)),"UID "&amp;RAIDLog[[#This Row],[Task UID]]&amp;" not found"))</f>
        <v/>
      </c>
      <c r="P26" s="31" t="str">
        <f aca="false">IF(N(RAIDLog[[#This Row],[Task UID]])=0,"",IFERROR(INDEX(tsk_FcFinish,MATCH(RAIDLog[[#This Row],[Task UID]],tsk_UID,0)),""))</f>
        <v/>
      </c>
      <c r="Q26" s="53"/>
      <c r="R26" s="53"/>
      <c r="S26" s="38" t="str">
        <f aca="false">IF(RAIDLog[[#This Row],[Title]]="","",RAIDLog[[#This Row],[Type]]&amp;" "&amp;RAIDLog[[#This Row],[Ref]]&amp;": "&amp;RAIDLog[[#This Row],[Title]])</f>
        <v/>
      </c>
      <c r="T26" s="38" t="str">
        <f aca="false">IF(AND(NOT(RAIDLog[[#This Row],[Title]]=""),RAIDLog[[#This Row],[Status]]&lt;&gt;"Closed"),RAIDLog[[#This Row],[Score]]+1-(ROW()-ROW(RAIDLog[[#Headers],[Ref]]))/100000,"")</f>
        <v/>
      </c>
    </row>
    <row r="27" customFormat="false" ht="15" hidden="false" customHeight="false" outlineLevel="0" collapsed="false">
      <c r="B27" s="52" t="n">
        <v>23</v>
      </c>
      <c r="C27" s="53"/>
      <c r="D27" s="53"/>
      <c r="E27" s="53"/>
      <c r="F27" s="7"/>
      <c r="G27" s="7"/>
      <c r="H27" s="52"/>
      <c r="I27" s="52"/>
      <c r="J27" s="52"/>
      <c r="K27" s="51" t="str">
        <f aca="false">IF(RAIDLog[[#This Row],[Title]]="","",IF(RAIDLog[[#This Row],[Type]]="Issue",5,N(RAIDLog[[#This Row],[Probability]]))*N(RAIDLog[[#This Row],[Impact]]))</f>
        <v/>
      </c>
      <c r="L27" s="51" t="str">
        <f aca="false">IF(RAIDLog[[#This Row],[Title]]="","",IF(RAIDLog[[#This Row],[Score]]&gt;=RAIDHighScore,"High",IF(RAIDLog[[#This Row],[Score]]&gt;=RAIDMediumScore,"Medium","Low")))</f>
        <v/>
      </c>
      <c r="M27" s="51" t="str">
        <f aca="false">IF(OR(RAIDLog[[#This Row],[Title]]="",N(RAIDLog[[#This Row],[Due]])=0),"",IF(AND(RAIDLog[[#This Row],[Status]]&lt;&gt;"Closed",RAIDLog[[#This Row],[Due]]&lt;StatusDate),"Overdue",""))</f>
        <v/>
      </c>
      <c r="N27" s="52"/>
      <c r="O27" s="30" t="str">
        <f aca="false">IF(N(RAIDLog[[#This Row],[Task UID]])=0,"",IFERROR(INDEX(tsk_Name,MATCH(RAIDLog[[#This Row],[Task UID]],tsk_UID,0)),"UID "&amp;RAIDLog[[#This Row],[Task UID]]&amp;" not found"))</f>
        <v/>
      </c>
      <c r="P27" s="31" t="str">
        <f aca="false">IF(N(RAIDLog[[#This Row],[Task UID]])=0,"",IFERROR(INDEX(tsk_FcFinish,MATCH(RAIDLog[[#This Row],[Task UID]],tsk_UID,0)),""))</f>
        <v/>
      </c>
      <c r="Q27" s="53"/>
      <c r="R27" s="53"/>
      <c r="S27" s="38" t="str">
        <f aca="false">IF(RAIDLog[[#This Row],[Title]]="","",RAIDLog[[#This Row],[Type]]&amp;" "&amp;RAIDLog[[#This Row],[Ref]]&amp;": "&amp;RAIDLog[[#This Row],[Title]])</f>
        <v/>
      </c>
      <c r="T27" s="38" t="str">
        <f aca="false">IF(AND(NOT(RAIDLog[[#This Row],[Title]]=""),RAIDLog[[#This Row],[Status]]&lt;&gt;"Closed"),RAIDLog[[#This Row],[Score]]+1-(ROW()-ROW(RAIDLog[[#Headers],[Ref]]))/100000,"")</f>
        <v/>
      </c>
    </row>
    <row r="28" customFormat="false" ht="15" hidden="false" customHeight="false" outlineLevel="0" collapsed="false">
      <c r="B28" s="52" t="n">
        <v>24</v>
      </c>
      <c r="C28" s="53"/>
      <c r="D28" s="53"/>
      <c r="E28" s="53"/>
      <c r="F28" s="7"/>
      <c r="G28" s="7"/>
      <c r="H28" s="52"/>
      <c r="I28" s="52"/>
      <c r="J28" s="52"/>
      <c r="K28" s="51" t="str">
        <f aca="false">IF(RAIDLog[[#This Row],[Title]]="","",IF(RAIDLog[[#This Row],[Type]]="Issue",5,N(RAIDLog[[#This Row],[Probability]]))*N(RAIDLog[[#This Row],[Impact]]))</f>
        <v/>
      </c>
      <c r="L28" s="51" t="str">
        <f aca="false">IF(RAIDLog[[#This Row],[Title]]="","",IF(RAIDLog[[#This Row],[Score]]&gt;=RAIDHighScore,"High",IF(RAIDLog[[#This Row],[Score]]&gt;=RAIDMediumScore,"Medium","Low")))</f>
        <v/>
      </c>
      <c r="M28" s="51" t="str">
        <f aca="false">IF(OR(RAIDLog[[#This Row],[Title]]="",N(RAIDLog[[#This Row],[Due]])=0),"",IF(AND(RAIDLog[[#This Row],[Status]]&lt;&gt;"Closed",RAIDLog[[#This Row],[Due]]&lt;StatusDate),"Overdue",""))</f>
        <v/>
      </c>
      <c r="N28" s="52"/>
      <c r="O28" s="30" t="str">
        <f aca="false">IF(N(RAIDLog[[#This Row],[Task UID]])=0,"",IFERROR(INDEX(tsk_Name,MATCH(RAIDLog[[#This Row],[Task UID]],tsk_UID,0)),"UID "&amp;RAIDLog[[#This Row],[Task UID]]&amp;" not found"))</f>
        <v/>
      </c>
      <c r="P28" s="31" t="str">
        <f aca="false">IF(N(RAIDLog[[#This Row],[Task UID]])=0,"",IFERROR(INDEX(tsk_FcFinish,MATCH(RAIDLog[[#This Row],[Task UID]],tsk_UID,0)),""))</f>
        <v/>
      </c>
      <c r="Q28" s="53"/>
      <c r="R28" s="53"/>
      <c r="S28" s="38" t="str">
        <f aca="false">IF(RAIDLog[[#This Row],[Title]]="","",RAIDLog[[#This Row],[Type]]&amp;" "&amp;RAIDLog[[#This Row],[Ref]]&amp;": "&amp;RAIDLog[[#This Row],[Title]])</f>
        <v/>
      </c>
      <c r="T28" s="38" t="str">
        <f aca="false">IF(AND(NOT(RAIDLog[[#This Row],[Title]]=""),RAIDLog[[#This Row],[Status]]&lt;&gt;"Closed"),RAIDLog[[#This Row],[Score]]+1-(ROW()-ROW(RAIDLog[[#Headers],[Ref]]))/100000,"")</f>
        <v/>
      </c>
    </row>
    <row r="29" customFormat="false" ht="15" hidden="false" customHeight="false" outlineLevel="0" collapsed="false">
      <c r="B29" s="52" t="n">
        <v>25</v>
      </c>
      <c r="C29" s="53"/>
      <c r="D29" s="53"/>
      <c r="E29" s="53"/>
      <c r="F29" s="7"/>
      <c r="G29" s="7"/>
      <c r="H29" s="52"/>
      <c r="I29" s="52"/>
      <c r="J29" s="52"/>
      <c r="K29" s="51" t="str">
        <f aca="false">IF(RAIDLog[[#This Row],[Title]]="","",IF(RAIDLog[[#This Row],[Type]]="Issue",5,N(RAIDLog[[#This Row],[Probability]]))*N(RAIDLog[[#This Row],[Impact]]))</f>
        <v/>
      </c>
      <c r="L29" s="51" t="str">
        <f aca="false">IF(RAIDLog[[#This Row],[Title]]="","",IF(RAIDLog[[#This Row],[Score]]&gt;=RAIDHighScore,"High",IF(RAIDLog[[#This Row],[Score]]&gt;=RAIDMediumScore,"Medium","Low")))</f>
        <v/>
      </c>
      <c r="M29" s="51" t="str">
        <f aca="false">IF(OR(RAIDLog[[#This Row],[Title]]="",N(RAIDLog[[#This Row],[Due]])=0),"",IF(AND(RAIDLog[[#This Row],[Status]]&lt;&gt;"Closed",RAIDLog[[#This Row],[Due]]&lt;StatusDate),"Overdue",""))</f>
        <v/>
      </c>
      <c r="N29" s="52"/>
      <c r="O29" s="30" t="str">
        <f aca="false">IF(N(RAIDLog[[#This Row],[Task UID]])=0,"",IFERROR(INDEX(tsk_Name,MATCH(RAIDLog[[#This Row],[Task UID]],tsk_UID,0)),"UID "&amp;RAIDLog[[#This Row],[Task UID]]&amp;" not found"))</f>
        <v/>
      </c>
      <c r="P29" s="31" t="str">
        <f aca="false">IF(N(RAIDLog[[#This Row],[Task UID]])=0,"",IFERROR(INDEX(tsk_FcFinish,MATCH(RAIDLog[[#This Row],[Task UID]],tsk_UID,0)),""))</f>
        <v/>
      </c>
      <c r="Q29" s="53"/>
      <c r="R29" s="53"/>
      <c r="S29" s="38" t="str">
        <f aca="false">IF(RAIDLog[[#This Row],[Title]]="","",RAIDLog[[#This Row],[Type]]&amp;" "&amp;RAIDLog[[#This Row],[Ref]]&amp;": "&amp;RAIDLog[[#This Row],[Title]])</f>
        <v/>
      </c>
      <c r="T29" s="38" t="str">
        <f aca="false">IF(AND(NOT(RAIDLog[[#This Row],[Title]]=""),RAIDLog[[#This Row],[Status]]&lt;&gt;"Closed"),RAIDLog[[#This Row],[Score]]+1-(ROW()-ROW(RAIDLog[[#Headers],[Ref]]))/100000,"")</f>
        <v/>
      </c>
    </row>
    <row r="30" customFormat="false" ht="15" hidden="false" customHeight="false" outlineLevel="0" collapsed="false">
      <c r="B30" s="52" t="n">
        <v>26</v>
      </c>
      <c r="C30" s="53"/>
      <c r="D30" s="53"/>
      <c r="E30" s="53"/>
      <c r="F30" s="7"/>
      <c r="G30" s="7"/>
      <c r="H30" s="52"/>
      <c r="I30" s="52"/>
      <c r="J30" s="52"/>
      <c r="K30" s="51" t="str">
        <f aca="false">IF(RAIDLog[[#This Row],[Title]]="","",IF(RAIDLog[[#This Row],[Type]]="Issue",5,N(RAIDLog[[#This Row],[Probability]]))*N(RAIDLog[[#This Row],[Impact]]))</f>
        <v/>
      </c>
      <c r="L30" s="51" t="str">
        <f aca="false">IF(RAIDLog[[#This Row],[Title]]="","",IF(RAIDLog[[#This Row],[Score]]&gt;=RAIDHighScore,"High",IF(RAIDLog[[#This Row],[Score]]&gt;=RAIDMediumScore,"Medium","Low")))</f>
        <v/>
      </c>
      <c r="M30" s="51" t="str">
        <f aca="false">IF(OR(RAIDLog[[#This Row],[Title]]="",N(RAIDLog[[#This Row],[Due]])=0),"",IF(AND(RAIDLog[[#This Row],[Status]]&lt;&gt;"Closed",RAIDLog[[#This Row],[Due]]&lt;StatusDate),"Overdue",""))</f>
        <v/>
      </c>
      <c r="N30" s="52"/>
      <c r="O30" s="30" t="str">
        <f aca="false">IF(N(RAIDLog[[#This Row],[Task UID]])=0,"",IFERROR(INDEX(tsk_Name,MATCH(RAIDLog[[#This Row],[Task UID]],tsk_UID,0)),"UID "&amp;RAIDLog[[#This Row],[Task UID]]&amp;" not found"))</f>
        <v/>
      </c>
      <c r="P30" s="31" t="str">
        <f aca="false">IF(N(RAIDLog[[#This Row],[Task UID]])=0,"",IFERROR(INDEX(tsk_FcFinish,MATCH(RAIDLog[[#This Row],[Task UID]],tsk_UID,0)),""))</f>
        <v/>
      </c>
      <c r="Q30" s="53"/>
      <c r="R30" s="53"/>
      <c r="S30" s="38" t="str">
        <f aca="false">IF(RAIDLog[[#This Row],[Title]]="","",RAIDLog[[#This Row],[Type]]&amp;" "&amp;RAIDLog[[#This Row],[Ref]]&amp;": "&amp;RAIDLog[[#This Row],[Title]])</f>
        <v/>
      </c>
      <c r="T30" s="38" t="str">
        <f aca="false">IF(AND(NOT(RAIDLog[[#This Row],[Title]]=""),RAIDLog[[#This Row],[Status]]&lt;&gt;"Closed"),RAIDLog[[#This Row],[Score]]+1-(ROW()-ROW(RAIDLog[[#Headers],[Ref]]))/100000,"")</f>
        <v/>
      </c>
    </row>
    <row r="31" customFormat="false" ht="15" hidden="false" customHeight="false" outlineLevel="0" collapsed="false">
      <c r="B31" s="52" t="n">
        <v>27</v>
      </c>
      <c r="C31" s="53"/>
      <c r="D31" s="53"/>
      <c r="E31" s="53"/>
      <c r="F31" s="7"/>
      <c r="G31" s="7"/>
      <c r="H31" s="52"/>
      <c r="I31" s="52"/>
      <c r="J31" s="52"/>
      <c r="K31" s="51" t="str">
        <f aca="false">IF(RAIDLog[[#This Row],[Title]]="","",IF(RAIDLog[[#This Row],[Type]]="Issue",5,N(RAIDLog[[#This Row],[Probability]]))*N(RAIDLog[[#This Row],[Impact]]))</f>
        <v/>
      </c>
      <c r="L31" s="51" t="str">
        <f aca="false">IF(RAIDLog[[#This Row],[Title]]="","",IF(RAIDLog[[#This Row],[Score]]&gt;=RAIDHighScore,"High",IF(RAIDLog[[#This Row],[Score]]&gt;=RAIDMediumScore,"Medium","Low")))</f>
        <v/>
      </c>
      <c r="M31" s="51" t="str">
        <f aca="false">IF(OR(RAIDLog[[#This Row],[Title]]="",N(RAIDLog[[#This Row],[Due]])=0),"",IF(AND(RAIDLog[[#This Row],[Status]]&lt;&gt;"Closed",RAIDLog[[#This Row],[Due]]&lt;StatusDate),"Overdue",""))</f>
        <v/>
      </c>
      <c r="N31" s="52"/>
      <c r="O31" s="30" t="str">
        <f aca="false">IF(N(RAIDLog[[#This Row],[Task UID]])=0,"",IFERROR(INDEX(tsk_Name,MATCH(RAIDLog[[#This Row],[Task UID]],tsk_UID,0)),"UID "&amp;RAIDLog[[#This Row],[Task UID]]&amp;" not found"))</f>
        <v/>
      </c>
      <c r="P31" s="31" t="str">
        <f aca="false">IF(N(RAIDLog[[#This Row],[Task UID]])=0,"",IFERROR(INDEX(tsk_FcFinish,MATCH(RAIDLog[[#This Row],[Task UID]],tsk_UID,0)),""))</f>
        <v/>
      </c>
      <c r="Q31" s="53"/>
      <c r="R31" s="53"/>
      <c r="S31" s="38" t="str">
        <f aca="false">IF(RAIDLog[[#This Row],[Title]]="","",RAIDLog[[#This Row],[Type]]&amp;" "&amp;RAIDLog[[#This Row],[Ref]]&amp;": "&amp;RAIDLog[[#This Row],[Title]])</f>
        <v/>
      </c>
      <c r="T31" s="38" t="str">
        <f aca="false">IF(AND(NOT(RAIDLog[[#This Row],[Title]]=""),RAIDLog[[#This Row],[Status]]&lt;&gt;"Closed"),RAIDLog[[#This Row],[Score]]+1-(ROW()-ROW(RAIDLog[[#Headers],[Ref]]))/100000,"")</f>
        <v/>
      </c>
    </row>
    <row r="32" customFormat="false" ht="15" hidden="false" customHeight="false" outlineLevel="0" collapsed="false">
      <c r="B32" s="52" t="n">
        <v>28</v>
      </c>
      <c r="C32" s="53"/>
      <c r="D32" s="53"/>
      <c r="E32" s="53"/>
      <c r="F32" s="7"/>
      <c r="G32" s="7"/>
      <c r="H32" s="52"/>
      <c r="I32" s="52"/>
      <c r="J32" s="52"/>
      <c r="K32" s="51" t="str">
        <f aca="false">IF(RAIDLog[[#This Row],[Title]]="","",IF(RAIDLog[[#This Row],[Type]]="Issue",5,N(RAIDLog[[#This Row],[Probability]]))*N(RAIDLog[[#This Row],[Impact]]))</f>
        <v/>
      </c>
      <c r="L32" s="51" t="str">
        <f aca="false">IF(RAIDLog[[#This Row],[Title]]="","",IF(RAIDLog[[#This Row],[Score]]&gt;=RAIDHighScore,"High",IF(RAIDLog[[#This Row],[Score]]&gt;=RAIDMediumScore,"Medium","Low")))</f>
        <v/>
      </c>
      <c r="M32" s="51" t="str">
        <f aca="false">IF(OR(RAIDLog[[#This Row],[Title]]="",N(RAIDLog[[#This Row],[Due]])=0),"",IF(AND(RAIDLog[[#This Row],[Status]]&lt;&gt;"Closed",RAIDLog[[#This Row],[Due]]&lt;StatusDate),"Overdue",""))</f>
        <v/>
      </c>
      <c r="N32" s="52"/>
      <c r="O32" s="30" t="str">
        <f aca="false">IF(N(RAIDLog[[#This Row],[Task UID]])=0,"",IFERROR(INDEX(tsk_Name,MATCH(RAIDLog[[#This Row],[Task UID]],tsk_UID,0)),"UID "&amp;RAIDLog[[#This Row],[Task UID]]&amp;" not found"))</f>
        <v/>
      </c>
      <c r="P32" s="31" t="str">
        <f aca="false">IF(N(RAIDLog[[#This Row],[Task UID]])=0,"",IFERROR(INDEX(tsk_FcFinish,MATCH(RAIDLog[[#This Row],[Task UID]],tsk_UID,0)),""))</f>
        <v/>
      </c>
      <c r="Q32" s="53"/>
      <c r="R32" s="53"/>
      <c r="S32" s="38" t="str">
        <f aca="false">IF(RAIDLog[[#This Row],[Title]]="","",RAIDLog[[#This Row],[Type]]&amp;" "&amp;RAIDLog[[#This Row],[Ref]]&amp;": "&amp;RAIDLog[[#This Row],[Title]])</f>
        <v/>
      </c>
      <c r="T32" s="38" t="str">
        <f aca="false">IF(AND(NOT(RAIDLog[[#This Row],[Title]]=""),RAIDLog[[#This Row],[Status]]&lt;&gt;"Closed"),RAIDLog[[#This Row],[Score]]+1-(ROW()-ROW(RAIDLog[[#Headers],[Ref]]))/100000,"")</f>
        <v/>
      </c>
    </row>
    <row r="33" customFormat="false" ht="15" hidden="false" customHeight="false" outlineLevel="0" collapsed="false">
      <c r="B33" s="52" t="n">
        <v>29</v>
      </c>
      <c r="C33" s="53"/>
      <c r="D33" s="53"/>
      <c r="E33" s="53"/>
      <c r="F33" s="7"/>
      <c r="G33" s="7"/>
      <c r="H33" s="52"/>
      <c r="I33" s="52"/>
      <c r="J33" s="52"/>
      <c r="K33" s="51" t="str">
        <f aca="false">IF(RAIDLog[[#This Row],[Title]]="","",IF(RAIDLog[[#This Row],[Type]]="Issue",5,N(RAIDLog[[#This Row],[Probability]]))*N(RAIDLog[[#This Row],[Impact]]))</f>
        <v/>
      </c>
      <c r="L33" s="51" t="str">
        <f aca="false">IF(RAIDLog[[#This Row],[Title]]="","",IF(RAIDLog[[#This Row],[Score]]&gt;=RAIDHighScore,"High",IF(RAIDLog[[#This Row],[Score]]&gt;=RAIDMediumScore,"Medium","Low")))</f>
        <v/>
      </c>
      <c r="M33" s="51" t="str">
        <f aca="false">IF(OR(RAIDLog[[#This Row],[Title]]="",N(RAIDLog[[#This Row],[Due]])=0),"",IF(AND(RAIDLog[[#This Row],[Status]]&lt;&gt;"Closed",RAIDLog[[#This Row],[Due]]&lt;StatusDate),"Overdue",""))</f>
        <v/>
      </c>
      <c r="N33" s="52"/>
      <c r="O33" s="30" t="str">
        <f aca="false">IF(N(RAIDLog[[#This Row],[Task UID]])=0,"",IFERROR(INDEX(tsk_Name,MATCH(RAIDLog[[#This Row],[Task UID]],tsk_UID,0)),"UID "&amp;RAIDLog[[#This Row],[Task UID]]&amp;" not found"))</f>
        <v/>
      </c>
      <c r="P33" s="31" t="str">
        <f aca="false">IF(N(RAIDLog[[#This Row],[Task UID]])=0,"",IFERROR(INDEX(tsk_FcFinish,MATCH(RAIDLog[[#This Row],[Task UID]],tsk_UID,0)),""))</f>
        <v/>
      </c>
      <c r="Q33" s="53"/>
      <c r="R33" s="53"/>
      <c r="S33" s="38" t="str">
        <f aca="false">IF(RAIDLog[[#This Row],[Title]]="","",RAIDLog[[#This Row],[Type]]&amp;" "&amp;RAIDLog[[#This Row],[Ref]]&amp;": "&amp;RAIDLog[[#This Row],[Title]])</f>
        <v/>
      </c>
      <c r="T33" s="38" t="str">
        <f aca="false">IF(AND(NOT(RAIDLog[[#This Row],[Title]]=""),RAIDLog[[#This Row],[Status]]&lt;&gt;"Closed"),RAIDLog[[#This Row],[Score]]+1-(ROW()-ROW(RAIDLog[[#Headers],[Ref]]))/100000,"")</f>
        <v/>
      </c>
    </row>
    <row r="34" customFormat="false" ht="15" hidden="false" customHeight="false" outlineLevel="0" collapsed="false">
      <c r="B34" s="52" t="n">
        <v>30</v>
      </c>
      <c r="C34" s="53"/>
      <c r="D34" s="53"/>
      <c r="E34" s="53"/>
      <c r="F34" s="7"/>
      <c r="G34" s="7"/>
      <c r="H34" s="52"/>
      <c r="I34" s="52"/>
      <c r="J34" s="52"/>
      <c r="K34" s="51" t="str">
        <f aca="false">IF(RAIDLog[[#This Row],[Title]]="","",IF(RAIDLog[[#This Row],[Type]]="Issue",5,N(RAIDLog[[#This Row],[Probability]]))*N(RAIDLog[[#This Row],[Impact]]))</f>
        <v/>
      </c>
      <c r="L34" s="51" t="str">
        <f aca="false">IF(RAIDLog[[#This Row],[Title]]="","",IF(RAIDLog[[#This Row],[Score]]&gt;=RAIDHighScore,"High",IF(RAIDLog[[#This Row],[Score]]&gt;=RAIDMediumScore,"Medium","Low")))</f>
        <v/>
      </c>
      <c r="M34" s="51" t="str">
        <f aca="false">IF(OR(RAIDLog[[#This Row],[Title]]="",N(RAIDLog[[#This Row],[Due]])=0),"",IF(AND(RAIDLog[[#This Row],[Status]]&lt;&gt;"Closed",RAIDLog[[#This Row],[Due]]&lt;StatusDate),"Overdue",""))</f>
        <v/>
      </c>
      <c r="N34" s="52"/>
      <c r="O34" s="30" t="str">
        <f aca="false">IF(N(RAIDLog[[#This Row],[Task UID]])=0,"",IFERROR(INDEX(tsk_Name,MATCH(RAIDLog[[#This Row],[Task UID]],tsk_UID,0)),"UID "&amp;RAIDLog[[#This Row],[Task UID]]&amp;" not found"))</f>
        <v/>
      </c>
      <c r="P34" s="31" t="str">
        <f aca="false">IF(N(RAIDLog[[#This Row],[Task UID]])=0,"",IFERROR(INDEX(tsk_FcFinish,MATCH(RAIDLog[[#This Row],[Task UID]],tsk_UID,0)),""))</f>
        <v/>
      </c>
      <c r="Q34" s="53"/>
      <c r="R34" s="53"/>
      <c r="S34" s="38" t="str">
        <f aca="false">IF(RAIDLog[[#This Row],[Title]]="","",RAIDLog[[#This Row],[Type]]&amp;" "&amp;RAIDLog[[#This Row],[Ref]]&amp;": "&amp;RAIDLog[[#This Row],[Title]])</f>
        <v/>
      </c>
      <c r="T34" s="38" t="str">
        <f aca="false">IF(AND(NOT(RAIDLog[[#This Row],[Title]]=""),RAIDLog[[#This Row],[Status]]&lt;&gt;"Closed"),RAIDLog[[#This Row],[Score]]+1-(ROW()-ROW(RAIDLog[[#Headers],[Ref]]))/100000,"")</f>
        <v/>
      </c>
    </row>
    <row r="35" customFormat="false" ht="15" hidden="false" customHeight="false" outlineLevel="0" collapsed="false">
      <c r="B35" s="52" t="n">
        <v>31</v>
      </c>
      <c r="C35" s="53"/>
      <c r="D35" s="53"/>
      <c r="E35" s="53"/>
      <c r="F35" s="7"/>
      <c r="G35" s="7"/>
      <c r="H35" s="52"/>
      <c r="I35" s="52"/>
      <c r="J35" s="52"/>
      <c r="K35" s="51" t="str">
        <f aca="false">IF(RAIDLog[[#This Row],[Title]]="","",IF(RAIDLog[[#This Row],[Type]]="Issue",5,N(RAIDLog[[#This Row],[Probability]]))*N(RAIDLog[[#This Row],[Impact]]))</f>
        <v/>
      </c>
      <c r="L35" s="51" t="str">
        <f aca="false">IF(RAIDLog[[#This Row],[Title]]="","",IF(RAIDLog[[#This Row],[Score]]&gt;=RAIDHighScore,"High",IF(RAIDLog[[#This Row],[Score]]&gt;=RAIDMediumScore,"Medium","Low")))</f>
        <v/>
      </c>
      <c r="M35" s="51" t="str">
        <f aca="false">IF(OR(RAIDLog[[#This Row],[Title]]="",N(RAIDLog[[#This Row],[Due]])=0),"",IF(AND(RAIDLog[[#This Row],[Status]]&lt;&gt;"Closed",RAIDLog[[#This Row],[Due]]&lt;StatusDate),"Overdue",""))</f>
        <v/>
      </c>
      <c r="N35" s="52"/>
      <c r="O35" s="30" t="str">
        <f aca="false">IF(N(RAIDLog[[#This Row],[Task UID]])=0,"",IFERROR(INDEX(tsk_Name,MATCH(RAIDLog[[#This Row],[Task UID]],tsk_UID,0)),"UID "&amp;RAIDLog[[#This Row],[Task UID]]&amp;" not found"))</f>
        <v/>
      </c>
      <c r="P35" s="31" t="str">
        <f aca="false">IF(N(RAIDLog[[#This Row],[Task UID]])=0,"",IFERROR(INDEX(tsk_FcFinish,MATCH(RAIDLog[[#This Row],[Task UID]],tsk_UID,0)),""))</f>
        <v/>
      </c>
      <c r="Q35" s="53"/>
      <c r="R35" s="53"/>
      <c r="S35" s="38" t="str">
        <f aca="false">IF(RAIDLog[[#This Row],[Title]]="","",RAIDLog[[#This Row],[Type]]&amp;" "&amp;RAIDLog[[#This Row],[Ref]]&amp;": "&amp;RAIDLog[[#This Row],[Title]])</f>
        <v/>
      </c>
      <c r="T35" s="38" t="str">
        <f aca="false">IF(AND(NOT(RAIDLog[[#This Row],[Title]]=""),RAIDLog[[#This Row],[Status]]&lt;&gt;"Closed"),RAIDLog[[#This Row],[Score]]+1-(ROW()-ROW(RAIDLog[[#Headers],[Ref]]))/100000,"")</f>
        <v/>
      </c>
    </row>
    <row r="36" customFormat="false" ht="15" hidden="false" customHeight="false" outlineLevel="0" collapsed="false">
      <c r="B36" s="52" t="n">
        <v>32</v>
      </c>
      <c r="C36" s="53"/>
      <c r="D36" s="53"/>
      <c r="E36" s="53"/>
      <c r="F36" s="7"/>
      <c r="G36" s="7"/>
      <c r="H36" s="52"/>
      <c r="I36" s="52"/>
      <c r="J36" s="52"/>
      <c r="K36" s="51" t="str">
        <f aca="false">IF(RAIDLog[[#This Row],[Title]]="","",IF(RAIDLog[[#This Row],[Type]]="Issue",5,N(RAIDLog[[#This Row],[Probability]]))*N(RAIDLog[[#This Row],[Impact]]))</f>
        <v/>
      </c>
      <c r="L36" s="51" t="str">
        <f aca="false">IF(RAIDLog[[#This Row],[Title]]="","",IF(RAIDLog[[#This Row],[Score]]&gt;=RAIDHighScore,"High",IF(RAIDLog[[#This Row],[Score]]&gt;=RAIDMediumScore,"Medium","Low")))</f>
        <v/>
      </c>
      <c r="M36" s="51" t="str">
        <f aca="false">IF(OR(RAIDLog[[#This Row],[Title]]="",N(RAIDLog[[#This Row],[Due]])=0),"",IF(AND(RAIDLog[[#This Row],[Status]]&lt;&gt;"Closed",RAIDLog[[#This Row],[Due]]&lt;StatusDate),"Overdue",""))</f>
        <v/>
      </c>
      <c r="N36" s="52"/>
      <c r="O36" s="30" t="str">
        <f aca="false">IF(N(RAIDLog[[#This Row],[Task UID]])=0,"",IFERROR(INDEX(tsk_Name,MATCH(RAIDLog[[#This Row],[Task UID]],tsk_UID,0)),"UID "&amp;RAIDLog[[#This Row],[Task UID]]&amp;" not found"))</f>
        <v/>
      </c>
      <c r="P36" s="31" t="str">
        <f aca="false">IF(N(RAIDLog[[#This Row],[Task UID]])=0,"",IFERROR(INDEX(tsk_FcFinish,MATCH(RAIDLog[[#This Row],[Task UID]],tsk_UID,0)),""))</f>
        <v/>
      </c>
      <c r="Q36" s="53"/>
      <c r="R36" s="53"/>
      <c r="S36" s="38" t="str">
        <f aca="false">IF(RAIDLog[[#This Row],[Title]]="","",RAIDLog[[#This Row],[Type]]&amp;" "&amp;RAIDLog[[#This Row],[Ref]]&amp;": "&amp;RAIDLog[[#This Row],[Title]])</f>
        <v/>
      </c>
      <c r="T36" s="38" t="str">
        <f aca="false">IF(AND(NOT(RAIDLog[[#This Row],[Title]]=""),RAIDLog[[#This Row],[Status]]&lt;&gt;"Closed"),RAIDLog[[#This Row],[Score]]+1-(ROW()-ROW(RAIDLog[[#Headers],[Ref]]))/100000,"")</f>
        <v/>
      </c>
    </row>
    <row r="37" customFormat="false" ht="15" hidden="false" customHeight="false" outlineLevel="0" collapsed="false">
      <c r="B37" s="52" t="n">
        <v>33</v>
      </c>
      <c r="C37" s="53"/>
      <c r="D37" s="53"/>
      <c r="E37" s="53"/>
      <c r="F37" s="7"/>
      <c r="G37" s="7"/>
      <c r="H37" s="52"/>
      <c r="I37" s="52"/>
      <c r="J37" s="52"/>
      <c r="K37" s="51" t="str">
        <f aca="false">IF(RAIDLog[[#This Row],[Title]]="","",IF(RAIDLog[[#This Row],[Type]]="Issue",5,N(RAIDLog[[#This Row],[Probability]]))*N(RAIDLog[[#This Row],[Impact]]))</f>
        <v/>
      </c>
      <c r="L37" s="51" t="str">
        <f aca="false">IF(RAIDLog[[#This Row],[Title]]="","",IF(RAIDLog[[#This Row],[Score]]&gt;=RAIDHighScore,"High",IF(RAIDLog[[#This Row],[Score]]&gt;=RAIDMediumScore,"Medium","Low")))</f>
        <v/>
      </c>
      <c r="M37" s="51" t="str">
        <f aca="false">IF(OR(RAIDLog[[#This Row],[Title]]="",N(RAIDLog[[#This Row],[Due]])=0),"",IF(AND(RAIDLog[[#This Row],[Status]]&lt;&gt;"Closed",RAIDLog[[#This Row],[Due]]&lt;StatusDate),"Overdue",""))</f>
        <v/>
      </c>
      <c r="N37" s="52"/>
      <c r="O37" s="30" t="str">
        <f aca="false">IF(N(RAIDLog[[#This Row],[Task UID]])=0,"",IFERROR(INDEX(tsk_Name,MATCH(RAIDLog[[#This Row],[Task UID]],tsk_UID,0)),"UID "&amp;RAIDLog[[#This Row],[Task UID]]&amp;" not found"))</f>
        <v/>
      </c>
      <c r="P37" s="31" t="str">
        <f aca="false">IF(N(RAIDLog[[#This Row],[Task UID]])=0,"",IFERROR(INDEX(tsk_FcFinish,MATCH(RAIDLog[[#This Row],[Task UID]],tsk_UID,0)),""))</f>
        <v/>
      </c>
      <c r="Q37" s="53"/>
      <c r="R37" s="53"/>
      <c r="S37" s="38" t="str">
        <f aca="false">IF(RAIDLog[[#This Row],[Title]]="","",RAIDLog[[#This Row],[Type]]&amp;" "&amp;RAIDLog[[#This Row],[Ref]]&amp;": "&amp;RAIDLog[[#This Row],[Title]])</f>
        <v/>
      </c>
      <c r="T37" s="38" t="str">
        <f aca="false">IF(AND(NOT(RAIDLog[[#This Row],[Title]]=""),RAIDLog[[#This Row],[Status]]&lt;&gt;"Closed"),RAIDLog[[#This Row],[Score]]+1-(ROW()-ROW(RAIDLog[[#Headers],[Ref]]))/100000,"")</f>
        <v/>
      </c>
    </row>
    <row r="38" customFormat="false" ht="15" hidden="false" customHeight="false" outlineLevel="0" collapsed="false">
      <c r="B38" s="52" t="n">
        <v>34</v>
      </c>
      <c r="C38" s="53"/>
      <c r="D38" s="53"/>
      <c r="E38" s="53"/>
      <c r="F38" s="7"/>
      <c r="G38" s="7"/>
      <c r="H38" s="52"/>
      <c r="I38" s="52"/>
      <c r="J38" s="52"/>
      <c r="K38" s="51" t="str">
        <f aca="false">IF(RAIDLog[[#This Row],[Title]]="","",IF(RAIDLog[[#This Row],[Type]]="Issue",5,N(RAIDLog[[#This Row],[Probability]]))*N(RAIDLog[[#This Row],[Impact]]))</f>
        <v/>
      </c>
      <c r="L38" s="51" t="str">
        <f aca="false">IF(RAIDLog[[#This Row],[Title]]="","",IF(RAIDLog[[#This Row],[Score]]&gt;=RAIDHighScore,"High",IF(RAIDLog[[#This Row],[Score]]&gt;=RAIDMediumScore,"Medium","Low")))</f>
        <v/>
      </c>
      <c r="M38" s="51" t="str">
        <f aca="false">IF(OR(RAIDLog[[#This Row],[Title]]="",N(RAIDLog[[#This Row],[Due]])=0),"",IF(AND(RAIDLog[[#This Row],[Status]]&lt;&gt;"Closed",RAIDLog[[#This Row],[Due]]&lt;StatusDate),"Overdue",""))</f>
        <v/>
      </c>
      <c r="N38" s="52"/>
      <c r="O38" s="30" t="str">
        <f aca="false">IF(N(RAIDLog[[#This Row],[Task UID]])=0,"",IFERROR(INDEX(tsk_Name,MATCH(RAIDLog[[#This Row],[Task UID]],tsk_UID,0)),"UID "&amp;RAIDLog[[#This Row],[Task UID]]&amp;" not found"))</f>
        <v/>
      </c>
      <c r="P38" s="31" t="str">
        <f aca="false">IF(N(RAIDLog[[#This Row],[Task UID]])=0,"",IFERROR(INDEX(tsk_FcFinish,MATCH(RAIDLog[[#This Row],[Task UID]],tsk_UID,0)),""))</f>
        <v/>
      </c>
      <c r="Q38" s="53"/>
      <c r="R38" s="53"/>
      <c r="S38" s="38" t="str">
        <f aca="false">IF(RAIDLog[[#This Row],[Title]]="","",RAIDLog[[#This Row],[Type]]&amp;" "&amp;RAIDLog[[#This Row],[Ref]]&amp;": "&amp;RAIDLog[[#This Row],[Title]])</f>
        <v/>
      </c>
      <c r="T38" s="38" t="str">
        <f aca="false">IF(AND(NOT(RAIDLog[[#This Row],[Title]]=""),RAIDLog[[#This Row],[Status]]&lt;&gt;"Closed"),RAIDLog[[#This Row],[Score]]+1-(ROW()-ROW(RAIDLog[[#Headers],[Ref]]))/100000,"")</f>
        <v/>
      </c>
    </row>
    <row r="39" customFormat="false" ht="15" hidden="false" customHeight="false" outlineLevel="0" collapsed="false">
      <c r="B39" s="52" t="n">
        <v>35</v>
      </c>
      <c r="C39" s="53"/>
      <c r="D39" s="53"/>
      <c r="E39" s="53"/>
      <c r="F39" s="7"/>
      <c r="G39" s="7"/>
      <c r="H39" s="52"/>
      <c r="I39" s="52"/>
      <c r="J39" s="52"/>
      <c r="K39" s="51" t="str">
        <f aca="false">IF(RAIDLog[[#This Row],[Title]]="","",IF(RAIDLog[[#This Row],[Type]]="Issue",5,N(RAIDLog[[#This Row],[Probability]]))*N(RAIDLog[[#This Row],[Impact]]))</f>
        <v/>
      </c>
      <c r="L39" s="51" t="str">
        <f aca="false">IF(RAIDLog[[#This Row],[Title]]="","",IF(RAIDLog[[#This Row],[Score]]&gt;=RAIDHighScore,"High",IF(RAIDLog[[#This Row],[Score]]&gt;=RAIDMediumScore,"Medium","Low")))</f>
        <v/>
      </c>
      <c r="M39" s="51" t="str">
        <f aca="false">IF(OR(RAIDLog[[#This Row],[Title]]="",N(RAIDLog[[#This Row],[Due]])=0),"",IF(AND(RAIDLog[[#This Row],[Status]]&lt;&gt;"Closed",RAIDLog[[#This Row],[Due]]&lt;StatusDate),"Overdue",""))</f>
        <v/>
      </c>
      <c r="N39" s="52"/>
      <c r="O39" s="30" t="str">
        <f aca="false">IF(N(RAIDLog[[#This Row],[Task UID]])=0,"",IFERROR(INDEX(tsk_Name,MATCH(RAIDLog[[#This Row],[Task UID]],tsk_UID,0)),"UID "&amp;RAIDLog[[#This Row],[Task UID]]&amp;" not found"))</f>
        <v/>
      </c>
      <c r="P39" s="31" t="str">
        <f aca="false">IF(N(RAIDLog[[#This Row],[Task UID]])=0,"",IFERROR(INDEX(tsk_FcFinish,MATCH(RAIDLog[[#This Row],[Task UID]],tsk_UID,0)),""))</f>
        <v/>
      </c>
      <c r="Q39" s="53"/>
      <c r="R39" s="53"/>
      <c r="S39" s="38" t="str">
        <f aca="false">IF(RAIDLog[[#This Row],[Title]]="","",RAIDLog[[#This Row],[Type]]&amp;" "&amp;RAIDLog[[#This Row],[Ref]]&amp;": "&amp;RAIDLog[[#This Row],[Title]])</f>
        <v/>
      </c>
      <c r="T39" s="38" t="str">
        <f aca="false">IF(AND(NOT(RAIDLog[[#This Row],[Title]]=""),RAIDLog[[#This Row],[Status]]&lt;&gt;"Closed"),RAIDLog[[#This Row],[Score]]+1-(ROW()-ROW(RAIDLog[[#Headers],[Ref]]))/100000,"")</f>
        <v/>
      </c>
    </row>
    <row r="40" customFormat="false" ht="15" hidden="false" customHeight="false" outlineLevel="0" collapsed="false">
      <c r="B40" s="52" t="n">
        <v>36</v>
      </c>
      <c r="C40" s="53"/>
      <c r="D40" s="53"/>
      <c r="E40" s="53"/>
      <c r="F40" s="7"/>
      <c r="G40" s="7"/>
      <c r="H40" s="52"/>
      <c r="I40" s="52"/>
      <c r="J40" s="52"/>
      <c r="K40" s="51" t="str">
        <f aca="false">IF(RAIDLog[[#This Row],[Title]]="","",IF(RAIDLog[[#This Row],[Type]]="Issue",5,N(RAIDLog[[#This Row],[Probability]]))*N(RAIDLog[[#This Row],[Impact]]))</f>
        <v/>
      </c>
      <c r="L40" s="51" t="str">
        <f aca="false">IF(RAIDLog[[#This Row],[Title]]="","",IF(RAIDLog[[#This Row],[Score]]&gt;=RAIDHighScore,"High",IF(RAIDLog[[#This Row],[Score]]&gt;=RAIDMediumScore,"Medium","Low")))</f>
        <v/>
      </c>
      <c r="M40" s="51" t="str">
        <f aca="false">IF(OR(RAIDLog[[#This Row],[Title]]="",N(RAIDLog[[#This Row],[Due]])=0),"",IF(AND(RAIDLog[[#This Row],[Status]]&lt;&gt;"Closed",RAIDLog[[#This Row],[Due]]&lt;StatusDate),"Overdue",""))</f>
        <v/>
      </c>
      <c r="N40" s="52"/>
      <c r="O40" s="30" t="str">
        <f aca="false">IF(N(RAIDLog[[#This Row],[Task UID]])=0,"",IFERROR(INDEX(tsk_Name,MATCH(RAIDLog[[#This Row],[Task UID]],tsk_UID,0)),"UID "&amp;RAIDLog[[#This Row],[Task UID]]&amp;" not found"))</f>
        <v/>
      </c>
      <c r="P40" s="31" t="str">
        <f aca="false">IF(N(RAIDLog[[#This Row],[Task UID]])=0,"",IFERROR(INDEX(tsk_FcFinish,MATCH(RAIDLog[[#This Row],[Task UID]],tsk_UID,0)),""))</f>
        <v/>
      </c>
      <c r="Q40" s="53"/>
      <c r="R40" s="53"/>
      <c r="S40" s="38" t="str">
        <f aca="false">IF(RAIDLog[[#This Row],[Title]]="","",RAIDLog[[#This Row],[Type]]&amp;" "&amp;RAIDLog[[#This Row],[Ref]]&amp;": "&amp;RAIDLog[[#This Row],[Title]])</f>
        <v/>
      </c>
      <c r="T40" s="38" t="str">
        <f aca="false">IF(AND(NOT(RAIDLog[[#This Row],[Title]]=""),RAIDLog[[#This Row],[Status]]&lt;&gt;"Closed"),RAIDLog[[#This Row],[Score]]+1-(ROW()-ROW(RAIDLog[[#Headers],[Ref]]))/100000,"")</f>
        <v/>
      </c>
    </row>
    <row r="41" customFormat="false" ht="15" hidden="false" customHeight="false" outlineLevel="0" collapsed="false">
      <c r="B41" s="52" t="n">
        <v>37</v>
      </c>
      <c r="C41" s="53"/>
      <c r="D41" s="53"/>
      <c r="E41" s="53"/>
      <c r="F41" s="7"/>
      <c r="G41" s="7"/>
      <c r="H41" s="52"/>
      <c r="I41" s="52"/>
      <c r="J41" s="52"/>
      <c r="K41" s="51" t="str">
        <f aca="false">IF(RAIDLog[[#This Row],[Title]]="","",IF(RAIDLog[[#This Row],[Type]]="Issue",5,N(RAIDLog[[#This Row],[Probability]]))*N(RAIDLog[[#This Row],[Impact]]))</f>
        <v/>
      </c>
      <c r="L41" s="51" t="str">
        <f aca="false">IF(RAIDLog[[#This Row],[Title]]="","",IF(RAIDLog[[#This Row],[Score]]&gt;=RAIDHighScore,"High",IF(RAIDLog[[#This Row],[Score]]&gt;=RAIDMediumScore,"Medium","Low")))</f>
        <v/>
      </c>
      <c r="M41" s="51" t="str">
        <f aca="false">IF(OR(RAIDLog[[#This Row],[Title]]="",N(RAIDLog[[#This Row],[Due]])=0),"",IF(AND(RAIDLog[[#This Row],[Status]]&lt;&gt;"Closed",RAIDLog[[#This Row],[Due]]&lt;StatusDate),"Overdue",""))</f>
        <v/>
      </c>
      <c r="N41" s="52"/>
      <c r="O41" s="30" t="str">
        <f aca="false">IF(N(RAIDLog[[#This Row],[Task UID]])=0,"",IFERROR(INDEX(tsk_Name,MATCH(RAIDLog[[#This Row],[Task UID]],tsk_UID,0)),"UID "&amp;RAIDLog[[#This Row],[Task UID]]&amp;" not found"))</f>
        <v/>
      </c>
      <c r="P41" s="31" t="str">
        <f aca="false">IF(N(RAIDLog[[#This Row],[Task UID]])=0,"",IFERROR(INDEX(tsk_FcFinish,MATCH(RAIDLog[[#This Row],[Task UID]],tsk_UID,0)),""))</f>
        <v/>
      </c>
      <c r="Q41" s="53"/>
      <c r="R41" s="53"/>
      <c r="S41" s="38" t="str">
        <f aca="false">IF(RAIDLog[[#This Row],[Title]]="","",RAIDLog[[#This Row],[Type]]&amp;" "&amp;RAIDLog[[#This Row],[Ref]]&amp;": "&amp;RAIDLog[[#This Row],[Title]])</f>
        <v/>
      </c>
      <c r="T41" s="38" t="str">
        <f aca="false">IF(AND(NOT(RAIDLog[[#This Row],[Title]]=""),RAIDLog[[#This Row],[Status]]&lt;&gt;"Closed"),RAIDLog[[#This Row],[Score]]+1-(ROW()-ROW(RAIDLog[[#Headers],[Ref]]))/100000,"")</f>
        <v/>
      </c>
    </row>
    <row r="42" customFormat="false" ht="15" hidden="false" customHeight="false" outlineLevel="0" collapsed="false">
      <c r="B42" s="52" t="n">
        <v>38</v>
      </c>
      <c r="C42" s="53"/>
      <c r="D42" s="53"/>
      <c r="E42" s="53"/>
      <c r="F42" s="7"/>
      <c r="G42" s="7"/>
      <c r="H42" s="52"/>
      <c r="I42" s="52"/>
      <c r="J42" s="52"/>
      <c r="K42" s="51" t="str">
        <f aca="false">IF(RAIDLog[[#This Row],[Title]]="","",IF(RAIDLog[[#This Row],[Type]]="Issue",5,N(RAIDLog[[#This Row],[Probability]]))*N(RAIDLog[[#This Row],[Impact]]))</f>
        <v/>
      </c>
      <c r="L42" s="51" t="str">
        <f aca="false">IF(RAIDLog[[#This Row],[Title]]="","",IF(RAIDLog[[#This Row],[Score]]&gt;=RAIDHighScore,"High",IF(RAIDLog[[#This Row],[Score]]&gt;=RAIDMediumScore,"Medium","Low")))</f>
        <v/>
      </c>
      <c r="M42" s="51" t="str">
        <f aca="false">IF(OR(RAIDLog[[#This Row],[Title]]="",N(RAIDLog[[#This Row],[Due]])=0),"",IF(AND(RAIDLog[[#This Row],[Status]]&lt;&gt;"Closed",RAIDLog[[#This Row],[Due]]&lt;StatusDate),"Overdue",""))</f>
        <v/>
      </c>
      <c r="N42" s="52"/>
      <c r="O42" s="30" t="str">
        <f aca="false">IF(N(RAIDLog[[#This Row],[Task UID]])=0,"",IFERROR(INDEX(tsk_Name,MATCH(RAIDLog[[#This Row],[Task UID]],tsk_UID,0)),"UID "&amp;RAIDLog[[#This Row],[Task UID]]&amp;" not found"))</f>
        <v/>
      </c>
      <c r="P42" s="31" t="str">
        <f aca="false">IF(N(RAIDLog[[#This Row],[Task UID]])=0,"",IFERROR(INDEX(tsk_FcFinish,MATCH(RAIDLog[[#This Row],[Task UID]],tsk_UID,0)),""))</f>
        <v/>
      </c>
      <c r="Q42" s="53"/>
      <c r="R42" s="53"/>
      <c r="S42" s="38" t="str">
        <f aca="false">IF(RAIDLog[[#This Row],[Title]]="","",RAIDLog[[#This Row],[Type]]&amp;" "&amp;RAIDLog[[#This Row],[Ref]]&amp;": "&amp;RAIDLog[[#This Row],[Title]])</f>
        <v/>
      </c>
      <c r="T42" s="38" t="str">
        <f aca="false">IF(AND(NOT(RAIDLog[[#This Row],[Title]]=""),RAIDLog[[#This Row],[Status]]&lt;&gt;"Closed"),RAIDLog[[#This Row],[Score]]+1-(ROW()-ROW(RAIDLog[[#Headers],[Ref]]))/100000,"")</f>
        <v/>
      </c>
    </row>
    <row r="43" customFormat="false" ht="15" hidden="false" customHeight="false" outlineLevel="0" collapsed="false">
      <c r="B43" s="52" t="n">
        <v>39</v>
      </c>
      <c r="C43" s="53"/>
      <c r="D43" s="53"/>
      <c r="E43" s="53"/>
      <c r="F43" s="7"/>
      <c r="G43" s="7"/>
      <c r="H43" s="52"/>
      <c r="I43" s="52"/>
      <c r="J43" s="52"/>
      <c r="K43" s="51" t="str">
        <f aca="false">IF(RAIDLog[[#This Row],[Title]]="","",IF(RAIDLog[[#This Row],[Type]]="Issue",5,N(RAIDLog[[#This Row],[Probability]]))*N(RAIDLog[[#This Row],[Impact]]))</f>
        <v/>
      </c>
      <c r="L43" s="51" t="str">
        <f aca="false">IF(RAIDLog[[#This Row],[Title]]="","",IF(RAIDLog[[#This Row],[Score]]&gt;=RAIDHighScore,"High",IF(RAIDLog[[#This Row],[Score]]&gt;=RAIDMediumScore,"Medium","Low")))</f>
        <v/>
      </c>
      <c r="M43" s="51" t="str">
        <f aca="false">IF(OR(RAIDLog[[#This Row],[Title]]="",N(RAIDLog[[#This Row],[Due]])=0),"",IF(AND(RAIDLog[[#This Row],[Status]]&lt;&gt;"Closed",RAIDLog[[#This Row],[Due]]&lt;StatusDate),"Overdue",""))</f>
        <v/>
      </c>
      <c r="N43" s="52"/>
      <c r="O43" s="30" t="str">
        <f aca="false">IF(N(RAIDLog[[#This Row],[Task UID]])=0,"",IFERROR(INDEX(tsk_Name,MATCH(RAIDLog[[#This Row],[Task UID]],tsk_UID,0)),"UID "&amp;RAIDLog[[#This Row],[Task UID]]&amp;" not found"))</f>
        <v/>
      </c>
      <c r="P43" s="31" t="str">
        <f aca="false">IF(N(RAIDLog[[#This Row],[Task UID]])=0,"",IFERROR(INDEX(tsk_FcFinish,MATCH(RAIDLog[[#This Row],[Task UID]],tsk_UID,0)),""))</f>
        <v/>
      </c>
      <c r="Q43" s="53"/>
      <c r="R43" s="53"/>
      <c r="S43" s="38" t="str">
        <f aca="false">IF(RAIDLog[[#This Row],[Title]]="","",RAIDLog[[#This Row],[Type]]&amp;" "&amp;RAIDLog[[#This Row],[Ref]]&amp;": "&amp;RAIDLog[[#This Row],[Title]])</f>
        <v/>
      </c>
      <c r="T43" s="38" t="str">
        <f aca="false">IF(AND(NOT(RAIDLog[[#This Row],[Title]]=""),RAIDLog[[#This Row],[Status]]&lt;&gt;"Closed"),RAIDLog[[#This Row],[Score]]+1-(ROW()-ROW(RAIDLog[[#Headers],[Ref]]))/100000,"")</f>
        <v/>
      </c>
    </row>
    <row r="44" customFormat="false" ht="15" hidden="false" customHeight="false" outlineLevel="0" collapsed="false">
      <c r="B44" s="52" t="n">
        <v>40</v>
      </c>
      <c r="C44" s="53"/>
      <c r="D44" s="53"/>
      <c r="E44" s="53"/>
      <c r="F44" s="7"/>
      <c r="G44" s="7"/>
      <c r="H44" s="52"/>
      <c r="I44" s="52"/>
      <c r="J44" s="52"/>
      <c r="K44" s="51" t="str">
        <f aca="false">IF(RAIDLog[[#This Row],[Title]]="","",IF(RAIDLog[[#This Row],[Type]]="Issue",5,N(RAIDLog[[#This Row],[Probability]]))*N(RAIDLog[[#This Row],[Impact]]))</f>
        <v/>
      </c>
      <c r="L44" s="51" t="str">
        <f aca="false">IF(RAIDLog[[#This Row],[Title]]="","",IF(RAIDLog[[#This Row],[Score]]&gt;=RAIDHighScore,"High",IF(RAIDLog[[#This Row],[Score]]&gt;=RAIDMediumScore,"Medium","Low")))</f>
        <v/>
      </c>
      <c r="M44" s="51" t="str">
        <f aca="false">IF(OR(RAIDLog[[#This Row],[Title]]="",N(RAIDLog[[#This Row],[Due]])=0),"",IF(AND(RAIDLog[[#This Row],[Status]]&lt;&gt;"Closed",RAIDLog[[#This Row],[Due]]&lt;StatusDate),"Overdue",""))</f>
        <v/>
      </c>
      <c r="N44" s="52"/>
      <c r="O44" s="30" t="str">
        <f aca="false">IF(N(RAIDLog[[#This Row],[Task UID]])=0,"",IFERROR(INDEX(tsk_Name,MATCH(RAIDLog[[#This Row],[Task UID]],tsk_UID,0)),"UID "&amp;RAIDLog[[#This Row],[Task UID]]&amp;" not found"))</f>
        <v/>
      </c>
      <c r="P44" s="31" t="str">
        <f aca="false">IF(N(RAIDLog[[#This Row],[Task UID]])=0,"",IFERROR(INDEX(tsk_FcFinish,MATCH(RAIDLog[[#This Row],[Task UID]],tsk_UID,0)),""))</f>
        <v/>
      </c>
      <c r="Q44" s="53"/>
      <c r="R44" s="53"/>
      <c r="S44" s="38" t="str">
        <f aca="false">IF(RAIDLog[[#This Row],[Title]]="","",RAIDLog[[#This Row],[Type]]&amp;" "&amp;RAIDLog[[#This Row],[Ref]]&amp;": "&amp;RAIDLog[[#This Row],[Title]])</f>
        <v/>
      </c>
      <c r="T44" s="38" t="str">
        <f aca="false">IF(AND(NOT(RAIDLog[[#This Row],[Title]]=""),RAIDLog[[#This Row],[Status]]&lt;&gt;"Closed"),RAIDLog[[#This Row],[Score]]+1-(ROW()-ROW(RAIDLog[[#Headers],[Ref]]))/100000,"")</f>
        <v/>
      </c>
    </row>
    <row r="45" customFormat="false" ht="15" hidden="false" customHeight="false" outlineLevel="0" collapsed="false">
      <c r="B45" s="52" t="n">
        <v>41</v>
      </c>
      <c r="C45" s="53"/>
      <c r="D45" s="53"/>
      <c r="E45" s="53"/>
      <c r="F45" s="7"/>
      <c r="G45" s="7"/>
      <c r="H45" s="52"/>
      <c r="I45" s="52"/>
      <c r="J45" s="52"/>
      <c r="K45" s="51" t="str">
        <f aca="false">IF(RAIDLog[[#This Row],[Title]]="","",IF(RAIDLog[[#This Row],[Type]]="Issue",5,N(RAIDLog[[#This Row],[Probability]]))*N(RAIDLog[[#This Row],[Impact]]))</f>
        <v/>
      </c>
      <c r="L45" s="51" t="str">
        <f aca="false">IF(RAIDLog[[#This Row],[Title]]="","",IF(RAIDLog[[#This Row],[Score]]&gt;=RAIDHighScore,"High",IF(RAIDLog[[#This Row],[Score]]&gt;=RAIDMediumScore,"Medium","Low")))</f>
        <v/>
      </c>
      <c r="M45" s="51" t="str">
        <f aca="false">IF(OR(RAIDLog[[#This Row],[Title]]="",N(RAIDLog[[#This Row],[Due]])=0),"",IF(AND(RAIDLog[[#This Row],[Status]]&lt;&gt;"Closed",RAIDLog[[#This Row],[Due]]&lt;StatusDate),"Overdue",""))</f>
        <v/>
      </c>
      <c r="N45" s="52"/>
      <c r="O45" s="30" t="str">
        <f aca="false">IF(N(RAIDLog[[#This Row],[Task UID]])=0,"",IFERROR(INDEX(tsk_Name,MATCH(RAIDLog[[#This Row],[Task UID]],tsk_UID,0)),"UID "&amp;RAIDLog[[#This Row],[Task UID]]&amp;" not found"))</f>
        <v/>
      </c>
      <c r="P45" s="31" t="str">
        <f aca="false">IF(N(RAIDLog[[#This Row],[Task UID]])=0,"",IFERROR(INDEX(tsk_FcFinish,MATCH(RAIDLog[[#This Row],[Task UID]],tsk_UID,0)),""))</f>
        <v/>
      </c>
      <c r="Q45" s="53"/>
      <c r="R45" s="53"/>
      <c r="S45" s="38" t="str">
        <f aca="false">IF(RAIDLog[[#This Row],[Title]]="","",RAIDLog[[#This Row],[Type]]&amp;" "&amp;RAIDLog[[#This Row],[Ref]]&amp;": "&amp;RAIDLog[[#This Row],[Title]])</f>
        <v/>
      </c>
      <c r="T45" s="38" t="str">
        <f aca="false">IF(AND(NOT(RAIDLog[[#This Row],[Title]]=""),RAIDLog[[#This Row],[Status]]&lt;&gt;"Closed"),RAIDLog[[#This Row],[Score]]+1-(ROW()-ROW(RAIDLog[[#Headers],[Ref]]))/100000,"")</f>
        <v/>
      </c>
    </row>
    <row r="46" customFormat="false" ht="15" hidden="false" customHeight="false" outlineLevel="0" collapsed="false">
      <c r="B46" s="52" t="n">
        <v>42</v>
      </c>
      <c r="C46" s="53"/>
      <c r="D46" s="53"/>
      <c r="E46" s="53"/>
      <c r="F46" s="7"/>
      <c r="G46" s="7"/>
      <c r="H46" s="52"/>
      <c r="I46" s="52"/>
      <c r="J46" s="52"/>
      <c r="K46" s="51" t="str">
        <f aca="false">IF(RAIDLog[[#This Row],[Title]]="","",IF(RAIDLog[[#This Row],[Type]]="Issue",5,N(RAIDLog[[#This Row],[Probability]]))*N(RAIDLog[[#This Row],[Impact]]))</f>
        <v/>
      </c>
      <c r="L46" s="51" t="str">
        <f aca="false">IF(RAIDLog[[#This Row],[Title]]="","",IF(RAIDLog[[#This Row],[Score]]&gt;=RAIDHighScore,"High",IF(RAIDLog[[#This Row],[Score]]&gt;=RAIDMediumScore,"Medium","Low")))</f>
        <v/>
      </c>
      <c r="M46" s="51" t="str">
        <f aca="false">IF(OR(RAIDLog[[#This Row],[Title]]="",N(RAIDLog[[#This Row],[Due]])=0),"",IF(AND(RAIDLog[[#This Row],[Status]]&lt;&gt;"Closed",RAIDLog[[#This Row],[Due]]&lt;StatusDate),"Overdue",""))</f>
        <v/>
      </c>
      <c r="N46" s="52"/>
      <c r="O46" s="30" t="str">
        <f aca="false">IF(N(RAIDLog[[#This Row],[Task UID]])=0,"",IFERROR(INDEX(tsk_Name,MATCH(RAIDLog[[#This Row],[Task UID]],tsk_UID,0)),"UID "&amp;RAIDLog[[#This Row],[Task UID]]&amp;" not found"))</f>
        <v/>
      </c>
      <c r="P46" s="31" t="str">
        <f aca="false">IF(N(RAIDLog[[#This Row],[Task UID]])=0,"",IFERROR(INDEX(tsk_FcFinish,MATCH(RAIDLog[[#This Row],[Task UID]],tsk_UID,0)),""))</f>
        <v/>
      </c>
      <c r="Q46" s="53"/>
      <c r="R46" s="53"/>
      <c r="S46" s="38" t="str">
        <f aca="false">IF(RAIDLog[[#This Row],[Title]]="","",RAIDLog[[#This Row],[Type]]&amp;" "&amp;RAIDLog[[#This Row],[Ref]]&amp;": "&amp;RAIDLog[[#This Row],[Title]])</f>
        <v/>
      </c>
      <c r="T46" s="38" t="str">
        <f aca="false">IF(AND(NOT(RAIDLog[[#This Row],[Title]]=""),RAIDLog[[#This Row],[Status]]&lt;&gt;"Closed"),RAIDLog[[#This Row],[Score]]+1-(ROW()-ROW(RAIDLog[[#Headers],[Ref]]))/100000,"")</f>
        <v/>
      </c>
    </row>
    <row r="47" customFormat="false" ht="15" hidden="false" customHeight="false" outlineLevel="0" collapsed="false">
      <c r="B47" s="52" t="n">
        <v>43</v>
      </c>
      <c r="C47" s="53"/>
      <c r="D47" s="53"/>
      <c r="E47" s="53"/>
      <c r="F47" s="7"/>
      <c r="G47" s="7"/>
      <c r="H47" s="52"/>
      <c r="I47" s="52"/>
      <c r="J47" s="52"/>
      <c r="K47" s="51" t="str">
        <f aca="false">IF(RAIDLog[[#This Row],[Title]]="","",IF(RAIDLog[[#This Row],[Type]]="Issue",5,N(RAIDLog[[#This Row],[Probability]]))*N(RAIDLog[[#This Row],[Impact]]))</f>
        <v/>
      </c>
      <c r="L47" s="51" t="str">
        <f aca="false">IF(RAIDLog[[#This Row],[Title]]="","",IF(RAIDLog[[#This Row],[Score]]&gt;=RAIDHighScore,"High",IF(RAIDLog[[#This Row],[Score]]&gt;=RAIDMediumScore,"Medium","Low")))</f>
        <v/>
      </c>
      <c r="M47" s="51" t="str">
        <f aca="false">IF(OR(RAIDLog[[#This Row],[Title]]="",N(RAIDLog[[#This Row],[Due]])=0),"",IF(AND(RAIDLog[[#This Row],[Status]]&lt;&gt;"Closed",RAIDLog[[#This Row],[Due]]&lt;StatusDate),"Overdue",""))</f>
        <v/>
      </c>
      <c r="N47" s="52"/>
      <c r="O47" s="30" t="str">
        <f aca="false">IF(N(RAIDLog[[#This Row],[Task UID]])=0,"",IFERROR(INDEX(tsk_Name,MATCH(RAIDLog[[#This Row],[Task UID]],tsk_UID,0)),"UID "&amp;RAIDLog[[#This Row],[Task UID]]&amp;" not found"))</f>
        <v/>
      </c>
      <c r="P47" s="31" t="str">
        <f aca="false">IF(N(RAIDLog[[#This Row],[Task UID]])=0,"",IFERROR(INDEX(tsk_FcFinish,MATCH(RAIDLog[[#This Row],[Task UID]],tsk_UID,0)),""))</f>
        <v/>
      </c>
      <c r="Q47" s="53"/>
      <c r="R47" s="53"/>
      <c r="S47" s="38" t="str">
        <f aca="false">IF(RAIDLog[[#This Row],[Title]]="","",RAIDLog[[#This Row],[Type]]&amp;" "&amp;RAIDLog[[#This Row],[Ref]]&amp;": "&amp;RAIDLog[[#This Row],[Title]])</f>
        <v/>
      </c>
      <c r="T47" s="38" t="str">
        <f aca="false">IF(AND(NOT(RAIDLog[[#This Row],[Title]]=""),RAIDLog[[#This Row],[Status]]&lt;&gt;"Closed"),RAIDLog[[#This Row],[Score]]+1-(ROW()-ROW(RAIDLog[[#Headers],[Ref]]))/100000,"")</f>
        <v/>
      </c>
    </row>
    <row r="48" customFormat="false" ht="15" hidden="false" customHeight="false" outlineLevel="0" collapsed="false">
      <c r="B48" s="52" t="n">
        <v>44</v>
      </c>
      <c r="C48" s="53"/>
      <c r="D48" s="53"/>
      <c r="E48" s="53"/>
      <c r="F48" s="7"/>
      <c r="G48" s="7"/>
      <c r="H48" s="52"/>
      <c r="I48" s="52"/>
      <c r="J48" s="52"/>
      <c r="K48" s="51" t="str">
        <f aca="false">IF(RAIDLog[[#This Row],[Title]]="","",IF(RAIDLog[[#This Row],[Type]]="Issue",5,N(RAIDLog[[#This Row],[Probability]]))*N(RAIDLog[[#This Row],[Impact]]))</f>
        <v/>
      </c>
      <c r="L48" s="51" t="str">
        <f aca="false">IF(RAIDLog[[#This Row],[Title]]="","",IF(RAIDLog[[#This Row],[Score]]&gt;=RAIDHighScore,"High",IF(RAIDLog[[#This Row],[Score]]&gt;=RAIDMediumScore,"Medium","Low")))</f>
        <v/>
      </c>
      <c r="M48" s="51" t="str">
        <f aca="false">IF(OR(RAIDLog[[#This Row],[Title]]="",N(RAIDLog[[#This Row],[Due]])=0),"",IF(AND(RAIDLog[[#This Row],[Status]]&lt;&gt;"Closed",RAIDLog[[#This Row],[Due]]&lt;StatusDate),"Overdue",""))</f>
        <v/>
      </c>
      <c r="N48" s="52"/>
      <c r="O48" s="30" t="str">
        <f aca="false">IF(N(RAIDLog[[#This Row],[Task UID]])=0,"",IFERROR(INDEX(tsk_Name,MATCH(RAIDLog[[#This Row],[Task UID]],tsk_UID,0)),"UID "&amp;RAIDLog[[#This Row],[Task UID]]&amp;" not found"))</f>
        <v/>
      </c>
      <c r="P48" s="31" t="str">
        <f aca="false">IF(N(RAIDLog[[#This Row],[Task UID]])=0,"",IFERROR(INDEX(tsk_FcFinish,MATCH(RAIDLog[[#This Row],[Task UID]],tsk_UID,0)),""))</f>
        <v/>
      </c>
      <c r="Q48" s="53"/>
      <c r="R48" s="53"/>
      <c r="S48" s="38" t="str">
        <f aca="false">IF(RAIDLog[[#This Row],[Title]]="","",RAIDLog[[#This Row],[Type]]&amp;" "&amp;RAIDLog[[#This Row],[Ref]]&amp;": "&amp;RAIDLog[[#This Row],[Title]])</f>
        <v/>
      </c>
      <c r="T48" s="38" t="str">
        <f aca="false">IF(AND(NOT(RAIDLog[[#This Row],[Title]]=""),RAIDLog[[#This Row],[Status]]&lt;&gt;"Closed"),RAIDLog[[#This Row],[Score]]+1-(ROW()-ROW(RAIDLog[[#Headers],[Ref]]))/100000,"")</f>
        <v/>
      </c>
    </row>
    <row r="49" customFormat="false" ht="15" hidden="false" customHeight="false" outlineLevel="0" collapsed="false">
      <c r="B49" s="52" t="n">
        <v>45</v>
      </c>
      <c r="C49" s="53"/>
      <c r="D49" s="53"/>
      <c r="E49" s="53"/>
      <c r="F49" s="7"/>
      <c r="G49" s="7"/>
      <c r="H49" s="52"/>
      <c r="I49" s="52"/>
      <c r="J49" s="52"/>
      <c r="K49" s="51" t="str">
        <f aca="false">IF(RAIDLog[[#This Row],[Title]]="","",IF(RAIDLog[[#This Row],[Type]]="Issue",5,N(RAIDLog[[#This Row],[Probability]]))*N(RAIDLog[[#This Row],[Impact]]))</f>
        <v/>
      </c>
      <c r="L49" s="51" t="str">
        <f aca="false">IF(RAIDLog[[#This Row],[Title]]="","",IF(RAIDLog[[#This Row],[Score]]&gt;=RAIDHighScore,"High",IF(RAIDLog[[#This Row],[Score]]&gt;=RAIDMediumScore,"Medium","Low")))</f>
        <v/>
      </c>
      <c r="M49" s="51" t="str">
        <f aca="false">IF(OR(RAIDLog[[#This Row],[Title]]="",N(RAIDLog[[#This Row],[Due]])=0),"",IF(AND(RAIDLog[[#This Row],[Status]]&lt;&gt;"Closed",RAIDLog[[#This Row],[Due]]&lt;StatusDate),"Overdue",""))</f>
        <v/>
      </c>
      <c r="N49" s="52"/>
      <c r="O49" s="30" t="str">
        <f aca="false">IF(N(RAIDLog[[#This Row],[Task UID]])=0,"",IFERROR(INDEX(tsk_Name,MATCH(RAIDLog[[#This Row],[Task UID]],tsk_UID,0)),"UID "&amp;RAIDLog[[#This Row],[Task UID]]&amp;" not found"))</f>
        <v/>
      </c>
      <c r="P49" s="31" t="str">
        <f aca="false">IF(N(RAIDLog[[#This Row],[Task UID]])=0,"",IFERROR(INDEX(tsk_FcFinish,MATCH(RAIDLog[[#This Row],[Task UID]],tsk_UID,0)),""))</f>
        <v/>
      </c>
      <c r="Q49" s="53"/>
      <c r="R49" s="53"/>
      <c r="S49" s="38" t="str">
        <f aca="false">IF(RAIDLog[[#This Row],[Title]]="","",RAIDLog[[#This Row],[Type]]&amp;" "&amp;RAIDLog[[#This Row],[Ref]]&amp;": "&amp;RAIDLog[[#This Row],[Title]])</f>
        <v/>
      </c>
      <c r="T49" s="38" t="str">
        <f aca="false">IF(AND(NOT(RAIDLog[[#This Row],[Title]]=""),RAIDLog[[#This Row],[Status]]&lt;&gt;"Closed"),RAIDLog[[#This Row],[Score]]+1-(ROW()-ROW(RAIDLog[[#Headers],[Ref]]))/100000,"")</f>
        <v/>
      </c>
    </row>
    <row r="50" customFormat="false" ht="15" hidden="false" customHeight="false" outlineLevel="0" collapsed="false">
      <c r="B50" s="52" t="n">
        <v>46</v>
      </c>
      <c r="C50" s="53"/>
      <c r="D50" s="53"/>
      <c r="E50" s="53"/>
      <c r="F50" s="7"/>
      <c r="G50" s="7"/>
      <c r="H50" s="52"/>
      <c r="I50" s="52"/>
      <c r="J50" s="52"/>
      <c r="K50" s="51" t="str">
        <f aca="false">IF(RAIDLog[[#This Row],[Title]]="","",IF(RAIDLog[[#This Row],[Type]]="Issue",5,N(RAIDLog[[#This Row],[Probability]]))*N(RAIDLog[[#This Row],[Impact]]))</f>
        <v/>
      </c>
      <c r="L50" s="51" t="str">
        <f aca="false">IF(RAIDLog[[#This Row],[Title]]="","",IF(RAIDLog[[#This Row],[Score]]&gt;=RAIDHighScore,"High",IF(RAIDLog[[#This Row],[Score]]&gt;=RAIDMediumScore,"Medium","Low")))</f>
        <v/>
      </c>
      <c r="M50" s="51" t="str">
        <f aca="false">IF(OR(RAIDLog[[#This Row],[Title]]="",N(RAIDLog[[#This Row],[Due]])=0),"",IF(AND(RAIDLog[[#This Row],[Status]]&lt;&gt;"Closed",RAIDLog[[#This Row],[Due]]&lt;StatusDate),"Overdue",""))</f>
        <v/>
      </c>
      <c r="N50" s="52"/>
      <c r="O50" s="30" t="str">
        <f aca="false">IF(N(RAIDLog[[#This Row],[Task UID]])=0,"",IFERROR(INDEX(tsk_Name,MATCH(RAIDLog[[#This Row],[Task UID]],tsk_UID,0)),"UID "&amp;RAIDLog[[#This Row],[Task UID]]&amp;" not found"))</f>
        <v/>
      </c>
      <c r="P50" s="31" t="str">
        <f aca="false">IF(N(RAIDLog[[#This Row],[Task UID]])=0,"",IFERROR(INDEX(tsk_FcFinish,MATCH(RAIDLog[[#This Row],[Task UID]],tsk_UID,0)),""))</f>
        <v/>
      </c>
      <c r="Q50" s="53"/>
      <c r="R50" s="53"/>
      <c r="S50" s="38" t="str">
        <f aca="false">IF(RAIDLog[[#This Row],[Title]]="","",RAIDLog[[#This Row],[Type]]&amp;" "&amp;RAIDLog[[#This Row],[Ref]]&amp;": "&amp;RAIDLog[[#This Row],[Title]])</f>
        <v/>
      </c>
      <c r="T50" s="38" t="str">
        <f aca="false">IF(AND(NOT(RAIDLog[[#This Row],[Title]]=""),RAIDLog[[#This Row],[Status]]&lt;&gt;"Closed"),RAIDLog[[#This Row],[Score]]+1-(ROW()-ROW(RAIDLog[[#Headers],[Ref]]))/100000,"")</f>
        <v/>
      </c>
    </row>
    <row r="51" customFormat="false" ht="15" hidden="false" customHeight="false" outlineLevel="0" collapsed="false">
      <c r="B51" s="52" t="n">
        <v>47</v>
      </c>
      <c r="C51" s="53"/>
      <c r="D51" s="53"/>
      <c r="E51" s="53"/>
      <c r="F51" s="7"/>
      <c r="G51" s="7"/>
      <c r="H51" s="52"/>
      <c r="I51" s="52"/>
      <c r="J51" s="52"/>
      <c r="K51" s="51" t="str">
        <f aca="false">IF(RAIDLog[[#This Row],[Title]]="","",IF(RAIDLog[[#This Row],[Type]]="Issue",5,N(RAIDLog[[#This Row],[Probability]]))*N(RAIDLog[[#This Row],[Impact]]))</f>
        <v/>
      </c>
      <c r="L51" s="51" t="str">
        <f aca="false">IF(RAIDLog[[#This Row],[Title]]="","",IF(RAIDLog[[#This Row],[Score]]&gt;=RAIDHighScore,"High",IF(RAIDLog[[#This Row],[Score]]&gt;=RAIDMediumScore,"Medium","Low")))</f>
        <v/>
      </c>
      <c r="M51" s="51" t="str">
        <f aca="false">IF(OR(RAIDLog[[#This Row],[Title]]="",N(RAIDLog[[#This Row],[Due]])=0),"",IF(AND(RAIDLog[[#This Row],[Status]]&lt;&gt;"Closed",RAIDLog[[#This Row],[Due]]&lt;StatusDate),"Overdue",""))</f>
        <v/>
      </c>
      <c r="N51" s="52"/>
      <c r="O51" s="30" t="str">
        <f aca="false">IF(N(RAIDLog[[#This Row],[Task UID]])=0,"",IFERROR(INDEX(tsk_Name,MATCH(RAIDLog[[#This Row],[Task UID]],tsk_UID,0)),"UID "&amp;RAIDLog[[#This Row],[Task UID]]&amp;" not found"))</f>
        <v/>
      </c>
      <c r="P51" s="31" t="str">
        <f aca="false">IF(N(RAIDLog[[#This Row],[Task UID]])=0,"",IFERROR(INDEX(tsk_FcFinish,MATCH(RAIDLog[[#This Row],[Task UID]],tsk_UID,0)),""))</f>
        <v/>
      </c>
      <c r="Q51" s="53"/>
      <c r="R51" s="53"/>
      <c r="S51" s="38" t="str">
        <f aca="false">IF(RAIDLog[[#This Row],[Title]]="","",RAIDLog[[#This Row],[Type]]&amp;" "&amp;RAIDLog[[#This Row],[Ref]]&amp;": "&amp;RAIDLog[[#This Row],[Title]])</f>
        <v/>
      </c>
      <c r="T51" s="38" t="str">
        <f aca="false">IF(AND(NOT(RAIDLog[[#This Row],[Title]]=""),RAIDLog[[#This Row],[Status]]&lt;&gt;"Closed"),RAIDLog[[#This Row],[Score]]+1-(ROW()-ROW(RAIDLog[[#Headers],[Ref]]))/100000,"")</f>
        <v/>
      </c>
    </row>
    <row r="52" customFormat="false" ht="15" hidden="false" customHeight="false" outlineLevel="0" collapsed="false">
      <c r="B52" s="52" t="n">
        <v>48</v>
      </c>
      <c r="C52" s="53"/>
      <c r="D52" s="53"/>
      <c r="E52" s="53"/>
      <c r="F52" s="7"/>
      <c r="G52" s="7"/>
      <c r="H52" s="52"/>
      <c r="I52" s="52"/>
      <c r="J52" s="52"/>
      <c r="K52" s="51" t="str">
        <f aca="false">IF(RAIDLog[[#This Row],[Title]]="","",IF(RAIDLog[[#This Row],[Type]]="Issue",5,N(RAIDLog[[#This Row],[Probability]]))*N(RAIDLog[[#This Row],[Impact]]))</f>
        <v/>
      </c>
      <c r="L52" s="51" t="str">
        <f aca="false">IF(RAIDLog[[#This Row],[Title]]="","",IF(RAIDLog[[#This Row],[Score]]&gt;=RAIDHighScore,"High",IF(RAIDLog[[#This Row],[Score]]&gt;=RAIDMediumScore,"Medium","Low")))</f>
        <v/>
      </c>
      <c r="M52" s="51" t="str">
        <f aca="false">IF(OR(RAIDLog[[#This Row],[Title]]="",N(RAIDLog[[#This Row],[Due]])=0),"",IF(AND(RAIDLog[[#This Row],[Status]]&lt;&gt;"Closed",RAIDLog[[#This Row],[Due]]&lt;StatusDate),"Overdue",""))</f>
        <v/>
      </c>
      <c r="N52" s="52"/>
      <c r="O52" s="30" t="str">
        <f aca="false">IF(N(RAIDLog[[#This Row],[Task UID]])=0,"",IFERROR(INDEX(tsk_Name,MATCH(RAIDLog[[#This Row],[Task UID]],tsk_UID,0)),"UID "&amp;RAIDLog[[#This Row],[Task UID]]&amp;" not found"))</f>
        <v/>
      </c>
      <c r="P52" s="31" t="str">
        <f aca="false">IF(N(RAIDLog[[#This Row],[Task UID]])=0,"",IFERROR(INDEX(tsk_FcFinish,MATCH(RAIDLog[[#This Row],[Task UID]],tsk_UID,0)),""))</f>
        <v/>
      </c>
      <c r="Q52" s="53"/>
      <c r="R52" s="53"/>
      <c r="S52" s="38" t="str">
        <f aca="false">IF(RAIDLog[[#This Row],[Title]]="","",RAIDLog[[#This Row],[Type]]&amp;" "&amp;RAIDLog[[#This Row],[Ref]]&amp;": "&amp;RAIDLog[[#This Row],[Title]])</f>
        <v/>
      </c>
      <c r="T52" s="38" t="str">
        <f aca="false">IF(AND(NOT(RAIDLog[[#This Row],[Title]]=""),RAIDLog[[#This Row],[Status]]&lt;&gt;"Closed"),RAIDLog[[#This Row],[Score]]+1-(ROW()-ROW(RAIDLog[[#Headers],[Ref]]))/100000,"")</f>
        <v/>
      </c>
    </row>
    <row r="53" customFormat="false" ht="15" hidden="false" customHeight="false" outlineLevel="0" collapsed="false">
      <c r="B53" s="52" t="n">
        <v>49</v>
      </c>
      <c r="C53" s="53"/>
      <c r="D53" s="53"/>
      <c r="E53" s="53"/>
      <c r="F53" s="7"/>
      <c r="G53" s="7"/>
      <c r="H53" s="52"/>
      <c r="I53" s="52"/>
      <c r="J53" s="52"/>
      <c r="K53" s="51" t="str">
        <f aca="false">IF(RAIDLog[[#This Row],[Title]]="","",IF(RAIDLog[[#This Row],[Type]]="Issue",5,N(RAIDLog[[#This Row],[Probability]]))*N(RAIDLog[[#This Row],[Impact]]))</f>
        <v/>
      </c>
      <c r="L53" s="51" t="str">
        <f aca="false">IF(RAIDLog[[#This Row],[Title]]="","",IF(RAIDLog[[#This Row],[Score]]&gt;=RAIDHighScore,"High",IF(RAIDLog[[#This Row],[Score]]&gt;=RAIDMediumScore,"Medium","Low")))</f>
        <v/>
      </c>
      <c r="M53" s="51" t="str">
        <f aca="false">IF(OR(RAIDLog[[#This Row],[Title]]="",N(RAIDLog[[#This Row],[Due]])=0),"",IF(AND(RAIDLog[[#This Row],[Status]]&lt;&gt;"Closed",RAIDLog[[#This Row],[Due]]&lt;StatusDate),"Overdue",""))</f>
        <v/>
      </c>
      <c r="N53" s="52"/>
      <c r="O53" s="30" t="str">
        <f aca="false">IF(N(RAIDLog[[#This Row],[Task UID]])=0,"",IFERROR(INDEX(tsk_Name,MATCH(RAIDLog[[#This Row],[Task UID]],tsk_UID,0)),"UID "&amp;RAIDLog[[#This Row],[Task UID]]&amp;" not found"))</f>
        <v/>
      </c>
      <c r="P53" s="31" t="str">
        <f aca="false">IF(N(RAIDLog[[#This Row],[Task UID]])=0,"",IFERROR(INDEX(tsk_FcFinish,MATCH(RAIDLog[[#This Row],[Task UID]],tsk_UID,0)),""))</f>
        <v/>
      </c>
      <c r="Q53" s="53"/>
      <c r="R53" s="53"/>
      <c r="S53" s="38" t="str">
        <f aca="false">IF(RAIDLog[[#This Row],[Title]]="","",RAIDLog[[#This Row],[Type]]&amp;" "&amp;RAIDLog[[#This Row],[Ref]]&amp;": "&amp;RAIDLog[[#This Row],[Title]])</f>
        <v/>
      </c>
      <c r="T53" s="38" t="str">
        <f aca="false">IF(AND(NOT(RAIDLog[[#This Row],[Title]]=""),RAIDLog[[#This Row],[Status]]&lt;&gt;"Closed"),RAIDLog[[#This Row],[Score]]+1-(ROW()-ROW(RAIDLog[[#Headers],[Ref]]))/100000,"")</f>
        <v/>
      </c>
    </row>
    <row r="54" customFormat="false" ht="15" hidden="false" customHeight="false" outlineLevel="0" collapsed="false">
      <c r="B54" s="52" t="n">
        <v>50</v>
      </c>
      <c r="C54" s="53"/>
      <c r="D54" s="53"/>
      <c r="E54" s="53"/>
      <c r="F54" s="7"/>
      <c r="G54" s="7"/>
      <c r="H54" s="52"/>
      <c r="I54" s="52"/>
      <c r="J54" s="52"/>
      <c r="K54" s="51" t="str">
        <f aca="false">IF(RAIDLog[[#This Row],[Title]]="","",IF(RAIDLog[[#This Row],[Type]]="Issue",5,N(RAIDLog[[#This Row],[Probability]]))*N(RAIDLog[[#This Row],[Impact]]))</f>
        <v/>
      </c>
      <c r="L54" s="51" t="str">
        <f aca="false">IF(RAIDLog[[#This Row],[Title]]="","",IF(RAIDLog[[#This Row],[Score]]&gt;=RAIDHighScore,"High",IF(RAIDLog[[#This Row],[Score]]&gt;=RAIDMediumScore,"Medium","Low")))</f>
        <v/>
      </c>
      <c r="M54" s="51" t="str">
        <f aca="false">IF(OR(RAIDLog[[#This Row],[Title]]="",N(RAIDLog[[#This Row],[Due]])=0),"",IF(AND(RAIDLog[[#This Row],[Status]]&lt;&gt;"Closed",RAIDLog[[#This Row],[Due]]&lt;StatusDate),"Overdue",""))</f>
        <v/>
      </c>
      <c r="N54" s="52"/>
      <c r="O54" s="30" t="str">
        <f aca="false">IF(N(RAIDLog[[#This Row],[Task UID]])=0,"",IFERROR(INDEX(tsk_Name,MATCH(RAIDLog[[#This Row],[Task UID]],tsk_UID,0)),"UID "&amp;RAIDLog[[#This Row],[Task UID]]&amp;" not found"))</f>
        <v/>
      </c>
      <c r="P54" s="31" t="str">
        <f aca="false">IF(N(RAIDLog[[#This Row],[Task UID]])=0,"",IFERROR(INDEX(tsk_FcFinish,MATCH(RAIDLog[[#This Row],[Task UID]],tsk_UID,0)),""))</f>
        <v/>
      </c>
      <c r="Q54" s="53"/>
      <c r="R54" s="53"/>
      <c r="S54" s="38" t="str">
        <f aca="false">IF(RAIDLog[[#This Row],[Title]]="","",RAIDLog[[#This Row],[Type]]&amp;" "&amp;RAIDLog[[#This Row],[Ref]]&amp;": "&amp;RAIDLog[[#This Row],[Title]])</f>
        <v/>
      </c>
      <c r="T54" s="38" t="str">
        <f aca="false">IF(AND(NOT(RAIDLog[[#This Row],[Title]]=""),RAIDLog[[#This Row],[Status]]&lt;&gt;"Closed"),RAIDLog[[#This Row],[Score]]+1-(ROW()-ROW(RAIDLog[[#Headers],[Ref]]))/100000,"")</f>
        <v/>
      </c>
    </row>
    <row r="55" customFormat="false" ht="15" hidden="false" customHeight="false" outlineLevel="0" collapsed="false">
      <c r="B55" s="52" t="n">
        <v>51</v>
      </c>
      <c r="C55" s="53"/>
      <c r="D55" s="53"/>
      <c r="E55" s="53"/>
      <c r="F55" s="7"/>
      <c r="G55" s="7"/>
      <c r="H55" s="52"/>
      <c r="I55" s="52"/>
      <c r="J55" s="52"/>
      <c r="K55" s="51" t="str">
        <f aca="false">IF(RAIDLog[[#This Row],[Title]]="","",IF(RAIDLog[[#This Row],[Type]]="Issue",5,N(RAIDLog[[#This Row],[Probability]]))*N(RAIDLog[[#This Row],[Impact]]))</f>
        <v/>
      </c>
      <c r="L55" s="51" t="str">
        <f aca="false">IF(RAIDLog[[#This Row],[Title]]="","",IF(RAIDLog[[#This Row],[Score]]&gt;=RAIDHighScore,"High",IF(RAIDLog[[#This Row],[Score]]&gt;=RAIDMediumScore,"Medium","Low")))</f>
        <v/>
      </c>
      <c r="M55" s="51" t="str">
        <f aca="false">IF(OR(RAIDLog[[#This Row],[Title]]="",N(RAIDLog[[#This Row],[Due]])=0),"",IF(AND(RAIDLog[[#This Row],[Status]]&lt;&gt;"Closed",RAIDLog[[#This Row],[Due]]&lt;StatusDate),"Overdue",""))</f>
        <v/>
      </c>
      <c r="N55" s="52"/>
      <c r="O55" s="30" t="str">
        <f aca="false">IF(N(RAIDLog[[#This Row],[Task UID]])=0,"",IFERROR(INDEX(tsk_Name,MATCH(RAIDLog[[#This Row],[Task UID]],tsk_UID,0)),"UID "&amp;RAIDLog[[#This Row],[Task UID]]&amp;" not found"))</f>
        <v/>
      </c>
      <c r="P55" s="31" t="str">
        <f aca="false">IF(N(RAIDLog[[#This Row],[Task UID]])=0,"",IFERROR(INDEX(tsk_FcFinish,MATCH(RAIDLog[[#This Row],[Task UID]],tsk_UID,0)),""))</f>
        <v/>
      </c>
      <c r="Q55" s="53"/>
      <c r="R55" s="53"/>
      <c r="S55" s="38" t="str">
        <f aca="false">IF(RAIDLog[[#This Row],[Title]]="","",RAIDLog[[#This Row],[Type]]&amp;" "&amp;RAIDLog[[#This Row],[Ref]]&amp;": "&amp;RAIDLog[[#This Row],[Title]])</f>
        <v/>
      </c>
      <c r="T55" s="38" t="str">
        <f aca="false">IF(AND(NOT(RAIDLog[[#This Row],[Title]]=""),RAIDLog[[#This Row],[Status]]&lt;&gt;"Closed"),RAIDLog[[#This Row],[Score]]+1-(ROW()-ROW(RAIDLog[[#Headers],[Ref]]))/100000,"")</f>
        <v/>
      </c>
    </row>
    <row r="56" customFormat="false" ht="15" hidden="false" customHeight="false" outlineLevel="0" collapsed="false">
      <c r="B56" s="52" t="n">
        <v>52</v>
      </c>
      <c r="C56" s="53"/>
      <c r="D56" s="53"/>
      <c r="E56" s="53"/>
      <c r="F56" s="7"/>
      <c r="G56" s="7"/>
      <c r="H56" s="52"/>
      <c r="I56" s="52"/>
      <c r="J56" s="52"/>
      <c r="K56" s="51" t="str">
        <f aca="false">IF(RAIDLog[[#This Row],[Title]]="","",IF(RAIDLog[[#This Row],[Type]]="Issue",5,N(RAIDLog[[#This Row],[Probability]]))*N(RAIDLog[[#This Row],[Impact]]))</f>
        <v/>
      </c>
      <c r="L56" s="51" t="str">
        <f aca="false">IF(RAIDLog[[#This Row],[Title]]="","",IF(RAIDLog[[#This Row],[Score]]&gt;=RAIDHighScore,"High",IF(RAIDLog[[#This Row],[Score]]&gt;=RAIDMediumScore,"Medium","Low")))</f>
        <v/>
      </c>
      <c r="M56" s="51" t="str">
        <f aca="false">IF(OR(RAIDLog[[#This Row],[Title]]="",N(RAIDLog[[#This Row],[Due]])=0),"",IF(AND(RAIDLog[[#This Row],[Status]]&lt;&gt;"Closed",RAIDLog[[#This Row],[Due]]&lt;StatusDate),"Overdue",""))</f>
        <v/>
      </c>
      <c r="N56" s="52"/>
      <c r="O56" s="30" t="str">
        <f aca="false">IF(N(RAIDLog[[#This Row],[Task UID]])=0,"",IFERROR(INDEX(tsk_Name,MATCH(RAIDLog[[#This Row],[Task UID]],tsk_UID,0)),"UID "&amp;RAIDLog[[#This Row],[Task UID]]&amp;" not found"))</f>
        <v/>
      </c>
      <c r="P56" s="31" t="str">
        <f aca="false">IF(N(RAIDLog[[#This Row],[Task UID]])=0,"",IFERROR(INDEX(tsk_FcFinish,MATCH(RAIDLog[[#This Row],[Task UID]],tsk_UID,0)),""))</f>
        <v/>
      </c>
      <c r="Q56" s="53"/>
      <c r="R56" s="53"/>
      <c r="S56" s="38" t="str">
        <f aca="false">IF(RAIDLog[[#This Row],[Title]]="","",RAIDLog[[#This Row],[Type]]&amp;" "&amp;RAIDLog[[#This Row],[Ref]]&amp;": "&amp;RAIDLog[[#This Row],[Title]])</f>
        <v/>
      </c>
      <c r="T56" s="38" t="str">
        <f aca="false">IF(AND(NOT(RAIDLog[[#This Row],[Title]]=""),RAIDLog[[#This Row],[Status]]&lt;&gt;"Closed"),RAIDLog[[#This Row],[Score]]+1-(ROW()-ROW(RAIDLog[[#Headers],[Ref]]))/100000,"")</f>
        <v/>
      </c>
    </row>
    <row r="57" customFormat="false" ht="15" hidden="false" customHeight="false" outlineLevel="0" collapsed="false">
      <c r="B57" s="52" t="n">
        <v>53</v>
      </c>
      <c r="C57" s="53"/>
      <c r="D57" s="53"/>
      <c r="E57" s="53"/>
      <c r="F57" s="7"/>
      <c r="G57" s="7"/>
      <c r="H57" s="52"/>
      <c r="I57" s="52"/>
      <c r="J57" s="52"/>
      <c r="K57" s="51" t="str">
        <f aca="false">IF(RAIDLog[[#This Row],[Title]]="","",IF(RAIDLog[[#This Row],[Type]]="Issue",5,N(RAIDLog[[#This Row],[Probability]]))*N(RAIDLog[[#This Row],[Impact]]))</f>
        <v/>
      </c>
      <c r="L57" s="51" t="str">
        <f aca="false">IF(RAIDLog[[#This Row],[Title]]="","",IF(RAIDLog[[#This Row],[Score]]&gt;=RAIDHighScore,"High",IF(RAIDLog[[#This Row],[Score]]&gt;=RAIDMediumScore,"Medium","Low")))</f>
        <v/>
      </c>
      <c r="M57" s="51" t="str">
        <f aca="false">IF(OR(RAIDLog[[#This Row],[Title]]="",N(RAIDLog[[#This Row],[Due]])=0),"",IF(AND(RAIDLog[[#This Row],[Status]]&lt;&gt;"Closed",RAIDLog[[#This Row],[Due]]&lt;StatusDate),"Overdue",""))</f>
        <v/>
      </c>
      <c r="N57" s="52"/>
      <c r="O57" s="30" t="str">
        <f aca="false">IF(N(RAIDLog[[#This Row],[Task UID]])=0,"",IFERROR(INDEX(tsk_Name,MATCH(RAIDLog[[#This Row],[Task UID]],tsk_UID,0)),"UID "&amp;RAIDLog[[#This Row],[Task UID]]&amp;" not found"))</f>
        <v/>
      </c>
      <c r="P57" s="31" t="str">
        <f aca="false">IF(N(RAIDLog[[#This Row],[Task UID]])=0,"",IFERROR(INDEX(tsk_FcFinish,MATCH(RAIDLog[[#This Row],[Task UID]],tsk_UID,0)),""))</f>
        <v/>
      </c>
      <c r="Q57" s="53"/>
      <c r="R57" s="53"/>
      <c r="S57" s="38" t="str">
        <f aca="false">IF(RAIDLog[[#This Row],[Title]]="","",RAIDLog[[#This Row],[Type]]&amp;" "&amp;RAIDLog[[#This Row],[Ref]]&amp;": "&amp;RAIDLog[[#This Row],[Title]])</f>
        <v/>
      </c>
      <c r="T57" s="38" t="str">
        <f aca="false">IF(AND(NOT(RAIDLog[[#This Row],[Title]]=""),RAIDLog[[#This Row],[Status]]&lt;&gt;"Closed"),RAIDLog[[#This Row],[Score]]+1-(ROW()-ROW(RAIDLog[[#Headers],[Ref]]))/100000,"")</f>
        <v/>
      </c>
    </row>
    <row r="58" customFormat="false" ht="15" hidden="false" customHeight="false" outlineLevel="0" collapsed="false">
      <c r="B58" s="52" t="n">
        <v>54</v>
      </c>
      <c r="C58" s="53"/>
      <c r="D58" s="53"/>
      <c r="E58" s="53"/>
      <c r="F58" s="7"/>
      <c r="G58" s="7"/>
      <c r="H58" s="52"/>
      <c r="I58" s="52"/>
      <c r="J58" s="52"/>
      <c r="K58" s="51" t="str">
        <f aca="false">IF(RAIDLog[[#This Row],[Title]]="","",IF(RAIDLog[[#This Row],[Type]]="Issue",5,N(RAIDLog[[#This Row],[Probability]]))*N(RAIDLog[[#This Row],[Impact]]))</f>
        <v/>
      </c>
      <c r="L58" s="51" t="str">
        <f aca="false">IF(RAIDLog[[#This Row],[Title]]="","",IF(RAIDLog[[#This Row],[Score]]&gt;=RAIDHighScore,"High",IF(RAIDLog[[#This Row],[Score]]&gt;=RAIDMediumScore,"Medium","Low")))</f>
        <v/>
      </c>
      <c r="M58" s="51" t="str">
        <f aca="false">IF(OR(RAIDLog[[#This Row],[Title]]="",N(RAIDLog[[#This Row],[Due]])=0),"",IF(AND(RAIDLog[[#This Row],[Status]]&lt;&gt;"Closed",RAIDLog[[#This Row],[Due]]&lt;StatusDate),"Overdue",""))</f>
        <v/>
      </c>
      <c r="N58" s="52"/>
      <c r="O58" s="30" t="str">
        <f aca="false">IF(N(RAIDLog[[#This Row],[Task UID]])=0,"",IFERROR(INDEX(tsk_Name,MATCH(RAIDLog[[#This Row],[Task UID]],tsk_UID,0)),"UID "&amp;RAIDLog[[#This Row],[Task UID]]&amp;" not found"))</f>
        <v/>
      </c>
      <c r="P58" s="31" t="str">
        <f aca="false">IF(N(RAIDLog[[#This Row],[Task UID]])=0,"",IFERROR(INDEX(tsk_FcFinish,MATCH(RAIDLog[[#This Row],[Task UID]],tsk_UID,0)),""))</f>
        <v/>
      </c>
      <c r="Q58" s="53"/>
      <c r="R58" s="53"/>
      <c r="S58" s="38" t="str">
        <f aca="false">IF(RAIDLog[[#This Row],[Title]]="","",RAIDLog[[#This Row],[Type]]&amp;" "&amp;RAIDLog[[#This Row],[Ref]]&amp;": "&amp;RAIDLog[[#This Row],[Title]])</f>
        <v/>
      </c>
      <c r="T58" s="38" t="str">
        <f aca="false">IF(AND(NOT(RAIDLog[[#This Row],[Title]]=""),RAIDLog[[#This Row],[Status]]&lt;&gt;"Closed"),RAIDLog[[#This Row],[Score]]+1-(ROW()-ROW(RAIDLog[[#Headers],[Ref]]))/100000,"")</f>
        <v/>
      </c>
    </row>
    <row r="59" customFormat="false" ht="15" hidden="false" customHeight="false" outlineLevel="0" collapsed="false">
      <c r="B59" s="52" t="n">
        <v>55</v>
      </c>
      <c r="C59" s="53"/>
      <c r="D59" s="53"/>
      <c r="E59" s="53"/>
      <c r="F59" s="7"/>
      <c r="G59" s="7"/>
      <c r="H59" s="52"/>
      <c r="I59" s="52"/>
      <c r="J59" s="52"/>
      <c r="K59" s="51" t="str">
        <f aca="false">IF(RAIDLog[[#This Row],[Title]]="","",IF(RAIDLog[[#This Row],[Type]]="Issue",5,N(RAIDLog[[#This Row],[Probability]]))*N(RAIDLog[[#This Row],[Impact]]))</f>
        <v/>
      </c>
      <c r="L59" s="51" t="str">
        <f aca="false">IF(RAIDLog[[#This Row],[Title]]="","",IF(RAIDLog[[#This Row],[Score]]&gt;=RAIDHighScore,"High",IF(RAIDLog[[#This Row],[Score]]&gt;=RAIDMediumScore,"Medium","Low")))</f>
        <v/>
      </c>
      <c r="M59" s="51" t="str">
        <f aca="false">IF(OR(RAIDLog[[#This Row],[Title]]="",N(RAIDLog[[#This Row],[Due]])=0),"",IF(AND(RAIDLog[[#This Row],[Status]]&lt;&gt;"Closed",RAIDLog[[#This Row],[Due]]&lt;StatusDate),"Overdue",""))</f>
        <v/>
      </c>
      <c r="N59" s="52"/>
      <c r="O59" s="30" t="str">
        <f aca="false">IF(N(RAIDLog[[#This Row],[Task UID]])=0,"",IFERROR(INDEX(tsk_Name,MATCH(RAIDLog[[#This Row],[Task UID]],tsk_UID,0)),"UID "&amp;RAIDLog[[#This Row],[Task UID]]&amp;" not found"))</f>
        <v/>
      </c>
      <c r="P59" s="31" t="str">
        <f aca="false">IF(N(RAIDLog[[#This Row],[Task UID]])=0,"",IFERROR(INDEX(tsk_FcFinish,MATCH(RAIDLog[[#This Row],[Task UID]],tsk_UID,0)),""))</f>
        <v/>
      </c>
      <c r="Q59" s="53"/>
      <c r="R59" s="53"/>
      <c r="S59" s="38" t="str">
        <f aca="false">IF(RAIDLog[[#This Row],[Title]]="","",RAIDLog[[#This Row],[Type]]&amp;" "&amp;RAIDLog[[#This Row],[Ref]]&amp;": "&amp;RAIDLog[[#This Row],[Title]])</f>
        <v/>
      </c>
      <c r="T59" s="38" t="str">
        <f aca="false">IF(AND(NOT(RAIDLog[[#This Row],[Title]]=""),RAIDLog[[#This Row],[Status]]&lt;&gt;"Closed"),RAIDLog[[#This Row],[Score]]+1-(ROW()-ROW(RAIDLog[[#Headers],[Ref]]))/100000,"")</f>
        <v/>
      </c>
    </row>
    <row r="60" customFormat="false" ht="15" hidden="false" customHeight="false" outlineLevel="0" collapsed="false">
      <c r="B60" s="52" t="n">
        <v>56</v>
      </c>
      <c r="C60" s="53"/>
      <c r="D60" s="53"/>
      <c r="E60" s="53"/>
      <c r="F60" s="7"/>
      <c r="G60" s="7"/>
      <c r="H60" s="52"/>
      <c r="I60" s="52"/>
      <c r="J60" s="52"/>
      <c r="K60" s="51" t="str">
        <f aca="false">IF(RAIDLog[[#This Row],[Title]]="","",IF(RAIDLog[[#This Row],[Type]]="Issue",5,N(RAIDLog[[#This Row],[Probability]]))*N(RAIDLog[[#This Row],[Impact]]))</f>
        <v/>
      </c>
      <c r="L60" s="51" t="str">
        <f aca="false">IF(RAIDLog[[#This Row],[Title]]="","",IF(RAIDLog[[#This Row],[Score]]&gt;=RAIDHighScore,"High",IF(RAIDLog[[#This Row],[Score]]&gt;=RAIDMediumScore,"Medium","Low")))</f>
        <v/>
      </c>
      <c r="M60" s="51" t="str">
        <f aca="false">IF(OR(RAIDLog[[#This Row],[Title]]="",N(RAIDLog[[#This Row],[Due]])=0),"",IF(AND(RAIDLog[[#This Row],[Status]]&lt;&gt;"Closed",RAIDLog[[#This Row],[Due]]&lt;StatusDate),"Overdue",""))</f>
        <v/>
      </c>
      <c r="N60" s="52"/>
      <c r="O60" s="30" t="str">
        <f aca="false">IF(N(RAIDLog[[#This Row],[Task UID]])=0,"",IFERROR(INDEX(tsk_Name,MATCH(RAIDLog[[#This Row],[Task UID]],tsk_UID,0)),"UID "&amp;RAIDLog[[#This Row],[Task UID]]&amp;" not found"))</f>
        <v/>
      </c>
      <c r="P60" s="31" t="str">
        <f aca="false">IF(N(RAIDLog[[#This Row],[Task UID]])=0,"",IFERROR(INDEX(tsk_FcFinish,MATCH(RAIDLog[[#This Row],[Task UID]],tsk_UID,0)),""))</f>
        <v/>
      </c>
      <c r="Q60" s="53"/>
      <c r="R60" s="53"/>
      <c r="S60" s="38" t="str">
        <f aca="false">IF(RAIDLog[[#This Row],[Title]]="","",RAIDLog[[#This Row],[Type]]&amp;" "&amp;RAIDLog[[#This Row],[Ref]]&amp;": "&amp;RAIDLog[[#This Row],[Title]])</f>
        <v/>
      </c>
      <c r="T60" s="38" t="str">
        <f aca="false">IF(AND(NOT(RAIDLog[[#This Row],[Title]]=""),RAIDLog[[#This Row],[Status]]&lt;&gt;"Closed"),RAIDLog[[#This Row],[Score]]+1-(ROW()-ROW(RAIDLog[[#Headers],[Ref]]))/100000,"")</f>
        <v/>
      </c>
    </row>
    <row r="61" customFormat="false" ht="15" hidden="false" customHeight="false" outlineLevel="0" collapsed="false">
      <c r="B61" s="52" t="n">
        <v>57</v>
      </c>
      <c r="C61" s="53"/>
      <c r="D61" s="53"/>
      <c r="E61" s="53"/>
      <c r="F61" s="7"/>
      <c r="G61" s="7"/>
      <c r="H61" s="52"/>
      <c r="I61" s="52"/>
      <c r="J61" s="52"/>
      <c r="K61" s="51" t="str">
        <f aca="false">IF(RAIDLog[[#This Row],[Title]]="","",IF(RAIDLog[[#This Row],[Type]]="Issue",5,N(RAIDLog[[#This Row],[Probability]]))*N(RAIDLog[[#This Row],[Impact]]))</f>
        <v/>
      </c>
      <c r="L61" s="51" t="str">
        <f aca="false">IF(RAIDLog[[#This Row],[Title]]="","",IF(RAIDLog[[#This Row],[Score]]&gt;=RAIDHighScore,"High",IF(RAIDLog[[#This Row],[Score]]&gt;=RAIDMediumScore,"Medium","Low")))</f>
        <v/>
      </c>
      <c r="M61" s="51" t="str">
        <f aca="false">IF(OR(RAIDLog[[#This Row],[Title]]="",N(RAIDLog[[#This Row],[Due]])=0),"",IF(AND(RAIDLog[[#This Row],[Status]]&lt;&gt;"Closed",RAIDLog[[#This Row],[Due]]&lt;StatusDate),"Overdue",""))</f>
        <v/>
      </c>
      <c r="N61" s="52"/>
      <c r="O61" s="30" t="str">
        <f aca="false">IF(N(RAIDLog[[#This Row],[Task UID]])=0,"",IFERROR(INDEX(tsk_Name,MATCH(RAIDLog[[#This Row],[Task UID]],tsk_UID,0)),"UID "&amp;RAIDLog[[#This Row],[Task UID]]&amp;" not found"))</f>
        <v/>
      </c>
      <c r="P61" s="31" t="str">
        <f aca="false">IF(N(RAIDLog[[#This Row],[Task UID]])=0,"",IFERROR(INDEX(tsk_FcFinish,MATCH(RAIDLog[[#This Row],[Task UID]],tsk_UID,0)),""))</f>
        <v/>
      </c>
      <c r="Q61" s="53"/>
      <c r="R61" s="53"/>
      <c r="S61" s="38" t="str">
        <f aca="false">IF(RAIDLog[[#This Row],[Title]]="","",RAIDLog[[#This Row],[Type]]&amp;" "&amp;RAIDLog[[#This Row],[Ref]]&amp;": "&amp;RAIDLog[[#This Row],[Title]])</f>
        <v/>
      </c>
      <c r="T61" s="38" t="str">
        <f aca="false">IF(AND(NOT(RAIDLog[[#This Row],[Title]]=""),RAIDLog[[#This Row],[Status]]&lt;&gt;"Closed"),RAIDLog[[#This Row],[Score]]+1-(ROW()-ROW(RAIDLog[[#Headers],[Ref]]))/100000,"")</f>
        <v/>
      </c>
    </row>
    <row r="62" customFormat="false" ht="15" hidden="false" customHeight="false" outlineLevel="0" collapsed="false">
      <c r="B62" s="52" t="n">
        <v>58</v>
      </c>
      <c r="C62" s="53"/>
      <c r="D62" s="53"/>
      <c r="E62" s="53"/>
      <c r="F62" s="7"/>
      <c r="G62" s="7"/>
      <c r="H62" s="52"/>
      <c r="I62" s="52"/>
      <c r="J62" s="52"/>
      <c r="K62" s="51" t="str">
        <f aca="false">IF(RAIDLog[[#This Row],[Title]]="","",IF(RAIDLog[[#This Row],[Type]]="Issue",5,N(RAIDLog[[#This Row],[Probability]]))*N(RAIDLog[[#This Row],[Impact]]))</f>
        <v/>
      </c>
      <c r="L62" s="51" t="str">
        <f aca="false">IF(RAIDLog[[#This Row],[Title]]="","",IF(RAIDLog[[#This Row],[Score]]&gt;=RAIDHighScore,"High",IF(RAIDLog[[#This Row],[Score]]&gt;=RAIDMediumScore,"Medium","Low")))</f>
        <v/>
      </c>
      <c r="M62" s="51" t="str">
        <f aca="false">IF(OR(RAIDLog[[#This Row],[Title]]="",N(RAIDLog[[#This Row],[Due]])=0),"",IF(AND(RAIDLog[[#This Row],[Status]]&lt;&gt;"Closed",RAIDLog[[#This Row],[Due]]&lt;StatusDate),"Overdue",""))</f>
        <v/>
      </c>
      <c r="N62" s="52"/>
      <c r="O62" s="30" t="str">
        <f aca="false">IF(N(RAIDLog[[#This Row],[Task UID]])=0,"",IFERROR(INDEX(tsk_Name,MATCH(RAIDLog[[#This Row],[Task UID]],tsk_UID,0)),"UID "&amp;RAIDLog[[#This Row],[Task UID]]&amp;" not found"))</f>
        <v/>
      </c>
      <c r="P62" s="31" t="str">
        <f aca="false">IF(N(RAIDLog[[#This Row],[Task UID]])=0,"",IFERROR(INDEX(tsk_FcFinish,MATCH(RAIDLog[[#This Row],[Task UID]],tsk_UID,0)),""))</f>
        <v/>
      </c>
      <c r="Q62" s="53"/>
      <c r="R62" s="53"/>
      <c r="S62" s="38" t="str">
        <f aca="false">IF(RAIDLog[[#This Row],[Title]]="","",RAIDLog[[#This Row],[Type]]&amp;" "&amp;RAIDLog[[#This Row],[Ref]]&amp;": "&amp;RAIDLog[[#This Row],[Title]])</f>
        <v/>
      </c>
      <c r="T62" s="38" t="str">
        <f aca="false">IF(AND(NOT(RAIDLog[[#This Row],[Title]]=""),RAIDLog[[#This Row],[Status]]&lt;&gt;"Closed"),RAIDLog[[#This Row],[Score]]+1-(ROW()-ROW(RAIDLog[[#Headers],[Ref]]))/100000,"")</f>
        <v/>
      </c>
    </row>
    <row r="63" customFormat="false" ht="15" hidden="false" customHeight="false" outlineLevel="0" collapsed="false">
      <c r="B63" s="52" t="n">
        <v>59</v>
      </c>
      <c r="C63" s="53"/>
      <c r="D63" s="53"/>
      <c r="E63" s="53"/>
      <c r="F63" s="7"/>
      <c r="G63" s="7"/>
      <c r="H63" s="52"/>
      <c r="I63" s="52"/>
      <c r="J63" s="52"/>
      <c r="K63" s="51" t="str">
        <f aca="false">IF(RAIDLog[[#This Row],[Title]]="","",IF(RAIDLog[[#This Row],[Type]]="Issue",5,N(RAIDLog[[#This Row],[Probability]]))*N(RAIDLog[[#This Row],[Impact]]))</f>
        <v/>
      </c>
      <c r="L63" s="51" t="str">
        <f aca="false">IF(RAIDLog[[#This Row],[Title]]="","",IF(RAIDLog[[#This Row],[Score]]&gt;=RAIDHighScore,"High",IF(RAIDLog[[#This Row],[Score]]&gt;=RAIDMediumScore,"Medium","Low")))</f>
        <v/>
      </c>
      <c r="M63" s="51" t="str">
        <f aca="false">IF(OR(RAIDLog[[#This Row],[Title]]="",N(RAIDLog[[#This Row],[Due]])=0),"",IF(AND(RAIDLog[[#This Row],[Status]]&lt;&gt;"Closed",RAIDLog[[#This Row],[Due]]&lt;StatusDate),"Overdue",""))</f>
        <v/>
      </c>
      <c r="N63" s="52"/>
      <c r="O63" s="30" t="str">
        <f aca="false">IF(N(RAIDLog[[#This Row],[Task UID]])=0,"",IFERROR(INDEX(tsk_Name,MATCH(RAIDLog[[#This Row],[Task UID]],tsk_UID,0)),"UID "&amp;RAIDLog[[#This Row],[Task UID]]&amp;" not found"))</f>
        <v/>
      </c>
      <c r="P63" s="31" t="str">
        <f aca="false">IF(N(RAIDLog[[#This Row],[Task UID]])=0,"",IFERROR(INDEX(tsk_FcFinish,MATCH(RAIDLog[[#This Row],[Task UID]],tsk_UID,0)),""))</f>
        <v/>
      </c>
      <c r="Q63" s="53"/>
      <c r="R63" s="53"/>
      <c r="S63" s="38" t="str">
        <f aca="false">IF(RAIDLog[[#This Row],[Title]]="","",RAIDLog[[#This Row],[Type]]&amp;" "&amp;RAIDLog[[#This Row],[Ref]]&amp;": "&amp;RAIDLog[[#This Row],[Title]])</f>
        <v/>
      </c>
      <c r="T63" s="38" t="str">
        <f aca="false">IF(AND(NOT(RAIDLog[[#This Row],[Title]]=""),RAIDLog[[#This Row],[Status]]&lt;&gt;"Closed"),RAIDLog[[#This Row],[Score]]+1-(ROW()-ROW(RAIDLog[[#Headers],[Ref]]))/100000,"")</f>
        <v/>
      </c>
    </row>
    <row r="64" customFormat="false" ht="15" hidden="false" customHeight="false" outlineLevel="0" collapsed="false">
      <c r="B64" s="52" t="n">
        <v>60</v>
      </c>
      <c r="C64" s="53"/>
      <c r="D64" s="53"/>
      <c r="E64" s="53"/>
      <c r="F64" s="7"/>
      <c r="G64" s="7"/>
      <c r="H64" s="52"/>
      <c r="I64" s="52"/>
      <c r="J64" s="52"/>
      <c r="K64" s="51" t="str">
        <f aca="false">IF(RAIDLog[[#This Row],[Title]]="","",IF(RAIDLog[[#This Row],[Type]]="Issue",5,N(RAIDLog[[#This Row],[Probability]]))*N(RAIDLog[[#This Row],[Impact]]))</f>
        <v/>
      </c>
      <c r="L64" s="51" t="str">
        <f aca="false">IF(RAIDLog[[#This Row],[Title]]="","",IF(RAIDLog[[#This Row],[Score]]&gt;=RAIDHighScore,"High",IF(RAIDLog[[#This Row],[Score]]&gt;=RAIDMediumScore,"Medium","Low")))</f>
        <v/>
      </c>
      <c r="M64" s="51" t="str">
        <f aca="false">IF(OR(RAIDLog[[#This Row],[Title]]="",N(RAIDLog[[#This Row],[Due]])=0),"",IF(AND(RAIDLog[[#This Row],[Status]]&lt;&gt;"Closed",RAIDLog[[#This Row],[Due]]&lt;StatusDate),"Overdue",""))</f>
        <v/>
      </c>
      <c r="N64" s="52"/>
      <c r="O64" s="30" t="str">
        <f aca="false">IF(N(RAIDLog[[#This Row],[Task UID]])=0,"",IFERROR(INDEX(tsk_Name,MATCH(RAIDLog[[#This Row],[Task UID]],tsk_UID,0)),"UID "&amp;RAIDLog[[#This Row],[Task UID]]&amp;" not found"))</f>
        <v/>
      </c>
      <c r="P64" s="31" t="str">
        <f aca="false">IF(N(RAIDLog[[#This Row],[Task UID]])=0,"",IFERROR(INDEX(tsk_FcFinish,MATCH(RAIDLog[[#This Row],[Task UID]],tsk_UID,0)),""))</f>
        <v/>
      </c>
      <c r="Q64" s="53"/>
      <c r="R64" s="53"/>
      <c r="S64" s="38" t="str">
        <f aca="false">IF(RAIDLog[[#This Row],[Title]]="","",RAIDLog[[#This Row],[Type]]&amp;" "&amp;RAIDLog[[#This Row],[Ref]]&amp;": "&amp;RAIDLog[[#This Row],[Title]])</f>
        <v/>
      </c>
      <c r="T64" s="38" t="str">
        <f aca="false">IF(AND(NOT(RAIDLog[[#This Row],[Title]]=""),RAIDLog[[#This Row],[Status]]&lt;&gt;"Closed"),RAIDLog[[#This Row],[Score]]+1-(ROW()-ROW(RAIDLog[[#Headers],[Ref]]))/100000,"")</f>
        <v/>
      </c>
    </row>
    <row r="65" customFormat="false" ht="15" hidden="false" customHeight="false" outlineLevel="0" collapsed="false">
      <c r="B65" s="52" t="n">
        <v>61</v>
      </c>
      <c r="C65" s="53"/>
      <c r="D65" s="53"/>
      <c r="E65" s="53"/>
      <c r="F65" s="7"/>
      <c r="G65" s="7"/>
      <c r="H65" s="52"/>
      <c r="I65" s="52"/>
      <c r="J65" s="52"/>
      <c r="K65" s="51" t="str">
        <f aca="false">IF(RAIDLog[[#This Row],[Title]]="","",IF(RAIDLog[[#This Row],[Type]]="Issue",5,N(RAIDLog[[#This Row],[Probability]]))*N(RAIDLog[[#This Row],[Impact]]))</f>
        <v/>
      </c>
      <c r="L65" s="51" t="str">
        <f aca="false">IF(RAIDLog[[#This Row],[Title]]="","",IF(RAIDLog[[#This Row],[Score]]&gt;=RAIDHighScore,"High",IF(RAIDLog[[#This Row],[Score]]&gt;=RAIDMediumScore,"Medium","Low")))</f>
        <v/>
      </c>
      <c r="M65" s="51" t="str">
        <f aca="false">IF(OR(RAIDLog[[#This Row],[Title]]="",N(RAIDLog[[#This Row],[Due]])=0),"",IF(AND(RAIDLog[[#This Row],[Status]]&lt;&gt;"Closed",RAIDLog[[#This Row],[Due]]&lt;StatusDate),"Overdue",""))</f>
        <v/>
      </c>
      <c r="N65" s="52"/>
      <c r="O65" s="30" t="str">
        <f aca="false">IF(N(RAIDLog[[#This Row],[Task UID]])=0,"",IFERROR(INDEX(tsk_Name,MATCH(RAIDLog[[#This Row],[Task UID]],tsk_UID,0)),"UID "&amp;RAIDLog[[#This Row],[Task UID]]&amp;" not found"))</f>
        <v/>
      </c>
      <c r="P65" s="31" t="str">
        <f aca="false">IF(N(RAIDLog[[#This Row],[Task UID]])=0,"",IFERROR(INDEX(tsk_FcFinish,MATCH(RAIDLog[[#This Row],[Task UID]],tsk_UID,0)),""))</f>
        <v/>
      </c>
      <c r="Q65" s="53"/>
      <c r="R65" s="53"/>
      <c r="S65" s="38" t="str">
        <f aca="false">IF(RAIDLog[[#This Row],[Title]]="","",RAIDLog[[#This Row],[Type]]&amp;" "&amp;RAIDLog[[#This Row],[Ref]]&amp;": "&amp;RAIDLog[[#This Row],[Title]])</f>
        <v/>
      </c>
      <c r="T65" s="38" t="str">
        <f aca="false">IF(AND(NOT(RAIDLog[[#This Row],[Title]]=""),RAIDLog[[#This Row],[Status]]&lt;&gt;"Closed"),RAIDLog[[#This Row],[Score]]+1-(ROW()-ROW(RAIDLog[[#Headers],[Ref]]))/100000,"")</f>
        <v/>
      </c>
    </row>
    <row r="66" customFormat="false" ht="15" hidden="false" customHeight="false" outlineLevel="0" collapsed="false">
      <c r="B66" s="52" t="n">
        <v>62</v>
      </c>
      <c r="C66" s="53"/>
      <c r="D66" s="53"/>
      <c r="E66" s="53"/>
      <c r="F66" s="7"/>
      <c r="G66" s="7"/>
      <c r="H66" s="52"/>
      <c r="I66" s="52"/>
      <c r="J66" s="52"/>
      <c r="K66" s="51" t="str">
        <f aca="false">IF(RAIDLog[[#This Row],[Title]]="","",IF(RAIDLog[[#This Row],[Type]]="Issue",5,N(RAIDLog[[#This Row],[Probability]]))*N(RAIDLog[[#This Row],[Impact]]))</f>
        <v/>
      </c>
      <c r="L66" s="51" t="str">
        <f aca="false">IF(RAIDLog[[#This Row],[Title]]="","",IF(RAIDLog[[#This Row],[Score]]&gt;=RAIDHighScore,"High",IF(RAIDLog[[#This Row],[Score]]&gt;=RAIDMediumScore,"Medium","Low")))</f>
        <v/>
      </c>
      <c r="M66" s="51" t="str">
        <f aca="false">IF(OR(RAIDLog[[#This Row],[Title]]="",N(RAIDLog[[#This Row],[Due]])=0),"",IF(AND(RAIDLog[[#This Row],[Status]]&lt;&gt;"Closed",RAIDLog[[#This Row],[Due]]&lt;StatusDate),"Overdue",""))</f>
        <v/>
      </c>
      <c r="N66" s="52"/>
      <c r="O66" s="30" t="str">
        <f aca="false">IF(N(RAIDLog[[#This Row],[Task UID]])=0,"",IFERROR(INDEX(tsk_Name,MATCH(RAIDLog[[#This Row],[Task UID]],tsk_UID,0)),"UID "&amp;RAIDLog[[#This Row],[Task UID]]&amp;" not found"))</f>
        <v/>
      </c>
      <c r="P66" s="31" t="str">
        <f aca="false">IF(N(RAIDLog[[#This Row],[Task UID]])=0,"",IFERROR(INDEX(tsk_FcFinish,MATCH(RAIDLog[[#This Row],[Task UID]],tsk_UID,0)),""))</f>
        <v/>
      </c>
      <c r="Q66" s="53"/>
      <c r="R66" s="53"/>
      <c r="S66" s="38" t="str">
        <f aca="false">IF(RAIDLog[[#This Row],[Title]]="","",RAIDLog[[#This Row],[Type]]&amp;" "&amp;RAIDLog[[#This Row],[Ref]]&amp;": "&amp;RAIDLog[[#This Row],[Title]])</f>
        <v/>
      </c>
      <c r="T66" s="38" t="str">
        <f aca="false">IF(AND(NOT(RAIDLog[[#This Row],[Title]]=""),RAIDLog[[#This Row],[Status]]&lt;&gt;"Closed"),RAIDLog[[#This Row],[Score]]+1-(ROW()-ROW(RAIDLog[[#Headers],[Ref]]))/100000,"")</f>
        <v/>
      </c>
    </row>
    <row r="67" customFormat="false" ht="15" hidden="false" customHeight="false" outlineLevel="0" collapsed="false">
      <c r="B67" s="52" t="n">
        <v>63</v>
      </c>
      <c r="C67" s="53"/>
      <c r="D67" s="53"/>
      <c r="E67" s="53"/>
      <c r="F67" s="7"/>
      <c r="G67" s="7"/>
      <c r="H67" s="52"/>
      <c r="I67" s="52"/>
      <c r="J67" s="52"/>
      <c r="K67" s="51" t="str">
        <f aca="false">IF(RAIDLog[[#This Row],[Title]]="","",IF(RAIDLog[[#This Row],[Type]]="Issue",5,N(RAIDLog[[#This Row],[Probability]]))*N(RAIDLog[[#This Row],[Impact]]))</f>
        <v/>
      </c>
      <c r="L67" s="51" t="str">
        <f aca="false">IF(RAIDLog[[#This Row],[Title]]="","",IF(RAIDLog[[#This Row],[Score]]&gt;=RAIDHighScore,"High",IF(RAIDLog[[#This Row],[Score]]&gt;=RAIDMediumScore,"Medium","Low")))</f>
        <v/>
      </c>
      <c r="M67" s="51" t="str">
        <f aca="false">IF(OR(RAIDLog[[#This Row],[Title]]="",N(RAIDLog[[#This Row],[Due]])=0),"",IF(AND(RAIDLog[[#This Row],[Status]]&lt;&gt;"Closed",RAIDLog[[#This Row],[Due]]&lt;StatusDate),"Overdue",""))</f>
        <v/>
      </c>
      <c r="N67" s="52"/>
      <c r="O67" s="30" t="str">
        <f aca="false">IF(N(RAIDLog[[#This Row],[Task UID]])=0,"",IFERROR(INDEX(tsk_Name,MATCH(RAIDLog[[#This Row],[Task UID]],tsk_UID,0)),"UID "&amp;RAIDLog[[#This Row],[Task UID]]&amp;" not found"))</f>
        <v/>
      </c>
      <c r="P67" s="31" t="str">
        <f aca="false">IF(N(RAIDLog[[#This Row],[Task UID]])=0,"",IFERROR(INDEX(tsk_FcFinish,MATCH(RAIDLog[[#This Row],[Task UID]],tsk_UID,0)),""))</f>
        <v/>
      </c>
      <c r="Q67" s="53"/>
      <c r="R67" s="53"/>
      <c r="S67" s="38" t="str">
        <f aca="false">IF(RAIDLog[[#This Row],[Title]]="","",RAIDLog[[#This Row],[Type]]&amp;" "&amp;RAIDLog[[#This Row],[Ref]]&amp;": "&amp;RAIDLog[[#This Row],[Title]])</f>
        <v/>
      </c>
      <c r="T67" s="38" t="str">
        <f aca="false">IF(AND(NOT(RAIDLog[[#This Row],[Title]]=""),RAIDLog[[#This Row],[Status]]&lt;&gt;"Closed"),RAIDLog[[#This Row],[Score]]+1-(ROW()-ROW(RAIDLog[[#Headers],[Ref]]))/100000,"")</f>
        <v/>
      </c>
    </row>
    <row r="68" customFormat="false" ht="15" hidden="false" customHeight="false" outlineLevel="0" collapsed="false">
      <c r="B68" s="52" t="n">
        <v>64</v>
      </c>
      <c r="C68" s="53"/>
      <c r="D68" s="53"/>
      <c r="E68" s="53"/>
      <c r="F68" s="7"/>
      <c r="G68" s="7"/>
      <c r="H68" s="52"/>
      <c r="I68" s="52"/>
      <c r="J68" s="52"/>
      <c r="K68" s="51" t="str">
        <f aca="false">IF(RAIDLog[[#This Row],[Title]]="","",IF(RAIDLog[[#This Row],[Type]]="Issue",5,N(RAIDLog[[#This Row],[Probability]]))*N(RAIDLog[[#This Row],[Impact]]))</f>
        <v/>
      </c>
      <c r="L68" s="51" t="str">
        <f aca="false">IF(RAIDLog[[#This Row],[Title]]="","",IF(RAIDLog[[#This Row],[Score]]&gt;=RAIDHighScore,"High",IF(RAIDLog[[#This Row],[Score]]&gt;=RAIDMediumScore,"Medium","Low")))</f>
        <v/>
      </c>
      <c r="M68" s="51" t="str">
        <f aca="false">IF(OR(RAIDLog[[#This Row],[Title]]="",N(RAIDLog[[#This Row],[Due]])=0),"",IF(AND(RAIDLog[[#This Row],[Status]]&lt;&gt;"Closed",RAIDLog[[#This Row],[Due]]&lt;StatusDate),"Overdue",""))</f>
        <v/>
      </c>
      <c r="N68" s="52"/>
      <c r="O68" s="30" t="str">
        <f aca="false">IF(N(RAIDLog[[#This Row],[Task UID]])=0,"",IFERROR(INDEX(tsk_Name,MATCH(RAIDLog[[#This Row],[Task UID]],tsk_UID,0)),"UID "&amp;RAIDLog[[#This Row],[Task UID]]&amp;" not found"))</f>
        <v/>
      </c>
      <c r="P68" s="31" t="str">
        <f aca="false">IF(N(RAIDLog[[#This Row],[Task UID]])=0,"",IFERROR(INDEX(tsk_FcFinish,MATCH(RAIDLog[[#This Row],[Task UID]],tsk_UID,0)),""))</f>
        <v/>
      </c>
      <c r="Q68" s="53"/>
      <c r="R68" s="53"/>
      <c r="S68" s="38" t="str">
        <f aca="false">IF(RAIDLog[[#This Row],[Title]]="","",RAIDLog[[#This Row],[Type]]&amp;" "&amp;RAIDLog[[#This Row],[Ref]]&amp;": "&amp;RAIDLog[[#This Row],[Title]])</f>
        <v/>
      </c>
      <c r="T68" s="38" t="str">
        <f aca="false">IF(AND(NOT(RAIDLog[[#This Row],[Title]]=""),RAIDLog[[#This Row],[Status]]&lt;&gt;"Closed"),RAIDLog[[#This Row],[Score]]+1-(ROW()-ROW(RAIDLog[[#Headers],[Ref]]))/100000,"")</f>
        <v/>
      </c>
    </row>
    <row r="69" customFormat="false" ht="15" hidden="false" customHeight="false" outlineLevel="0" collapsed="false">
      <c r="B69" s="52" t="n">
        <v>65</v>
      </c>
      <c r="C69" s="53"/>
      <c r="D69" s="53"/>
      <c r="E69" s="53"/>
      <c r="F69" s="7"/>
      <c r="G69" s="7"/>
      <c r="H69" s="52"/>
      <c r="I69" s="52"/>
      <c r="J69" s="52"/>
      <c r="K69" s="51" t="str">
        <f aca="false">IF(RAIDLog[[#This Row],[Title]]="","",IF(RAIDLog[[#This Row],[Type]]="Issue",5,N(RAIDLog[[#This Row],[Probability]]))*N(RAIDLog[[#This Row],[Impact]]))</f>
        <v/>
      </c>
      <c r="L69" s="51" t="str">
        <f aca="false">IF(RAIDLog[[#This Row],[Title]]="","",IF(RAIDLog[[#This Row],[Score]]&gt;=RAIDHighScore,"High",IF(RAIDLog[[#This Row],[Score]]&gt;=RAIDMediumScore,"Medium","Low")))</f>
        <v/>
      </c>
      <c r="M69" s="51" t="str">
        <f aca="false">IF(OR(RAIDLog[[#This Row],[Title]]="",N(RAIDLog[[#This Row],[Due]])=0),"",IF(AND(RAIDLog[[#This Row],[Status]]&lt;&gt;"Closed",RAIDLog[[#This Row],[Due]]&lt;StatusDate),"Overdue",""))</f>
        <v/>
      </c>
      <c r="N69" s="52"/>
      <c r="O69" s="30" t="str">
        <f aca="false">IF(N(RAIDLog[[#This Row],[Task UID]])=0,"",IFERROR(INDEX(tsk_Name,MATCH(RAIDLog[[#This Row],[Task UID]],tsk_UID,0)),"UID "&amp;RAIDLog[[#This Row],[Task UID]]&amp;" not found"))</f>
        <v/>
      </c>
      <c r="P69" s="31" t="str">
        <f aca="false">IF(N(RAIDLog[[#This Row],[Task UID]])=0,"",IFERROR(INDEX(tsk_FcFinish,MATCH(RAIDLog[[#This Row],[Task UID]],tsk_UID,0)),""))</f>
        <v/>
      </c>
      <c r="Q69" s="53"/>
      <c r="R69" s="53"/>
      <c r="S69" s="38" t="str">
        <f aca="false">IF(RAIDLog[[#This Row],[Title]]="","",RAIDLog[[#This Row],[Type]]&amp;" "&amp;RAIDLog[[#This Row],[Ref]]&amp;": "&amp;RAIDLog[[#This Row],[Title]])</f>
        <v/>
      </c>
      <c r="T69" s="38" t="str">
        <f aca="false">IF(AND(NOT(RAIDLog[[#This Row],[Title]]=""),RAIDLog[[#This Row],[Status]]&lt;&gt;"Closed"),RAIDLog[[#This Row],[Score]]+1-(ROW()-ROW(RAIDLog[[#Headers],[Ref]]))/100000,"")</f>
        <v/>
      </c>
    </row>
    <row r="70" customFormat="false" ht="15" hidden="false" customHeight="false" outlineLevel="0" collapsed="false">
      <c r="B70" s="52" t="n">
        <v>66</v>
      </c>
      <c r="C70" s="53"/>
      <c r="D70" s="53"/>
      <c r="E70" s="53"/>
      <c r="F70" s="7"/>
      <c r="G70" s="7"/>
      <c r="H70" s="52"/>
      <c r="I70" s="52"/>
      <c r="J70" s="52"/>
      <c r="K70" s="51" t="str">
        <f aca="false">IF(RAIDLog[[#This Row],[Title]]="","",IF(RAIDLog[[#This Row],[Type]]="Issue",5,N(RAIDLog[[#This Row],[Probability]]))*N(RAIDLog[[#This Row],[Impact]]))</f>
        <v/>
      </c>
      <c r="L70" s="51" t="str">
        <f aca="false">IF(RAIDLog[[#This Row],[Title]]="","",IF(RAIDLog[[#This Row],[Score]]&gt;=RAIDHighScore,"High",IF(RAIDLog[[#This Row],[Score]]&gt;=RAIDMediumScore,"Medium","Low")))</f>
        <v/>
      </c>
      <c r="M70" s="51" t="str">
        <f aca="false">IF(OR(RAIDLog[[#This Row],[Title]]="",N(RAIDLog[[#This Row],[Due]])=0),"",IF(AND(RAIDLog[[#This Row],[Status]]&lt;&gt;"Closed",RAIDLog[[#This Row],[Due]]&lt;StatusDate),"Overdue",""))</f>
        <v/>
      </c>
      <c r="N70" s="52"/>
      <c r="O70" s="30" t="str">
        <f aca="false">IF(N(RAIDLog[[#This Row],[Task UID]])=0,"",IFERROR(INDEX(tsk_Name,MATCH(RAIDLog[[#This Row],[Task UID]],tsk_UID,0)),"UID "&amp;RAIDLog[[#This Row],[Task UID]]&amp;" not found"))</f>
        <v/>
      </c>
      <c r="P70" s="31" t="str">
        <f aca="false">IF(N(RAIDLog[[#This Row],[Task UID]])=0,"",IFERROR(INDEX(tsk_FcFinish,MATCH(RAIDLog[[#This Row],[Task UID]],tsk_UID,0)),""))</f>
        <v/>
      </c>
      <c r="Q70" s="53"/>
      <c r="R70" s="53"/>
      <c r="S70" s="38" t="str">
        <f aca="false">IF(RAIDLog[[#This Row],[Title]]="","",RAIDLog[[#This Row],[Type]]&amp;" "&amp;RAIDLog[[#This Row],[Ref]]&amp;": "&amp;RAIDLog[[#This Row],[Title]])</f>
        <v/>
      </c>
      <c r="T70" s="38" t="str">
        <f aca="false">IF(AND(NOT(RAIDLog[[#This Row],[Title]]=""),RAIDLog[[#This Row],[Status]]&lt;&gt;"Closed"),RAIDLog[[#This Row],[Score]]+1-(ROW()-ROW(RAIDLog[[#Headers],[Ref]]))/100000,"")</f>
        <v/>
      </c>
    </row>
    <row r="71" customFormat="false" ht="15" hidden="false" customHeight="false" outlineLevel="0" collapsed="false">
      <c r="B71" s="52" t="n">
        <v>67</v>
      </c>
      <c r="C71" s="53"/>
      <c r="D71" s="53"/>
      <c r="E71" s="53"/>
      <c r="F71" s="7"/>
      <c r="G71" s="7"/>
      <c r="H71" s="52"/>
      <c r="I71" s="52"/>
      <c r="J71" s="52"/>
      <c r="K71" s="51" t="str">
        <f aca="false">IF(RAIDLog[[#This Row],[Title]]="","",IF(RAIDLog[[#This Row],[Type]]="Issue",5,N(RAIDLog[[#This Row],[Probability]]))*N(RAIDLog[[#This Row],[Impact]]))</f>
        <v/>
      </c>
      <c r="L71" s="51" t="str">
        <f aca="false">IF(RAIDLog[[#This Row],[Title]]="","",IF(RAIDLog[[#This Row],[Score]]&gt;=RAIDHighScore,"High",IF(RAIDLog[[#This Row],[Score]]&gt;=RAIDMediumScore,"Medium","Low")))</f>
        <v/>
      </c>
      <c r="M71" s="51" t="str">
        <f aca="false">IF(OR(RAIDLog[[#This Row],[Title]]="",N(RAIDLog[[#This Row],[Due]])=0),"",IF(AND(RAIDLog[[#This Row],[Status]]&lt;&gt;"Closed",RAIDLog[[#This Row],[Due]]&lt;StatusDate),"Overdue",""))</f>
        <v/>
      </c>
      <c r="N71" s="52"/>
      <c r="O71" s="30" t="str">
        <f aca="false">IF(N(RAIDLog[[#This Row],[Task UID]])=0,"",IFERROR(INDEX(tsk_Name,MATCH(RAIDLog[[#This Row],[Task UID]],tsk_UID,0)),"UID "&amp;RAIDLog[[#This Row],[Task UID]]&amp;" not found"))</f>
        <v/>
      </c>
      <c r="P71" s="31" t="str">
        <f aca="false">IF(N(RAIDLog[[#This Row],[Task UID]])=0,"",IFERROR(INDEX(tsk_FcFinish,MATCH(RAIDLog[[#This Row],[Task UID]],tsk_UID,0)),""))</f>
        <v/>
      </c>
      <c r="Q71" s="53"/>
      <c r="R71" s="53"/>
      <c r="S71" s="38" t="str">
        <f aca="false">IF(RAIDLog[[#This Row],[Title]]="","",RAIDLog[[#This Row],[Type]]&amp;" "&amp;RAIDLog[[#This Row],[Ref]]&amp;": "&amp;RAIDLog[[#This Row],[Title]])</f>
        <v/>
      </c>
      <c r="T71" s="38" t="str">
        <f aca="false">IF(AND(NOT(RAIDLog[[#This Row],[Title]]=""),RAIDLog[[#This Row],[Status]]&lt;&gt;"Closed"),RAIDLog[[#This Row],[Score]]+1-(ROW()-ROW(RAIDLog[[#Headers],[Ref]]))/100000,"")</f>
        <v/>
      </c>
    </row>
    <row r="72" customFormat="false" ht="15" hidden="false" customHeight="false" outlineLevel="0" collapsed="false">
      <c r="B72" s="52" t="n">
        <v>68</v>
      </c>
      <c r="C72" s="53"/>
      <c r="D72" s="53"/>
      <c r="E72" s="53"/>
      <c r="F72" s="7"/>
      <c r="G72" s="7"/>
      <c r="H72" s="52"/>
      <c r="I72" s="52"/>
      <c r="J72" s="52"/>
      <c r="K72" s="51" t="str">
        <f aca="false">IF(RAIDLog[[#This Row],[Title]]="","",IF(RAIDLog[[#This Row],[Type]]="Issue",5,N(RAIDLog[[#This Row],[Probability]]))*N(RAIDLog[[#This Row],[Impact]]))</f>
        <v/>
      </c>
      <c r="L72" s="51" t="str">
        <f aca="false">IF(RAIDLog[[#This Row],[Title]]="","",IF(RAIDLog[[#This Row],[Score]]&gt;=RAIDHighScore,"High",IF(RAIDLog[[#This Row],[Score]]&gt;=RAIDMediumScore,"Medium","Low")))</f>
        <v/>
      </c>
      <c r="M72" s="51" t="str">
        <f aca="false">IF(OR(RAIDLog[[#This Row],[Title]]="",N(RAIDLog[[#This Row],[Due]])=0),"",IF(AND(RAIDLog[[#This Row],[Status]]&lt;&gt;"Closed",RAIDLog[[#This Row],[Due]]&lt;StatusDate),"Overdue",""))</f>
        <v/>
      </c>
      <c r="N72" s="52"/>
      <c r="O72" s="30" t="str">
        <f aca="false">IF(N(RAIDLog[[#This Row],[Task UID]])=0,"",IFERROR(INDEX(tsk_Name,MATCH(RAIDLog[[#This Row],[Task UID]],tsk_UID,0)),"UID "&amp;RAIDLog[[#This Row],[Task UID]]&amp;" not found"))</f>
        <v/>
      </c>
      <c r="P72" s="31" t="str">
        <f aca="false">IF(N(RAIDLog[[#This Row],[Task UID]])=0,"",IFERROR(INDEX(tsk_FcFinish,MATCH(RAIDLog[[#This Row],[Task UID]],tsk_UID,0)),""))</f>
        <v/>
      </c>
      <c r="Q72" s="53"/>
      <c r="R72" s="53"/>
      <c r="S72" s="38" t="str">
        <f aca="false">IF(RAIDLog[[#This Row],[Title]]="","",RAIDLog[[#This Row],[Type]]&amp;" "&amp;RAIDLog[[#This Row],[Ref]]&amp;": "&amp;RAIDLog[[#This Row],[Title]])</f>
        <v/>
      </c>
      <c r="T72" s="38" t="str">
        <f aca="false">IF(AND(NOT(RAIDLog[[#This Row],[Title]]=""),RAIDLog[[#This Row],[Status]]&lt;&gt;"Closed"),RAIDLog[[#This Row],[Score]]+1-(ROW()-ROW(RAIDLog[[#Headers],[Ref]]))/100000,"")</f>
        <v/>
      </c>
    </row>
    <row r="73" customFormat="false" ht="15" hidden="false" customHeight="false" outlineLevel="0" collapsed="false">
      <c r="B73" s="52" t="n">
        <v>69</v>
      </c>
      <c r="C73" s="53"/>
      <c r="D73" s="53"/>
      <c r="E73" s="53"/>
      <c r="F73" s="7"/>
      <c r="G73" s="7"/>
      <c r="H73" s="52"/>
      <c r="I73" s="52"/>
      <c r="J73" s="52"/>
      <c r="K73" s="51" t="str">
        <f aca="false">IF(RAIDLog[[#This Row],[Title]]="","",IF(RAIDLog[[#This Row],[Type]]="Issue",5,N(RAIDLog[[#This Row],[Probability]]))*N(RAIDLog[[#This Row],[Impact]]))</f>
        <v/>
      </c>
      <c r="L73" s="51" t="str">
        <f aca="false">IF(RAIDLog[[#This Row],[Title]]="","",IF(RAIDLog[[#This Row],[Score]]&gt;=RAIDHighScore,"High",IF(RAIDLog[[#This Row],[Score]]&gt;=RAIDMediumScore,"Medium","Low")))</f>
        <v/>
      </c>
      <c r="M73" s="51" t="str">
        <f aca="false">IF(OR(RAIDLog[[#This Row],[Title]]="",N(RAIDLog[[#This Row],[Due]])=0),"",IF(AND(RAIDLog[[#This Row],[Status]]&lt;&gt;"Closed",RAIDLog[[#This Row],[Due]]&lt;StatusDate),"Overdue",""))</f>
        <v/>
      </c>
      <c r="N73" s="52"/>
      <c r="O73" s="30" t="str">
        <f aca="false">IF(N(RAIDLog[[#This Row],[Task UID]])=0,"",IFERROR(INDEX(tsk_Name,MATCH(RAIDLog[[#This Row],[Task UID]],tsk_UID,0)),"UID "&amp;RAIDLog[[#This Row],[Task UID]]&amp;" not found"))</f>
        <v/>
      </c>
      <c r="P73" s="31" t="str">
        <f aca="false">IF(N(RAIDLog[[#This Row],[Task UID]])=0,"",IFERROR(INDEX(tsk_FcFinish,MATCH(RAIDLog[[#This Row],[Task UID]],tsk_UID,0)),""))</f>
        <v/>
      </c>
      <c r="Q73" s="53"/>
      <c r="R73" s="53"/>
      <c r="S73" s="38" t="str">
        <f aca="false">IF(RAIDLog[[#This Row],[Title]]="","",RAIDLog[[#This Row],[Type]]&amp;" "&amp;RAIDLog[[#This Row],[Ref]]&amp;": "&amp;RAIDLog[[#This Row],[Title]])</f>
        <v/>
      </c>
      <c r="T73" s="38" t="str">
        <f aca="false">IF(AND(NOT(RAIDLog[[#This Row],[Title]]=""),RAIDLog[[#This Row],[Status]]&lt;&gt;"Closed"),RAIDLog[[#This Row],[Score]]+1-(ROW()-ROW(RAIDLog[[#Headers],[Ref]]))/100000,"")</f>
        <v/>
      </c>
    </row>
    <row r="74" customFormat="false" ht="15" hidden="false" customHeight="false" outlineLevel="0" collapsed="false">
      <c r="B74" s="52" t="n">
        <v>70</v>
      </c>
      <c r="C74" s="53"/>
      <c r="D74" s="53"/>
      <c r="E74" s="53"/>
      <c r="F74" s="7"/>
      <c r="G74" s="7"/>
      <c r="H74" s="52"/>
      <c r="I74" s="52"/>
      <c r="J74" s="52"/>
      <c r="K74" s="51" t="str">
        <f aca="false">IF(RAIDLog[[#This Row],[Title]]="","",IF(RAIDLog[[#This Row],[Type]]="Issue",5,N(RAIDLog[[#This Row],[Probability]]))*N(RAIDLog[[#This Row],[Impact]]))</f>
        <v/>
      </c>
      <c r="L74" s="51" t="str">
        <f aca="false">IF(RAIDLog[[#This Row],[Title]]="","",IF(RAIDLog[[#This Row],[Score]]&gt;=RAIDHighScore,"High",IF(RAIDLog[[#This Row],[Score]]&gt;=RAIDMediumScore,"Medium","Low")))</f>
        <v/>
      </c>
      <c r="M74" s="51" t="str">
        <f aca="false">IF(OR(RAIDLog[[#This Row],[Title]]="",N(RAIDLog[[#This Row],[Due]])=0),"",IF(AND(RAIDLog[[#This Row],[Status]]&lt;&gt;"Closed",RAIDLog[[#This Row],[Due]]&lt;StatusDate),"Overdue",""))</f>
        <v/>
      </c>
      <c r="N74" s="52"/>
      <c r="O74" s="30" t="str">
        <f aca="false">IF(N(RAIDLog[[#This Row],[Task UID]])=0,"",IFERROR(INDEX(tsk_Name,MATCH(RAIDLog[[#This Row],[Task UID]],tsk_UID,0)),"UID "&amp;RAIDLog[[#This Row],[Task UID]]&amp;" not found"))</f>
        <v/>
      </c>
      <c r="P74" s="31" t="str">
        <f aca="false">IF(N(RAIDLog[[#This Row],[Task UID]])=0,"",IFERROR(INDEX(tsk_FcFinish,MATCH(RAIDLog[[#This Row],[Task UID]],tsk_UID,0)),""))</f>
        <v/>
      </c>
      <c r="Q74" s="53"/>
      <c r="R74" s="53"/>
      <c r="S74" s="38" t="str">
        <f aca="false">IF(RAIDLog[[#This Row],[Title]]="","",RAIDLog[[#This Row],[Type]]&amp;" "&amp;RAIDLog[[#This Row],[Ref]]&amp;": "&amp;RAIDLog[[#This Row],[Title]])</f>
        <v/>
      </c>
      <c r="T74" s="38" t="str">
        <f aca="false">IF(AND(NOT(RAIDLog[[#This Row],[Title]]=""),RAIDLog[[#This Row],[Status]]&lt;&gt;"Closed"),RAIDLog[[#This Row],[Score]]+1-(ROW()-ROW(RAIDLog[[#Headers],[Ref]]))/100000,"")</f>
        <v/>
      </c>
    </row>
    <row r="75" customFormat="false" ht="15" hidden="false" customHeight="false" outlineLevel="0" collapsed="false">
      <c r="B75" s="52" t="n">
        <v>71</v>
      </c>
      <c r="C75" s="53"/>
      <c r="D75" s="53"/>
      <c r="E75" s="53"/>
      <c r="F75" s="7"/>
      <c r="G75" s="7"/>
      <c r="H75" s="52"/>
      <c r="I75" s="52"/>
      <c r="J75" s="52"/>
      <c r="K75" s="51" t="str">
        <f aca="false">IF(RAIDLog[[#This Row],[Title]]="","",IF(RAIDLog[[#This Row],[Type]]="Issue",5,N(RAIDLog[[#This Row],[Probability]]))*N(RAIDLog[[#This Row],[Impact]]))</f>
        <v/>
      </c>
      <c r="L75" s="51" t="str">
        <f aca="false">IF(RAIDLog[[#This Row],[Title]]="","",IF(RAIDLog[[#This Row],[Score]]&gt;=RAIDHighScore,"High",IF(RAIDLog[[#This Row],[Score]]&gt;=RAIDMediumScore,"Medium","Low")))</f>
        <v/>
      </c>
      <c r="M75" s="51" t="str">
        <f aca="false">IF(OR(RAIDLog[[#This Row],[Title]]="",N(RAIDLog[[#This Row],[Due]])=0),"",IF(AND(RAIDLog[[#This Row],[Status]]&lt;&gt;"Closed",RAIDLog[[#This Row],[Due]]&lt;StatusDate),"Overdue",""))</f>
        <v/>
      </c>
      <c r="N75" s="52"/>
      <c r="O75" s="30" t="str">
        <f aca="false">IF(N(RAIDLog[[#This Row],[Task UID]])=0,"",IFERROR(INDEX(tsk_Name,MATCH(RAIDLog[[#This Row],[Task UID]],tsk_UID,0)),"UID "&amp;RAIDLog[[#This Row],[Task UID]]&amp;" not found"))</f>
        <v/>
      </c>
      <c r="P75" s="31" t="str">
        <f aca="false">IF(N(RAIDLog[[#This Row],[Task UID]])=0,"",IFERROR(INDEX(tsk_FcFinish,MATCH(RAIDLog[[#This Row],[Task UID]],tsk_UID,0)),""))</f>
        <v/>
      </c>
      <c r="Q75" s="53"/>
      <c r="R75" s="53"/>
      <c r="S75" s="38" t="str">
        <f aca="false">IF(RAIDLog[[#This Row],[Title]]="","",RAIDLog[[#This Row],[Type]]&amp;" "&amp;RAIDLog[[#This Row],[Ref]]&amp;": "&amp;RAIDLog[[#This Row],[Title]])</f>
        <v/>
      </c>
      <c r="T75" s="38" t="str">
        <f aca="false">IF(AND(NOT(RAIDLog[[#This Row],[Title]]=""),RAIDLog[[#This Row],[Status]]&lt;&gt;"Closed"),RAIDLog[[#This Row],[Score]]+1-(ROW()-ROW(RAIDLog[[#Headers],[Ref]]))/100000,"")</f>
        <v/>
      </c>
    </row>
    <row r="76" customFormat="false" ht="15" hidden="false" customHeight="false" outlineLevel="0" collapsed="false">
      <c r="B76" s="52" t="n">
        <v>72</v>
      </c>
      <c r="C76" s="53"/>
      <c r="D76" s="53"/>
      <c r="E76" s="53"/>
      <c r="F76" s="7"/>
      <c r="G76" s="7"/>
      <c r="H76" s="52"/>
      <c r="I76" s="52"/>
      <c r="J76" s="52"/>
      <c r="K76" s="51" t="str">
        <f aca="false">IF(RAIDLog[[#This Row],[Title]]="","",IF(RAIDLog[[#This Row],[Type]]="Issue",5,N(RAIDLog[[#This Row],[Probability]]))*N(RAIDLog[[#This Row],[Impact]]))</f>
        <v/>
      </c>
      <c r="L76" s="51" t="str">
        <f aca="false">IF(RAIDLog[[#This Row],[Title]]="","",IF(RAIDLog[[#This Row],[Score]]&gt;=RAIDHighScore,"High",IF(RAIDLog[[#This Row],[Score]]&gt;=RAIDMediumScore,"Medium","Low")))</f>
        <v/>
      </c>
      <c r="M76" s="51" t="str">
        <f aca="false">IF(OR(RAIDLog[[#This Row],[Title]]="",N(RAIDLog[[#This Row],[Due]])=0),"",IF(AND(RAIDLog[[#This Row],[Status]]&lt;&gt;"Closed",RAIDLog[[#This Row],[Due]]&lt;StatusDate),"Overdue",""))</f>
        <v/>
      </c>
      <c r="N76" s="52"/>
      <c r="O76" s="30" t="str">
        <f aca="false">IF(N(RAIDLog[[#This Row],[Task UID]])=0,"",IFERROR(INDEX(tsk_Name,MATCH(RAIDLog[[#This Row],[Task UID]],tsk_UID,0)),"UID "&amp;RAIDLog[[#This Row],[Task UID]]&amp;" not found"))</f>
        <v/>
      </c>
      <c r="P76" s="31" t="str">
        <f aca="false">IF(N(RAIDLog[[#This Row],[Task UID]])=0,"",IFERROR(INDEX(tsk_FcFinish,MATCH(RAIDLog[[#This Row],[Task UID]],tsk_UID,0)),""))</f>
        <v/>
      </c>
      <c r="Q76" s="53"/>
      <c r="R76" s="53"/>
      <c r="S76" s="38" t="str">
        <f aca="false">IF(RAIDLog[[#This Row],[Title]]="","",RAIDLog[[#This Row],[Type]]&amp;" "&amp;RAIDLog[[#This Row],[Ref]]&amp;": "&amp;RAIDLog[[#This Row],[Title]])</f>
        <v/>
      </c>
      <c r="T76" s="38" t="str">
        <f aca="false">IF(AND(NOT(RAIDLog[[#This Row],[Title]]=""),RAIDLog[[#This Row],[Status]]&lt;&gt;"Closed"),RAIDLog[[#This Row],[Score]]+1-(ROW()-ROW(RAIDLog[[#Headers],[Ref]]))/100000,"")</f>
        <v/>
      </c>
    </row>
    <row r="77" customFormat="false" ht="15" hidden="false" customHeight="false" outlineLevel="0" collapsed="false">
      <c r="B77" s="52" t="n">
        <v>73</v>
      </c>
      <c r="C77" s="53"/>
      <c r="D77" s="53"/>
      <c r="E77" s="53"/>
      <c r="F77" s="7"/>
      <c r="G77" s="7"/>
      <c r="H77" s="52"/>
      <c r="I77" s="52"/>
      <c r="J77" s="52"/>
      <c r="K77" s="51" t="str">
        <f aca="false">IF(RAIDLog[[#This Row],[Title]]="","",IF(RAIDLog[[#This Row],[Type]]="Issue",5,N(RAIDLog[[#This Row],[Probability]]))*N(RAIDLog[[#This Row],[Impact]]))</f>
        <v/>
      </c>
      <c r="L77" s="51" t="str">
        <f aca="false">IF(RAIDLog[[#This Row],[Title]]="","",IF(RAIDLog[[#This Row],[Score]]&gt;=RAIDHighScore,"High",IF(RAIDLog[[#This Row],[Score]]&gt;=RAIDMediumScore,"Medium","Low")))</f>
        <v/>
      </c>
      <c r="M77" s="51" t="str">
        <f aca="false">IF(OR(RAIDLog[[#This Row],[Title]]="",N(RAIDLog[[#This Row],[Due]])=0),"",IF(AND(RAIDLog[[#This Row],[Status]]&lt;&gt;"Closed",RAIDLog[[#This Row],[Due]]&lt;StatusDate),"Overdue",""))</f>
        <v/>
      </c>
      <c r="N77" s="52"/>
      <c r="O77" s="30" t="str">
        <f aca="false">IF(N(RAIDLog[[#This Row],[Task UID]])=0,"",IFERROR(INDEX(tsk_Name,MATCH(RAIDLog[[#This Row],[Task UID]],tsk_UID,0)),"UID "&amp;RAIDLog[[#This Row],[Task UID]]&amp;" not found"))</f>
        <v/>
      </c>
      <c r="P77" s="31" t="str">
        <f aca="false">IF(N(RAIDLog[[#This Row],[Task UID]])=0,"",IFERROR(INDEX(tsk_FcFinish,MATCH(RAIDLog[[#This Row],[Task UID]],tsk_UID,0)),""))</f>
        <v/>
      </c>
      <c r="Q77" s="53"/>
      <c r="R77" s="53"/>
      <c r="S77" s="38" t="str">
        <f aca="false">IF(RAIDLog[[#This Row],[Title]]="","",RAIDLog[[#This Row],[Type]]&amp;" "&amp;RAIDLog[[#This Row],[Ref]]&amp;": "&amp;RAIDLog[[#This Row],[Title]])</f>
        <v/>
      </c>
      <c r="T77" s="38" t="str">
        <f aca="false">IF(AND(NOT(RAIDLog[[#This Row],[Title]]=""),RAIDLog[[#This Row],[Status]]&lt;&gt;"Closed"),RAIDLog[[#This Row],[Score]]+1-(ROW()-ROW(RAIDLog[[#Headers],[Ref]]))/100000,"")</f>
        <v/>
      </c>
    </row>
    <row r="78" customFormat="false" ht="15" hidden="false" customHeight="false" outlineLevel="0" collapsed="false">
      <c r="B78" s="52" t="n">
        <v>74</v>
      </c>
      <c r="C78" s="53"/>
      <c r="D78" s="53"/>
      <c r="E78" s="53"/>
      <c r="F78" s="7"/>
      <c r="G78" s="7"/>
      <c r="H78" s="52"/>
      <c r="I78" s="52"/>
      <c r="J78" s="52"/>
      <c r="K78" s="51" t="str">
        <f aca="false">IF(RAIDLog[[#This Row],[Title]]="","",IF(RAIDLog[[#This Row],[Type]]="Issue",5,N(RAIDLog[[#This Row],[Probability]]))*N(RAIDLog[[#This Row],[Impact]]))</f>
        <v/>
      </c>
      <c r="L78" s="51" t="str">
        <f aca="false">IF(RAIDLog[[#This Row],[Title]]="","",IF(RAIDLog[[#This Row],[Score]]&gt;=RAIDHighScore,"High",IF(RAIDLog[[#This Row],[Score]]&gt;=RAIDMediumScore,"Medium","Low")))</f>
        <v/>
      </c>
      <c r="M78" s="51" t="str">
        <f aca="false">IF(OR(RAIDLog[[#This Row],[Title]]="",N(RAIDLog[[#This Row],[Due]])=0),"",IF(AND(RAIDLog[[#This Row],[Status]]&lt;&gt;"Closed",RAIDLog[[#This Row],[Due]]&lt;StatusDate),"Overdue",""))</f>
        <v/>
      </c>
      <c r="N78" s="52"/>
      <c r="O78" s="30" t="str">
        <f aca="false">IF(N(RAIDLog[[#This Row],[Task UID]])=0,"",IFERROR(INDEX(tsk_Name,MATCH(RAIDLog[[#This Row],[Task UID]],tsk_UID,0)),"UID "&amp;RAIDLog[[#This Row],[Task UID]]&amp;" not found"))</f>
        <v/>
      </c>
      <c r="P78" s="31" t="str">
        <f aca="false">IF(N(RAIDLog[[#This Row],[Task UID]])=0,"",IFERROR(INDEX(tsk_FcFinish,MATCH(RAIDLog[[#This Row],[Task UID]],tsk_UID,0)),""))</f>
        <v/>
      </c>
      <c r="Q78" s="53"/>
      <c r="R78" s="53"/>
      <c r="S78" s="38" t="str">
        <f aca="false">IF(RAIDLog[[#This Row],[Title]]="","",RAIDLog[[#This Row],[Type]]&amp;" "&amp;RAIDLog[[#This Row],[Ref]]&amp;": "&amp;RAIDLog[[#This Row],[Title]])</f>
        <v/>
      </c>
      <c r="T78" s="38" t="str">
        <f aca="false">IF(AND(NOT(RAIDLog[[#This Row],[Title]]=""),RAIDLog[[#This Row],[Status]]&lt;&gt;"Closed"),RAIDLog[[#This Row],[Score]]+1-(ROW()-ROW(RAIDLog[[#Headers],[Ref]]))/100000,"")</f>
        <v/>
      </c>
    </row>
    <row r="79" customFormat="false" ht="15" hidden="false" customHeight="false" outlineLevel="0" collapsed="false">
      <c r="B79" s="52" t="n">
        <v>75</v>
      </c>
      <c r="C79" s="53"/>
      <c r="D79" s="53"/>
      <c r="E79" s="53"/>
      <c r="F79" s="7"/>
      <c r="G79" s="7"/>
      <c r="H79" s="52"/>
      <c r="I79" s="52"/>
      <c r="J79" s="52"/>
      <c r="K79" s="51" t="str">
        <f aca="false">IF(RAIDLog[[#This Row],[Title]]="","",IF(RAIDLog[[#This Row],[Type]]="Issue",5,N(RAIDLog[[#This Row],[Probability]]))*N(RAIDLog[[#This Row],[Impact]]))</f>
        <v/>
      </c>
      <c r="L79" s="51" t="str">
        <f aca="false">IF(RAIDLog[[#This Row],[Title]]="","",IF(RAIDLog[[#This Row],[Score]]&gt;=RAIDHighScore,"High",IF(RAIDLog[[#This Row],[Score]]&gt;=RAIDMediumScore,"Medium","Low")))</f>
        <v/>
      </c>
      <c r="M79" s="51" t="str">
        <f aca="false">IF(OR(RAIDLog[[#This Row],[Title]]="",N(RAIDLog[[#This Row],[Due]])=0),"",IF(AND(RAIDLog[[#This Row],[Status]]&lt;&gt;"Closed",RAIDLog[[#This Row],[Due]]&lt;StatusDate),"Overdue",""))</f>
        <v/>
      </c>
      <c r="N79" s="52"/>
      <c r="O79" s="30" t="str">
        <f aca="false">IF(N(RAIDLog[[#This Row],[Task UID]])=0,"",IFERROR(INDEX(tsk_Name,MATCH(RAIDLog[[#This Row],[Task UID]],tsk_UID,0)),"UID "&amp;RAIDLog[[#This Row],[Task UID]]&amp;" not found"))</f>
        <v/>
      </c>
      <c r="P79" s="31" t="str">
        <f aca="false">IF(N(RAIDLog[[#This Row],[Task UID]])=0,"",IFERROR(INDEX(tsk_FcFinish,MATCH(RAIDLog[[#This Row],[Task UID]],tsk_UID,0)),""))</f>
        <v/>
      </c>
      <c r="Q79" s="53"/>
      <c r="R79" s="53"/>
      <c r="S79" s="38" t="str">
        <f aca="false">IF(RAIDLog[[#This Row],[Title]]="","",RAIDLog[[#This Row],[Type]]&amp;" "&amp;RAIDLog[[#This Row],[Ref]]&amp;": "&amp;RAIDLog[[#This Row],[Title]])</f>
        <v/>
      </c>
      <c r="T79" s="38" t="str">
        <f aca="false">IF(AND(NOT(RAIDLog[[#This Row],[Title]]=""),RAIDLog[[#This Row],[Status]]&lt;&gt;"Closed"),RAIDLog[[#This Row],[Score]]+1-(ROW()-ROW(RAIDLog[[#Headers],[Ref]]))/100000,"")</f>
        <v/>
      </c>
    </row>
    <row r="80" customFormat="false" ht="15" hidden="false" customHeight="false" outlineLevel="0" collapsed="false">
      <c r="B80" s="52" t="n">
        <v>76</v>
      </c>
      <c r="C80" s="53"/>
      <c r="D80" s="53"/>
      <c r="E80" s="53"/>
      <c r="F80" s="7"/>
      <c r="G80" s="7"/>
      <c r="H80" s="52"/>
      <c r="I80" s="52"/>
      <c r="J80" s="52"/>
      <c r="K80" s="51" t="str">
        <f aca="false">IF(RAIDLog[[#This Row],[Title]]="","",IF(RAIDLog[[#This Row],[Type]]="Issue",5,N(RAIDLog[[#This Row],[Probability]]))*N(RAIDLog[[#This Row],[Impact]]))</f>
        <v/>
      </c>
      <c r="L80" s="51" t="str">
        <f aca="false">IF(RAIDLog[[#This Row],[Title]]="","",IF(RAIDLog[[#This Row],[Score]]&gt;=RAIDHighScore,"High",IF(RAIDLog[[#This Row],[Score]]&gt;=RAIDMediumScore,"Medium","Low")))</f>
        <v/>
      </c>
      <c r="M80" s="51" t="str">
        <f aca="false">IF(OR(RAIDLog[[#This Row],[Title]]="",N(RAIDLog[[#This Row],[Due]])=0),"",IF(AND(RAIDLog[[#This Row],[Status]]&lt;&gt;"Closed",RAIDLog[[#This Row],[Due]]&lt;StatusDate),"Overdue",""))</f>
        <v/>
      </c>
      <c r="N80" s="52"/>
      <c r="O80" s="30" t="str">
        <f aca="false">IF(N(RAIDLog[[#This Row],[Task UID]])=0,"",IFERROR(INDEX(tsk_Name,MATCH(RAIDLog[[#This Row],[Task UID]],tsk_UID,0)),"UID "&amp;RAIDLog[[#This Row],[Task UID]]&amp;" not found"))</f>
        <v/>
      </c>
      <c r="P80" s="31" t="str">
        <f aca="false">IF(N(RAIDLog[[#This Row],[Task UID]])=0,"",IFERROR(INDEX(tsk_FcFinish,MATCH(RAIDLog[[#This Row],[Task UID]],tsk_UID,0)),""))</f>
        <v/>
      </c>
      <c r="Q80" s="53"/>
      <c r="R80" s="53"/>
      <c r="S80" s="38" t="str">
        <f aca="false">IF(RAIDLog[[#This Row],[Title]]="","",RAIDLog[[#This Row],[Type]]&amp;" "&amp;RAIDLog[[#This Row],[Ref]]&amp;": "&amp;RAIDLog[[#This Row],[Title]])</f>
        <v/>
      </c>
      <c r="T80" s="38" t="str">
        <f aca="false">IF(AND(NOT(RAIDLog[[#This Row],[Title]]=""),RAIDLog[[#This Row],[Status]]&lt;&gt;"Closed"),RAIDLog[[#This Row],[Score]]+1-(ROW()-ROW(RAIDLog[[#Headers],[Ref]]))/100000,"")</f>
        <v/>
      </c>
    </row>
    <row r="81" customFormat="false" ht="15" hidden="false" customHeight="false" outlineLevel="0" collapsed="false">
      <c r="B81" s="52" t="n">
        <v>77</v>
      </c>
      <c r="C81" s="53"/>
      <c r="D81" s="53"/>
      <c r="E81" s="53"/>
      <c r="F81" s="7"/>
      <c r="G81" s="7"/>
      <c r="H81" s="52"/>
      <c r="I81" s="52"/>
      <c r="J81" s="52"/>
      <c r="K81" s="51" t="str">
        <f aca="false">IF(RAIDLog[[#This Row],[Title]]="","",IF(RAIDLog[[#This Row],[Type]]="Issue",5,N(RAIDLog[[#This Row],[Probability]]))*N(RAIDLog[[#This Row],[Impact]]))</f>
        <v/>
      </c>
      <c r="L81" s="51" t="str">
        <f aca="false">IF(RAIDLog[[#This Row],[Title]]="","",IF(RAIDLog[[#This Row],[Score]]&gt;=RAIDHighScore,"High",IF(RAIDLog[[#This Row],[Score]]&gt;=RAIDMediumScore,"Medium","Low")))</f>
        <v/>
      </c>
      <c r="M81" s="51" t="str">
        <f aca="false">IF(OR(RAIDLog[[#This Row],[Title]]="",N(RAIDLog[[#This Row],[Due]])=0),"",IF(AND(RAIDLog[[#This Row],[Status]]&lt;&gt;"Closed",RAIDLog[[#This Row],[Due]]&lt;StatusDate),"Overdue",""))</f>
        <v/>
      </c>
      <c r="N81" s="52"/>
      <c r="O81" s="30" t="str">
        <f aca="false">IF(N(RAIDLog[[#This Row],[Task UID]])=0,"",IFERROR(INDEX(tsk_Name,MATCH(RAIDLog[[#This Row],[Task UID]],tsk_UID,0)),"UID "&amp;RAIDLog[[#This Row],[Task UID]]&amp;" not found"))</f>
        <v/>
      </c>
      <c r="P81" s="31" t="str">
        <f aca="false">IF(N(RAIDLog[[#This Row],[Task UID]])=0,"",IFERROR(INDEX(tsk_FcFinish,MATCH(RAIDLog[[#This Row],[Task UID]],tsk_UID,0)),""))</f>
        <v/>
      </c>
      <c r="Q81" s="53"/>
      <c r="R81" s="53"/>
      <c r="S81" s="38" t="str">
        <f aca="false">IF(RAIDLog[[#This Row],[Title]]="","",RAIDLog[[#This Row],[Type]]&amp;" "&amp;RAIDLog[[#This Row],[Ref]]&amp;": "&amp;RAIDLog[[#This Row],[Title]])</f>
        <v/>
      </c>
      <c r="T81" s="38" t="str">
        <f aca="false">IF(AND(NOT(RAIDLog[[#This Row],[Title]]=""),RAIDLog[[#This Row],[Status]]&lt;&gt;"Closed"),RAIDLog[[#This Row],[Score]]+1-(ROW()-ROW(RAIDLog[[#Headers],[Ref]]))/100000,"")</f>
        <v/>
      </c>
    </row>
    <row r="82" customFormat="false" ht="15" hidden="false" customHeight="false" outlineLevel="0" collapsed="false">
      <c r="B82" s="52" t="n">
        <v>78</v>
      </c>
      <c r="C82" s="53"/>
      <c r="D82" s="53"/>
      <c r="E82" s="53"/>
      <c r="F82" s="7"/>
      <c r="G82" s="7"/>
      <c r="H82" s="52"/>
      <c r="I82" s="52"/>
      <c r="J82" s="52"/>
      <c r="K82" s="51" t="str">
        <f aca="false">IF(RAIDLog[[#This Row],[Title]]="","",IF(RAIDLog[[#This Row],[Type]]="Issue",5,N(RAIDLog[[#This Row],[Probability]]))*N(RAIDLog[[#This Row],[Impact]]))</f>
        <v/>
      </c>
      <c r="L82" s="51" t="str">
        <f aca="false">IF(RAIDLog[[#This Row],[Title]]="","",IF(RAIDLog[[#This Row],[Score]]&gt;=RAIDHighScore,"High",IF(RAIDLog[[#This Row],[Score]]&gt;=RAIDMediumScore,"Medium","Low")))</f>
        <v/>
      </c>
      <c r="M82" s="51" t="str">
        <f aca="false">IF(OR(RAIDLog[[#This Row],[Title]]="",N(RAIDLog[[#This Row],[Due]])=0),"",IF(AND(RAIDLog[[#This Row],[Status]]&lt;&gt;"Closed",RAIDLog[[#This Row],[Due]]&lt;StatusDate),"Overdue",""))</f>
        <v/>
      </c>
      <c r="N82" s="52"/>
      <c r="O82" s="30" t="str">
        <f aca="false">IF(N(RAIDLog[[#This Row],[Task UID]])=0,"",IFERROR(INDEX(tsk_Name,MATCH(RAIDLog[[#This Row],[Task UID]],tsk_UID,0)),"UID "&amp;RAIDLog[[#This Row],[Task UID]]&amp;" not found"))</f>
        <v/>
      </c>
      <c r="P82" s="31" t="str">
        <f aca="false">IF(N(RAIDLog[[#This Row],[Task UID]])=0,"",IFERROR(INDEX(tsk_FcFinish,MATCH(RAIDLog[[#This Row],[Task UID]],tsk_UID,0)),""))</f>
        <v/>
      </c>
      <c r="Q82" s="53"/>
      <c r="R82" s="53"/>
      <c r="S82" s="38" t="str">
        <f aca="false">IF(RAIDLog[[#This Row],[Title]]="","",RAIDLog[[#This Row],[Type]]&amp;" "&amp;RAIDLog[[#This Row],[Ref]]&amp;": "&amp;RAIDLog[[#This Row],[Title]])</f>
        <v/>
      </c>
      <c r="T82" s="38" t="str">
        <f aca="false">IF(AND(NOT(RAIDLog[[#This Row],[Title]]=""),RAIDLog[[#This Row],[Status]]&lt;&gt;"Closed"),RAIDLog[[#This Row],[Score]]+1-(ROW()-ROW(RAIDLog[[#Headers],[Ref]]))/100000,"")</f>
        <v/>
      </c>
    </row>
    <row r="83" customFormat="false" ht="15" hidden="false" customHeight="false" outlineLevel="0" collapsed="false">
      <c r="B83" s="52" t="n">
        <v>79</v>
      </c>
      <c r="C83" s="53"/>
      <c r="D83" s="53"/>
      <c r="E83" s="53"/>
      <c r="F83" s="7"/>
      <c r="G83" s="7"/>
      <c r="H83" s="52"/>
      <c r="I83" s="52"/>
      <c r="J83" s="52"/>
      <c r="K83" s="51" t="str">
        <f aca="false">IF(RAIDLog[[#This Row],[Title]]="","",IF(RAIDLog[[#This Row],[Type]]="Issue",5,N(RAIDLog[[#This Row],[Probability]]))*N(RAIDLog[[#This Row],[Impact]]))</f>
        <v/>
      </c>
      <c r="L83" s="51" t="str">
        <f aca="false">IF(RAIDLog[[#This Row],[Title]]="","",IF(RAIDLog[[#This Row],[Score]]&gt;=RAIDHighScore,"High",IF(RAIDLog[[#This Row],[Score]]&gt;=RAIDMediumScore,"Medium","Low")))</f>
        <v/>
      </c>
      <c r="M83" s="51" t="str">
        <f aca="false">IF(OR(RAIDLog[[#This Row],[Title]]="",N(RAIDLog[[#This Row],[Due]])=0),"",IF(AND(RAIDLog[[#This Row],[Status]]&lt;&gt;"Closed",RAIDLog[[#This Row],[Due]]&lt;StatusDate),"Overdue",""))</f>
        <v/>
      </c>
      <c r="N83" s="52"/>
      <c r="O83" s="30" t="str">
        <f aca="false">IF(N(RAIDLog[[#This Row],[Task UID]])=0,"",IFERROR(INDEX(tsk_Name,MATCH(RAIDLog[[#This Row],[Task UID]],tsk_UID,0)),"UID "&amp;RAIDLog[[#This Row],[Task UID]]&amp;" not found"))</f>
        <v/>
      </c>
      <c r="P83" s="31" t="str">
        <f aca="false">IF(N(RAIDLog[[#This Row],[Task UID]])=0,"",IFERROR(INDEX(tsk_FcFinish,MATCH(RAIDLog[[#This Row],[Task UID]],tsk_UID,0)),""))</f>
        <v/>
      </c>
      <c r="Q83" s="53"/>
      <c r="R83" s="53"/>
      <c r="S83" s="38" t="str">
        <f aca="false">IF(RAIDLog[[#This Row],[Title]]="","",RAIDLog[[#This Row],[Type]]&amp;" "&amp;RAIDLog[[#This Row],[Ref]]&amp;": "&amp;RAIDLog[[#This Row],[Title]])</f>
        <v/>
      </c>
      <c r="T83" s="38" t="str">
        <f aca="false">IF(AND(NOT(RAIDLog[[#This Row],[Title]]=""),RAIDLog[[#This Row],[Status]]&lt;&gt;"Closed"),RAIDLog[[#This Row],[Score]]+1-(ROW()-ROW(RAIDLog[[#Headers],[Ref]]))/100000,"")</f>
        <v/>
      </c>
    </row>
    <row r="84" customFormat="false" ht="15" hidden="false" customHeight="false" outlineLevel="0" collapsed="false">
      <c r="B84" s="52" t="n">
        <v>80</v>
      </c>
      <c r="C84" s="53"/>
      <c r="D84" s="53"/>
      <c r="E84" s="53"/>
      <c r="F84" s="7"/>
      <c r="G84" s="7"/>
      <c r="H84" s="52"/>
      <c r="I84" s="52"/>
      <c r="J84" s="52"/>
      <c r="K84" s="51" t="str">
        <f aca="false">IF(RAIDLog[[#This Row],[Title]]="","",IF(RAIDLog[[#This Row],[Type]]="Issue",5,N(RAIDLog[[#This Row],[Probability]]))*N(RAIDLog[[#This Row],[Impact]]))</f>
        <v/>
      </c>
      <c r="L84" s="51" t="str">
        <f aca="false">IF(RAIDLog[[#This Row],[Title]]="","",IF(RAIDLog[[#This Row],[Score]]&gt;=RAIDHighScore,"High",IF(RAIDLog[[#This Row],[Score]]&gt;=RAIDMediumScore,"Medium","Low")))</f>
        <v/>
      </c>
      <c r="M84" s="51" t="str">
        <f aca="false">IF(OR(RAIDLog[[#This Row],[Title]]="",N(RAIDLog[[#This Row],[Due]])=0),"",IF(AND(RAIDLog[[#This Row],[Status]]&lt;&gt;"Closed",RAIDLog[[#This Row],[Due]]&lt;StatusDate),"Overdue",""))</f>
        <v/>
      </c>
      <c r="N84" s="52"/>
      <c r="O84" s="30" t="str">
        <f aca="false">IF(N(RAIDLog[[#This Row],[Task UID]])=0,"",IFERROR(INDEX(tsk_Name,MATCH(RAIDLog[[#This Row],[Task UID]],tsk_UID,0)),"UID "&amp;RAIDLog[[#This Row],[Task UID]]&amp;" not found"))</f>
        <v/>
      </c>
      <c r="P84" s="31" t="str">
        <f aca="false">IF(N(RAIDLog[[#This Row],[Task UID]])=0,"",IFERROR(INDEX(tsk_FcFinish,MATCH(RAIDLog[[#This Row],[Task UID]],tsk_UID,0)),""))</f>
        <v/>
      </c>
      <c r="Q84" s="53"/>
      <c r="R84" s="53"/>
      <c r="S84" s="38" t="str">
        <f aca="false">IF(RAIDLog[[#This Row],[Title]]="","",RAIDLog[[#This Row],[Type]]&amp;" "&amp;RAIDLog[[#This Row],[Ref]]&amp;": "&amp;RAIDLog[[#This Row],[Title]])</f>
        <v/>
      </c>
      <c r="T84" s="38" t="str">
        <f aca="false">IF(AND(NOT(RAIDLog[[#This Row],[Title]]=""),RAIDLog[[#This Row],[Status]]&lt;&gt;"Closed"),RAIDLog[[#This Row],[Score]]+1-(ROW()-ROW(RAIDLog[[#Headers],[Ref]]))/100000,"")</f>
        <v/>
      </c>
    </row>
    <row r="85" customFormat="false" ht="15" hidden="false" customHeight="false" outlineLevel="0" collapsed="false">
      <c r="B85" s="52" t="n">
        <v>81</v>
      </c>
      <c r="C85" s="53"/>
      <c r="D85" s="53"/>
      <c r="E85" s="53"/>
      <c r="F85" s="7"/>
      <c r="G85" s="7"/>
      <c r="H85" s="52"/>
      <c r="I85" s="52"/>
      <c r="J85" s="52"/>
      <c r="K85" s="51" t="str">
        <f aca="false">IF(RAIDLog[[#This Row],[Title]]="","",IF(RAIDLog[[#This Row],[Type]]="Issue",5,N(RAIDLog[[#This Row],[Probability]]))*N(RAIDLog[[#This Row],[Impact]]))</f>
        <v/>
      </c>
      <c r="L85" s="51" t="str">
        <f aca="false">IF(RAIDLog[[#This Row],[Title]]="","",IF(RAIDLog[[#This Row],[Score]]&gt;=RAIDHighScore,"High",IF(RAIDLog[[#This Row],[Score]]&gt;=RAIDMediumScore,"Medium","Low")))</f>
        <v/>
      </c>
      <c r="M85" s="51" t="str">
        <f aca="false">IF(OR(RAIDLog[[#This Row],[Title]]="",N(RAIDLog[[#This Row],[Due]])=0),"",IF(AND(RAIDLog[[#This Row],[Status]]&lt;&gt;"Closed",RAIDLog[[#This Row],[Due]]&lt;StatusDate),"Overdue",""))</f>
        <v/>
      </c>
      <c r="N85" s="52"/>
      <c r="O85" s="30" t="str">
        <f aca="false">IF(N(RAIDLog[[#This Row],[Task UID]])=0,"",IFERROR(INDEX(tsk_Name,MATCH(RAIDLog[[#This Row],[Task UID]],tsk_UID,0)),"UID "&amp;RAIDLog[[#This Row],[Task UID]]&amp;" not found"))</f>
        <v/>
      </c>
      <c r="P85" s="31" t="str">
        <f aca="false">IF(N(RAIDLog[[#This Row],[Task UID]])=0,"",IFERROR(INDEX(tsk_FcFinish,MATCH(RAIDLog[[#This Row],[Task UID]],tsk_UID,0)),""))</f>
        <v/>
      </c>
      <c r="Q85" s="53"/>
      <c r="R85" s="53"/>
      <c r="S85" s="38" t="str">
        <f aca="false">IF(RAIDLog[[#This Row],[Title]]="","",RAIDLog[[#This Row],[Type]]&amp;" "&amp;RAIDLog[[#This Row],[Ref]]&amp;": "&amp;RAIDLog[[#This Row],[Title]])</f>
        <v/>
      </c>
      <c r="T85" s="38" t="str">
        <f aca="false">IF(AND(NOT(RAIDLog[[#This Row],[Title]]=""),RAIDLog[[#This Row],[Status]]&lt;&gt;"Closed"),RAIDLog[[#This Row],[Score]]+1-(ROW()-ROW(RAIDLog[[#Headers],[Ref]]))/100000,"")</f>
        <v/>
      </c>
    </row>
    <row r="86" customFormat="false" ht="15" hidden="false" customHeight="false" outlineLevel="0" collapsed="false">
      <c r="B86" s="52" t="n">
        <v>82</v>
      </c>
      <c r="C86" s="53"/>
      <c r="D86" s="53"/>
      <c r="E86" s="53"/>
      <c r="F86" s="7"/>
      <c r="G86" s="7"/>
      <c r="H86" s="52"/>
      <c r="I86" s="52"/>
      <c r="J86" s="52"/>
      <c r="K86" s="51" t="str">
        <f aca="false">IF(RAIDLog[[#This Row],[Title]]="","",IF(RAIDLog[[#This Row],[Type]]="Issue",5,N(RAIDLog[[#This Row],[Probability]]))*N(RAIDLog[[#This Row],[Impact]]))</f>
        <v/>
      </c>
      <c r="L86" s="51" t="str">
        <f aca="false">IF(RAIDLog[[#This Row],[Title]]="","",IF(RAIDLog[[#This Row],[Score]]&gt;=RAIDHighScore,"High",IF(RAIDLog[[#This Row],[Score]]&gt;=RAIDMediumScore,"Medium","Low")))</f>
        <v/>
      </c>
      <c r="M86" s="51" t="str">
        <f aca="false">IF(OR(RAIDLog[[#This Row],[Title]]="",N(RAIDLog[[#This Row],[Due]])=0),"",IF(AND(RAIDLog[[#This Row],[Status]]&lt;&gt;"Closed",RAIDLog[[#This Row],[Due]]&lt;StatusDate),"Overdue",""))</f>
        <v/>
      </c>
      <c r="N86" s="52"/>
      <c r="O86" s="30" t="str">
        <f aca="false">IF(N(RAIDLog[[#This Row],[Task UID]])=0,"",IFERROR(INDEX(tsk_Name,MATCH(RAIDLog[[#This Row],[Task UID]],tsk_UID,0)),"UID "&amp;RAIDLog[[#This Row],[Task UID]]&amp;" not found"))</f>
        <v/>
      </c>
      <c r="P86" s="31" t="str">
        <f aca="false">IF(N(RAIDLog[[#This Row],[Task UID]])=0,"",IFERROR(INDEX(tsk_FcFinish,MATCH(RAIDLog[[#This Row],[Task UID]],tsk_UID,0)),""))</f>
        <v/>
      </c>
      <c r="Q86" s="53"/>
      <c r="R86" s="53"/>
      <c r="S86" s="38" t="str">
        <f aca="false">IF(RAIDLog[[#This Row],[Title]]="","",RAIDLog[[#This Row],[Type]]&amp;" "&amp;RAIDLog[[#This Row],[Ref]]&amp;": "&amp;RAIDLog[[#This Row],[Title]])</f>
        <v/>
      </c>
      <c r="T86" s="38" t="str">
        <f aca="false">IF(AND(NOT(RAIDLog[[#This Row],[Title]]=""),RAIDLog[[#This Row],[Status]]&lt;&gt;"Closed"),RAIDLog[[#This Row],[Score]]+1-(ROW()-ROW(RAIDLog[[#Headers],[Ref]]))/100000,"")</f>
        <v/>
      </c>
    </row>
    <row r="87" customFormat="false" ht="15" hidden="false" customHeight="false" outlineLevel="0" collapsed="false">
      <c r="B87" s="52" t="n">
        <v>83</v>
      </c>
      <c r="C87" s="53"/>
      <c r="D87" s="53"/>
      <c r="E87" s="53"/>
      <c r="F87" s="7"/>
      <c r="G87" s="7"/>
      <c r="H87" s="52"/>
      <c r="I87" s="52"/>
      <c r="J87" s="52"/>
      <c r="K87" s="51" t="str">
        <f aca="false">IF(RAIDLog[[#This Row],[Title]]="","",IF(RAIDLog[[#This Row],[Type]]="Issue",5,N(RAIDLog[[#This Row],[Probability]]))*N(RAIDLog[[#This Row],[Impact]]))</f>
        <v/>
      </c>
      <c r="L87" s="51" t="str">
        <f aca="false">IF(RAIDLog[[#This Row],[Title]]="","",IF(RAIDLog[[#This Row],[Score]]&gt;=RAIDHighScore,"High",IF(RAIDLog[[#This Row],[Score]]&gt;=RAIDMediumScore,"Medium","Low")))</f>
        <v/>
      </c>
      <c r="M87" s="51" t="str">
        <f aca="false">IF(OR(RAIDLog[[#This Row],[Title]]="",N(RAIDLog[[#This Row],[Due]])=0),"",IF(AND(RAIDLog[[#This Row],[Status]]&lt;&gt;"Closed",RAIDLog[[#This Row],[Due]]&lt;StatusDate),"Overdue",""))</f>
        <v/>
      </c>
      <c r="N87" s="52"/>
      <c r="O87" s="30" t="str">
        <f aca="false">IF(N(RAIDLog[[#This Row],[Task UID]])=0,"",IFERROR(INDEX(tsk_Name,MATCH(RAIDLog[[#This Row],[Task UID]],tsk_UID,0)),"UID "&amp;RAIDLog[[#This Row],[Task UID]]&amp;" not found"))</f>
        <v/>
      </c>
      <c r="P87" s="31" t="str">
        <f aca="false">IF(N(RAIDLog[[#This Row],[Task UID]])=0,"",IFERROR(INDEX(tsk_FcFinish,MATCH(RAIDLog[[#This Row],[Task UID]],tsk_UID,0)),""))</f>
        <v/>
      </c>
      <c r="Q87" s="53"/>
      <c r="R87" s="53"/>
      <c r="S87" s="38" t="str">
        <f aca="false">IF(RAIDLog[[#This Row],[Title]]="","",RAIDLog[[#This Row],[Type]]&amp;" "&amp;RAIDLog[[#This Row],[Ref]]&amp;": "&amp;RAIDLog[[#This Row],[Title]])</f>
        <v/>
      </c>
      <c r="T87" s="38" t="str">
        <f aca="false">IF(AND(NOT(RAIDLog[[#This Row],[Title]]=""),RAIDLog[[#This Row],[Status]]&lt;&gt;"Closed"),RAIDLog[[#This Row],[Score]]+1-(ROW()-ROW(RAIDLog[[#Headers],[Ref]]))/100000,"")</f>
        <v/>
      </c>
    </row>
    <row r="88" customFormat="false" ht="15" hidden="false" customHeight="false" outlineLevel="0" collapsed="false">
      <c r="B88" s="52" t="n">
        <v>84</v>
      </c>
      <c r="C88" s="53"/>
      <c r="D88" s="53"/>
      <c r="E88" s="53"/>
      <c r="F88" s="7"/>
      <c r="G88" s="7"/>
      <c r="H88" s="52"/>
      <c r="I88" s="52"/>
      <c r="J88" s="52"/>
      <c r="K88" s="51" t="str">
        <f aca="false">IF(RAIDLog[[#This Row],[Title]]="","",IF(RAIDLog[[#This Row],[Type]]="Issue",5,N(RAIDLog[[#This Row],[Probability]]))*N(RAIDLog[[#This Row],[Impact]]))</f>
        <v/>
      </c>
      <c r="L88" s="51" t="str">
        <f aca="false">IF(RAIDLog[[#This Row],[Title]]="","",IF(RAIDLog[[#This Row],[Score]]&gt;=RAIDHighScore,"High",IF(RAIDLog[[#This Row],[Score]]&gt;=RAIDMediumScore,"Medium","Low")))</f>
        <v/>
      </c>
      <c r="M88" s="51" t="str">
        <f aca="false">IF(OR(RAIDLog[[#This Row],[Title]]="",N(RAIDLog[[#This Row],[Due]])=0),"",IF(AND(RAIDLog[[#This Row],[Status]]&lt;&gt;"Closed",RAIDLog[[#This Row],[Due]]&lt;StatusDate),"Overdue",""))</f>
        <v/>
      </c>
      <c r="N88" s="52"/>
      <c r="O88" s="30" t="str">
        <f aca="false">IF(N(RAIDLog[[#This Row],[Task UID]])=0,"",IFERROR(INDEX(tsk_Name,MATCH(RAIDLog[[#This Row],[Task UID]],tsk_UID,0)),"UID "&amp;RAIDLog[[#This Row],[Task UID]]&amp;" not found"))</f>
        <v/>
      </c>
      <c r="P88" s="31" t="str">
        <f aca="false">IF(N(RAIDLog[[#This Row],[Task UID]])=0,"",IFERROR(INDEX(tsk_FcFinish,MATCH(RAIDLog[[#This Row],[Task UID]],tsk_UID,0)),""))</f>
        <v/>
      </c>
      <c r="Q88" s="53"/>
      <c r="R88" s="53"/>
      <c r="S88" s="38" t="str">
        <f aca="false">IF(RAIDLog[[#This Row],[Title]]="","",RAIDLog[[#This Row],[Type]]&amp;" "&amp;RAIDLog[[#This Row],[Ref]]&amp;": "&amp;RAIDLog[[#This Row],[Title]])</f>
        <v/>
      </c>
      <c r="T88" s="38" t="str">
        <f aca="false">IF(AND(NOT(RAIDLog[[#This Row],[Title]]=""),RAIDLog[[#This Row],[Status]]&lt;&gt;"Closed"),RAIDLog[[#This Row],[Score]]+1-(ROW()-ROW(RAIDLog[[#Headers],[Ref]]))/100000,"")</f>
        <v/>
      </c>
    </row>
    <row r="89" customFormat="false" ht="15" hidden="false" customHeight="false" outlineLevel="0" collapsed="false">
      <c r="B89" s="52" t="n">
        <v>85</v>
      </c>
      <c r="C89" s="53"/>
      <c r="D89" s="53"/>
      <c r="E89" s="53"/>
      <c r="F89" s="7"/>
      <c r="G89" s="7"/>
      <c r="H89" s="52"/>
      <c r="I89" s="52"/>
      <c r="J89" s="52"/>
      <c r="K89" s="51" t="str">
        <f aca="false">IF(RAIDLog[[#This Row],[Title]]="","",IF(RAIDLog[[#This Row],[Type]]="Issue",5,N(RAIDLog[[#This Row],[Probability]]))*N(RAIDLog[[#This Row],[Impact]]))</f>
        <v/>
      </c>
      <c r="L89" s="51" t="str">
        <f aca="false">IF(RAIDLog[[#This Row],[Title]]="","",IF(RAIDLog[[#This Row],[Score]]&gt;=RAIDHighScore,"High",IF(RAIDLog[[#This Row],[Score]]&gt;=RAIDMediumScore,"Medium","Low")))</f>
        <v/>
      </c>
      <c r="M89" s="51" t="str">
        <f aca="false">IF(OR(RAIDLog[[#This Row],[Title]]="",N(RAIDLog[[#This Row],[Due]])=0),"",IF(AND(RAIDLog[[#This Row],[Status]]&lt;&gt;"Closed",RAIDLog[[#This Row],[Due]]&lt;StatusDate),"Overdue",""))</f>
        <v/>
      </c>
      <c r="N89" s="52"/>
      <c r="O89" s="30" t="str">
        <f aca="false">IF(N(RAIDLog[[#This Row],[Task UID]])=0,"",IFERROR(INDEX(tsk_Name,MATCH(RAIDLog[[#This Row],[Task UID]],tsk_UID,0)),"UID "&amp;RAIDLog[[#This Row],[Task UID]]&amp;" not found"))</f>
        <v/>
      </c>
      <c r="P89" s="31" t="str">
        <f aca="false">IF(N(RAIDLog[[#This Row],[Task UID]])=0,"",IFERROR(INDEX(tsk_FcFinish,MATCH(RAIDLog[[#This Row],[Task UID]],tsk_UID,0)),""))</f>
        <v/>
      </c>
      <c r="Q89" s="53"/>
      <c r="R89" s="53"/>
      <c r="S89" s="38" t="str">
        <f aca="false">IF(RAIDLog[[#This Row],[Title]]="","",RAIDLog[[#This Row],[Type]]&amp;" "&amp;RAIDLog[[#This Row],[Ref]]&amp;": "&amp;RAIDLog[[#This Row],[Title]])</f>
        <v/>
      </c>
      <c r="T89" s="38" t="str">
        <f aca="false">IF(AND(NOT(RAIDLog[[#This Row],[Title]]=""),RAIDLog[[#This Row],[Status]]&lt;&gt;"Closed"),RAIDLog[[#This Row],[Score]]+1-(ROW()-ROW(RAIDLog[[#Headers],[Ref]]))/100000,"")</f>
        <v/>
      </c>
    </row>
    <row r="90" customFormat="false" ht="15" hidden="false" customHeight="false" outlineLevel="0" collapsed="false">
      <c r="B90" s="52" t="n">
        <v>86</v>
      </c>
      <c r="C90" s="53"/>
      <c r="D90" s="53"/>
      <c r="E90" s="53"/>
      <c r="F90" s="7"/>
      <c r="G90" s="7"/>
      <c r="H90" s="52"/>
      <c r="I90" s="52"/>
      <c r="J90" s="52"/>
      <c r="K90" s="51" t="str">
        <f aca="false">IF(RAIDLog[[#This Row],[Title]]="","",IF(RAIDLog[[#This Row],[Type]]="Issue",5,N(RAIDLog[[#This Row],[Probability]]))*N(RAIDLog[[#This Row],[Impact]]))</f>
        <v/>
      </c>
      <c r="L90" s="51" t="str">
        <f aca="false">IF(RAIDLog[[#This Row],[Title]]="","",IF(RAIDLog[[#This Row],[Score]]&gt;=RAIDHighScore,"High",IF(RAIDLog[[#This Row],[Score]]&gt;=RAIDMediumScore,"Medium","Low")))</f>
        <v/>
      </c>
      <c r="M90" s="51" t="str">
        <f aca="false">IF(OR(RAIDLog[[#This Row],[Title]]="",N(RAIDLog[[#This Row],[Due]])=0),"",IF(AND(RAIDLog[[#This Row],[Status]]&lt;&gt;"Closed",RAIDLog[[#This Row],[Due]]&lt;StatusDate),"Overdue",""))</f>
        <v/>
      </c>
      <c r="N90" s="52"/>
      <c r="O90" s="30" t="str">
        <f aca="false">IF(N(RAIDLog[[#This Row],[Task UID]])=0,"",IFERROR(INDEX(tsk_Name,MATCH(RAIDLog[[#This Row],[Task UID]],tsk_UID,0)),"UID "&amp;RAIDLog[[#This Row],[Task UID]]&amp;" not found"))</f>
        <v/>
      </c>
      <c r="P90" s="31" t="str">
        <f aca="false">IF(N(RAIDLog[[#This Row],[Task UID]])=0,"",IFERROR(INDEX(tsk_FcFinish,MATCH(RAIDLog[[#This Row],[Task UID]],tsk_UID,0)),""))</f>
        <v/>
      </c>
      <c r="Q90" s="53"/>
      <c r="R90" s="53"/>
      <c r="S90" s="38" t="str">
        <f aca="false">IF(RAIDLog[[#This Row],[Title]]="","",RAIDLog[[#This Row],[Type]]&amp;" "&amp;RAIDLog[[#This Row],[Ref]]&amp;": "&amp;RAIDLog[[#This Row],[Title]])</f>
        <v/>
      </c>
      <c r="T90" s="38" t="str">
        <f aca="false">IF(AND(NOT(RAIDLog[[#This Row],[Title]]=""),RAIDLog[[#This Row],[Status]]&lt;&gt;"Closed"),RAIDLog[[#This Row],[Score]]+1-(ROW()-ROW(RAIDLog[[#Headers],[Ref]]))/100000,"")</f>
        <v/>
      </c>
    </row>
    <row r="91" customFormat="false" ht="15" hidden="false" customHeight="false" outlineLevel="0" collapsed="false">
      <c r="B91" s="52" t="n">
        <v>87</v>
      </c>
      <c r="C91" s="53"/>
      <c r="D91" s="53"/>
      <c r="E91" s="53"/>
      <c r="F91" s="7"/>
      <c r="G91" s="7"/>
      <c r="H91" s="52"/>
      <c r="I91" s="52"/>
      <c r="J91" s="52"/>
      <c r="K91" s="51" t="str">
        <f aca="false">IF(RAIDLog[[#This Row],[Title]]="","",IF(RAIDLog[[#This Row],[Type]]="Issue",5,N(RAIDLog[[#This Row],[Probability]]))*N(RAIDLog[[#This Row],[Impact]]))</f>
        <v/>
      </c>
      <c r="L91" s="51" t="str">
        <f aca="false">IF(RAIDLog[[#This Row],[Title]]="","",IF(RAIDLog[[#This Row],[Score]]&gt;=RAIDHighScore,"High",IF(RAIDLog[[#This Row],[Score]]&gt;=RAIDMediumScore,"Medium","Low")))</f>
        <v/>
      </c>
      <c r="M91" s="51" t="str">
        <f aca="false">IF(OR(RAIDLog[[#This Row],[Title]]="",N(RAIDLog[[#This Row],[Due]])=0),"",IF(AND(RAIDLog[[#This Row],[Status]]&lt;&gt;"Closed",RAIDLog[[#This Row],[Due]]&lt;StatusDate),"Overdue",""))</f>
        <v/>
      </c>
      <c r="N91" s="52"/>
      <c r="O91" s="30" t="str">
        <f aca="false">IF(N(RAIDLog[[#This Row],[Task UID]])=0,"",IFERROR(INDEX(tsk_Name,MATCH(RAIDLog[[#This Row],[Task UID]],tsk_UID,0)),"UID "&amp;RAIDLog[[#This Row],[Task UID]]&amp;" not found"))</f>
        <v/>
      </c>
      <c r="P91" s="31" t="str">
        <f aca="false">IF(N(RAIDLog[[#This Row],[Task UID]])=0,"",IFERROR(INDEX(tsk_FcFinish,MATCH(RAIDLog[[#This Row],[Task UID]],tsk_UID,0)),""))</f>
        <v/>
      </c>
      <c r="Q91" s="53"/>
      <c r="R91" s="53"/>
      <c r="S91" s="38" t="str">
        <f aca="false">IF(RAIDLog[[#This Row],[Title]]="","",RAIDLog[[#This Row],[Type]]&amp;" "&amp;RAIDLog[[#This Row],[Ref]]&amp;": "&amp;RAIDLog[[#This Row],[Title]])</f>
        <v/>
      </c>
      <c r="T91" s="38" t="str">
        <f aca="false">IF(AND(NOT(RAIDLog[[#This Row],[Title]]=""),RAIDLog[[#This Row],[Status]]&lt;&gt;"Closed"),RAIDLog[[#This Row],[Score]]+1-(ROW()-ROW(RAIDLog[[#Headers],[Ref]]))/100000,"")</f>
        <v/>
      </c>
    </row>
    <row r="92" customFormat="false" ht="15" hidden="false" customHeight="false" outlineLevel="0" collapsed="false">
      <c r="B92" s="52" t="n">
        <v>88</v>
      </c>
      <c r="C92" s="53"/>
      <c r="D92" s="53"/>
      <c r="E92" s="53"/>
      <c r="F92" s="7"/>
      <c r="G92" s="7"/>
      <c r="H92" s="52"/>
      <c r="I92" s="52"/>
      <c r="J92" s="52"/>
      <c r="K92" s="51" t="str">
        <f aca="false">IF(RAIDLog[[#This Row],[Title]]="","",IF(RAIDLog[[#This Row],[Type]]="Issue",5,N(RAIDLog[[#This Row],[Probability]]))*N(RAIDLog[[#This Row],[Impact]]))</f>
        <v/>
      </c>
      <c r="L92" s="51" t="str">
        <f aca="false">IF(RAIDLog[[#This Row],[Title]]="","",IF(RAIDLog[[#This Row],[Score]]&gt;=RAIDHighScore,"High",IF(RAIDLog[[#This Row],[Score]]&gt;=RAIDMediumScore,"Medium","Low")))</f>
        <v/>
      </c>
      <c r="M92" s="51" t="str">
        <f aca="false">IF(OR(RAIDLog[[#This Row],[Title]]="",N(RAIDLog[[#This Row],[Due]])=0),"",IF(AND(RAIDLog[[#This Row],[Status]]&lt;&gt;"Closed",RAIDLog[[#This Row],[Due]]&lt;StatusDate),"Overdue",""))</f>
        <v/>
      </c>
      <c r="N92" s="52"/>
      <c r="O92" s="30" t="str">
        <f aca="false">IF(N(RAIDLog[[#This Row],[Task UID]])=0,"",IFERROR(INDEX(tsk_Name,MATCH(RAIDLog[[#This Row],[Task UID]],tsk_UID,0)),"UID "&amp;RAIDLog[[#This Row],[Task UID]]&amp;" not found"))</f>
        <v/>
      </c>
      <c r="P92" s="31" t="str">
        <f aca="false">IF(N(RAIDLog[[#This Row],[Task UID]])=0,"",IFERROR(INDEX(tsk_FcFinish,MATCH(RAIDLog[[#This Row],[Task UID]],tsk_UID,0)),""))</f>
        <v/>
      </c>
      <c r="Q92" s="53"/>
      <c r="R92" s="53"/>
      <c r="S92" s="38" t="str">
        <f aca="false">IF(RAIDLog[[#This Row],[Title]]="","",RAIDLog[[#This Row],[Type]]&amp;" "&amp;RAIDLog[[#This Row],[Ref]]&amp;": "&amp;RAIDLog[[#This Row],[Title]])</f>
        <v/>
      </c>
      <c r="T92" s="38" t="str">
        <f aca="false">IF(AND(NOT(RAIDLog[[#This Row],[Title]]=""),RAIDLog[[#This Row],[Status]]&lt;&gt;"Closed"),RAIDLog[[#This Row],[Score]]+1-(ROW()-ROW(RAIDLog[[#Headers],[Ref]]))/100000,"")</f>
        <v/>
      </c>
    </row>
    <row r="93" customFormat="false" ht="15" hidden="false" customHeight="false" outlineLevel="0" collapsed="false">
      <c r="B93" s="52" t="n">
        <v>89</v>
      </c>
      <c r="C93" s="53"/>
      <c r="D93" s="53"/>
      <c r="E93" s="53"/>
      <c r="F93" s="7"/>
      <c r="G93" s="7"/>
      <c r="H93" s="52"/>
      <c r="I93" s="52"/>
      <c r="J93" s="52"/>
      <c r="K93" s="51" t="str">
        <f aca="false">IF(RAIDLog[[#This Row],[Title]]="","",IF(RAIDLog[[#This Row],[Type]]="Issue",5,N(RAIDLog[[#This Row],[Probability]]))*N(RAIDLog[[#This Row],[Impact]]))</f>
        <v/>
      </c>
      <c r="L93" s="51" t="str">
        <f aca="false">IF(RAIDLog[[#This Row],[Title]]="","",IF(RAIDLog[[#This Row],[Score]]&gt;=RAIDHighScore,"High",IF(RAIDLog[[#This Row],[Score]]&gt;=RAIDMediumScore,"Medium","Low")))</f>
        <v/>
      </c>
      <c r="M93" s="51" t="str">
        <f aca="false">IF(OR(RAIDLog[[#This Row],[Title]]="",N(RAIDLog[[#This Row],[Due]])=0),"",IF(AND(RAIDLog[[#This Row],[Status]]&lt;&gt;"Closed",RAIDLog[[#This Row],[Due]]&lt;StatusDate),"Overdue",""))</f>
        <v/>
      </c>
      <c r="N93" s="52"/>
      <c r="O93" s="30" t="str">
        <f aca="false">IF(N(RAIDLog[[#This Row],[Task UID]])=0,"",IFERROR(INDEX(tsk_Name,MATCH(RAIDLog[[#This Row],[Task UID]],tsk_UID,0)),"UID "&amp;RAIDLog[[#This Row],[Task UID]]&amp;" not found"))</f>
        <v/>
      </c>
      <c r="P93" s="31" t="str">
        <f aca="false">IF(N(RAIDLog[[#This Row],[Task UID]])=0,"",IFERROR(INDEX(tsk_FcFinish,MATCH(RAIDLog[[#This Row],[Task UID]],tsk_UID,0)),""))</f>
        <v/>
      </c>
      <c r="Q93" s="53"/>
      <c r="R93" s="53"/>
      <c r="S93" s="38" t="str">
        <f aca="false">IF(RAIDLog[[#This Row],[Title]]="","",RAIDLog[[#This Row],[Type]]&amp;" "&amp;RAIDLog[[#This Row],[Ref]]&amp;": "&amp;RAIDLog[[#This Row],[Title]])</f>
        <v/>
      </c>
      <c r="T93" s="38" t="str">
        <f aca="false">IF(AND(NOT(RAIDLog[[#This Row],[Title]]=""),RAIDLog[[#This Row],[Status]]&lt;&gt;"Closed"),RAIDLog[[#This Row],[Score]]+1-(ROW()-ROW(RAIDLog[[#Headers],[Ref]]))/100000,"")</f>
        <v/>
      </c>
    </row>
    <row r="94" customFormat="false" ht="15" hidden="false" customHeight="false" outlineLevel="0" collapsed="false">
      <c r="B94" s="52" t="n">
        <v>90</v>
      </c>
      <c r="C94" s="53"/>
      <c r="D94" s="53"/>
      <c r="E94" s="53"/>
      <c r="F94" s="7"/>
      <c r="G94" s="7"/>
      <c r="H94" s="52"/>
      <c r="I94" s="52"/>
      <c r="J94" s="52"/>
      <c r="K94" s="51" t="str">
        <f aca="false">IF(RAIDLog[[#This Row],[Title]]="","",IF(RAIDLog[[#This Row],[Type]]="Issue",5,N(RAIDLog[[#This Row],[Probability]]))*N(RAIDLog[[#This Row],[Impact]]))</f>
        <v/>
      </c>
      <c r="L94" s="51" t="str">
        <f aca="false">IF(RAIDLog[[#This Row],[Title]]="","",IF(RAIDLog[[#This Row],[Score]]&gt;=RAIDHighScore,"High",IF(RAIDLog[[#This Row],[Score]]&gt;=RAIDMediumScore,"Medium","Low")))</f>
        <v/>
      </c>
      <c r="M94" s="51" t="str">
        <f aca="false">IF(OR(RAIDLog[[#This Row],[Title]]="",N(RAIDLog[[#This Row],[Due]])=0),"",IF(AND(RAIDLog[[#This Row],[Status]]&lt;&gt;"Closed",RAIDLog[[#This Row],[Due]]&lt;StatusDate),"Overdue",""))</f>
        <v/>
      </c>
      <c r="N94" s="52"/>
      <c r="O94" s="30" t="str">
        <f aca="false">IF(N(RAIDLog[[#This Row],[Task UID]])=0,"",IFERROR(INDEX(tsk_Name,MATCH(RAIDLog[[#This Row],[Task UID]],tsk_UID,0)),"UID "&amp;RAIDLog[[#This Row],[Task UID]]&amp;" not found"))</f>
        <v/>
      </c>
      <c r="P94" s="31" t="str">
        <f aca="false">IF(N(RAIDLog[[#This Row],[Task UID]])=0,"",IFERROR(INDEX(tsk_FcFinish,MATCH(RAIDLog[[#This Row],[Task UID]],tsk_UID,0)),""))</f>
        <v/>
      </c>
      <c r="Q94" s="53"/>
      <c r="R94" s="53"/>
      <c r="S94" s="38" t="str">
        <f aca="false">IF(RAIDLog[[#This Row],[Title]]="","",RAIDLog[[#This Row],[Type]]&amp;" "&amp;RAIDLog[[#This Row],[Ref]]&amp;": "&amp;RAIDLog[[#This Row],[Title]])</f>
        <v/>
      </c>
      <c r="T94" s="38" t="str">
        <f aca="false">IF(AND(NOT(RAIDLog[[#This Row],[Title]]=""),RAIDLog[[#This Row],[Status]]&lt;&gt;"Closed"),RAIDLog[[#This Row],[Score]]+1-(ROW()-ROW(RAIDLog[[#Headers],[Ref]]))/100000,"")</f>
        <v/>
      </c>
    </row>
    <row r="95" customFormat="false" ht="15" hidden="false" customHeight="false" outlineLevel="0" collapsed="false">
      <c r="B95" s="52" t="n">
        <v>91</v>
      </c>
      <c r="C95" s="53"/>
      <c r="D95" s="53"/>
      <c r="E95" s="53"/>
      <c r="F95" s="7"/>
      <c r="G95" s="7"/>
      <c r="H95" s="52"/>
      <c r="I95" s="52"/>
      <c r="J95" s="52"/>
      <c r="K95" s="51" t="str">
        <f aca="false">IF(RAIDLog[[#This Row],[Title]]="","",IF(RAIDLog[[#This Row],[Type]]="Issue",5,N(RAIDLog[[#This Row],[Probability]]))*N(RAIDLog[[#This Row],[Impact]]))</f>
        <v/>
      </c>
      <c r="L95" s="51" t="str">
        <f aca="false">IF(RAIDLog[[#This Row],[Title]]="","",IF(RAIDLog[[#This Row],[Score]]&gt;=RAIDHighScore,"High",IF(RAIDLog[[#This Row],[Score]]&gt;=RAIDMediumScore,"Medium","Low")))</f>
        <v/>
      </c>
      <c r="M95" s="51" t="str">
        <f aca="false">IF(OR(RAIDLog[[#This Row],[Title]]="",N(RAIDLog[[#This Row],[Due]])=0),"",IF(AND(RAIDLog[[#This Row],[Status]]&lt;&gt;"Closed",RAIDLog[[#This Row],[Due]]&lt;StatusDate),"Overdue",""))</f>
        <v/>
      </c>
      <c r="N95" s="52"/>
      <c r="O95" s="30" t="str">
        <f aca="false">IF(N(RAIDLog[[#This Row],[Task UID]])=0,"",IFERROR(INDEX(tsk_Name,MATCH(RAIDLog[[#This Row],[Task UID]],tsk_UID,0)),"UID "&amp;RAIDLog[[#This Row],[Task UID]]&amp;" not found"))</f>
        <v/>
      </c>
      <c r="P95" s="31" t="str">
        <f aca="false">IF(N(RAIDLog[[#This Row],[Task UID]])=0,"",IFERROR(INDEX(tsk_FcFinish,MATCH(RAIDLog[[#This Row],[Task UID]],tsk_UID,0)),""))</f>
        <v/>
      </c>
      <c r="Q95" s="53"/>
      <c r="R95" s="53"/>
      <c r="S95" s="38" t="str">
        <f aca="false">IF(RAIDLog[[#This Row],[Title]]="","",RAIDLog[[#This Row],[Type]]&amp;" "&amp;RAIDLog[[#This Row],[Ref]]&amp;": "&amp;RAIDLog[[#This Row],[Title]])</f>
        <v/>
      </c>
      <c r="T95" s="38" t="str">
        <f aca="false">IF(AND(NOT(RAIDLog[[#This Row],[Title]]=""),RAIDLog[[#This Row],[Status]]&lt;&gt;"Closed"),RAIDLog[[#This Row],[Score]]+1-(ROW()-ROW(RAIDLog[[#Headers],[Ref]]))/100000,"")</f>
        <v/>
      </c>
    </row>
    <row r="96" customFormat="false" ht="15" hidden="false" customHeight="false" outlineLevel="0" collapsed="false">
      <c r="B96" s="52" t="n">
        <v>92</v>
      </c>
      <c r="C96" s="53"/>
      <c r="D96" s="53"/>
      <c r="E96" s="53"/>
      <c r="F96" s="7"/>
      <c r="G96" s="7"/>
      <c r="H96" s="52"/>
      <c r="I96" s="52"/>
      <c r="J96" s="52"/>
      <c r="K96" s="51" t="str">
        <f aca="false">IF(RAIDLog[[#This Row],[Title]]="","",IF(RAIDLog[[#This Row],[Type]]="Issue",5,N(RAIDLog[[#This Row],[Probability]]))*N(RAIDLog[[#This Row],[Impact]]))</f>
        <v/>
      </c>
      <c r="L96" s="51" t="str">
        <f aca="false">IF(RAIDLog[[#This Row],[Title]]="","",IF(RAIDLog[[#This Row],[Score]]&gt;=RAIDHighScore,"High",IF(RAIDLog[[#This Row],[Score]]&gt;=RAIDMediumScore,"Medium","Low")))</f>
        <v/>
      </c>
      <c r="M96" s="51" t="str">
        <f aca="false">IF(OR(RAIDLog[[#This Row],[Title]]="",N(RAIDLog[[#This Row],[Due]])=0),"",IF(AND(RAIDLog[[#This Row],[Status]]&lt;&gt;"Closed",RAIDLog[[#This Row],[Due]]&lt;StatusDate),"Overdue",""))</f>
        <v/>
      </c>
      <c r="N96" s="52"/>
      <c r="O96" s="30" t="str">
        <f aca="false">IF(N(RAIDLog[[#This Row],[Task UID]])=0,"",IFERROR(INDEX(tsk_Name,MATCH(RAIDLog[[#This Row],[Task UID]],tsk_UID,0)),"UID "&amp;RAIDLog[[#This Row],[Task UID]]&amp;" not found"))</f>
        <v/>
      </c>
      <c r="P96" s="31" t="str">
        <f aca="false">IF(N(RAIDLog[[#This Row],[Task UID]])=0,"",IFERROR(INDEX(tsk_FcFinish,MATCH(RAIDLog[[#This Row],[Task UID]],tsk_UID,0)),""))</f>
        <v/>
      </c>
      <c r="Q96" s="53"/>
      <c r="R96" s="53"/>
      <c r="S96" s="38" t="str">
        <f aca="false">IF(RAIDLog[[#This Row],[Title]]="","",RAIDLog[[#This Row],[Type]]&amp;" "&amp;RAIDLog[[#This Row],[Ref]]&amp;": "&amp;RAIDLog[[#This Row],[Title]])</f>
        <v/>
      </c>
      <c r="T96" s="38" t="str">
        <f aca="false">IF(AND(NOT(RAIDLog[[#This Row],[Title]]=""),RAIDLog[[#This Row],[Status]]&lt;&gt;"Closed"),RAIDLog[[#This Row],[Score]]+1-(ROW()-ROW(RAIDLog[[#Headers],[Ref]]))/100000,"")</f>
        <v/>
      </c>
    </row>
    <row r="97" customFormat="false" ht="15" hidden="false" customHeight="false" outlineLevel="0" collapsed="false">
      <c r="B97" s="52" t="n">
        <v>93</v>
      </c>
      <c r="C97" s="53"/>
      <c r="D97" s="53"/>
      <c r="E97" s="53"/>
      <c r="F97" s="7"/>
      <c r="G97" s="7"/>
      <c r="H97" s="52"/>
      <c r="I97" s="52"/>
      <c r="J97" s="52"/>
      <c r="K97" s="51" t="str">
        <f aca="false">IF(RAIDLog[[#This Row],[Title]]="","",IF(RAIDLog[[#This Row],[Type]]="Issue",5,N(RAIDLog[[#This Row],[Probability]]))*N(RAIDLog[[#This Row],[Impact]]))</f>
        <v/>
      </c>
      <c r="L97" s="51" t="str">
        <f aca="false">IF(RAIDLog[[#This Row],[Title]]="","",IF(RAIDLog[[#This Row],[Score]]&gt;=RAIDHighScore,"High",IF(RAIDLog[[#This Row],[Score]]&gt;=RAIDMediumScore,"Medium","Low")))</f>
        <v/>
      </c>
      <c r="M97" s="51" t="str">
        <f aca="false">IF(OR(RAIDLog[[#This Row],[Title]]="",N(RAIDLog[[#This Row],[Due]])=0),"",IF(AND(RAIDLog[[#This Row],[Status]]&lt;&gt;"Closed",RAIDLog[[#This Row],[Due]]&lt;StatusDate),"Overdue",""))</f>
        <v/>
      </c>
      <c r="N97" s="52"/>
      <c r="O97" s="30" t="str">
        <f aca="false">IF(N(RAIDLog[[#This Row],[Task UID]])=0,"",IFERROR(INDEX(tsk_Name,MATCH(RAIDLog[[#This Row],[Task UID]],tsk_UID,0)),"UID "&amp;RAIDLog[[#This Row],[Task UID]]&amp;" not found"))</f>
        <v/>
      </c>
      <c r="P97" s="31" t="str">
        <f aca="false">IF(N(RAIDLog[[#This Row],[Task UID]])=0,"",IFERROR(INDEX(tsk_FcFinish,MATCH(RAIDLog[[#This Row],[Task UID]],tsk_UID,0)),""))</f>
        <v/>
      </c>
      <c r="Q97" s="53"/>
      <c r="R97" s="53"/>
      <c r="S97" s="38" t="str">
        <f aca="false">IF(RAIDLog[[#This Row],[Title]]="","",RAIDLog[[#This Row],[Type]]&amp;" "&amp;RAIDLog[[#This Row],[Ref]]&amp;": "&amp;RAIDLog[[#This Row],[Title]])</f>
        <v/>
      </c>
      <c r="T97" s="38" t="str">
        <f aca="false">IF(AND(NOT(RAIDLog[[#This Row],[Title]]=""),RAIDLog[[#This Row],[Status]]&lt;&gt;"Closed"),RAIDLog[[#This Row],[Score]]+1-(ROW()-ROW(RAIDLog[[#Headers],[Ref]]))/100000,"")</f>
        <v/>
      </c>
    </row>
    <row r="98" customFormat="false" ht="15" hidden="false" customHeight="false" outlineLevel="0" collapsed="false">
      <c r="B98" s="52" t="n">
        <v>94</v>
      </c>
      <c r="C98" s="53"/>
      <c r="D98" s="53"/>
      <c r="E98" s="53"/>
      <c r="F98" s="7"/>
      <c r="G98" s="7"/>
      <c r="H98" s="52"/>
      <c r="I98" s="52"/>
      <c r="J98" s="52"/>
      <c r="K98" s="51" t="str">
        <f aca="false">IF(RAIDLog[[#This Row],[Title]]="","",IF(RAIDLog[[#This Row],[Type]]="Issue",5,N(RAIDLog[[#This Row],[Probability]]))*N(RAIDLog[[#This Row],[Impact]]))</f>
        <v/>
      </c>
      <c r="L98" s="51" t="str">
        <f aca="false">IF(RAIDLog[[#This Row],[Title]]="","",IF(RAIDLog[[#This Row],[Score]]&gt;=RAIDHighScore,"High",IF(RAIDLog[[#This Row],[Score]]&gt;=RAIDMediumScore,"Medium","Low")))</f>
        <v/>
      </c>
      <c r="M98" s="51" t="str">
        <f aca="false">IF(OR(RAIDLog[[#This Row],[Title]]="",N(RAIDLog[[#This Row],[Due]])=0),"",IF(AND(RAIDLog[[#This Row],[Status]]&lt;&gt;"Closed",RAIDLog[[#This Row],[Due]]&lt;StatusDate),"Overdue",""))</f>
        <v/>
      </c>
      <c r="N98" s="52"/>
      <c r="O98" s="30" t="str">
        <f aca="false">IF(N(RAIDLog[[#This Row],[Task UID]])=0,"",IFERROR(INDEX(tsk_Name,MATCH(RAIDLog[[#This Row],[Task UID]],tsk_UID,0)),"UID "&amp;RAIDLog[[#This Row],[Task UID]]&amp;" not found"))</f>
        <v/>
      </c>
      <c r="P98" s="31" t="str">
        <f aca="false">IF(N(RAIDLog[[#This Row],[Task UID]])=0,"",IFERROR(INDEX(tsk_FcFinish,MATCH(RAIDLog[[#This Row],[Task UID]],tsk_UID,0)),""))</f>
        <v/>
      </c>
      <c r="Q98" s="53"/>
      <c r="R98" s="53"/>
      <c r="S98" s="38" t="str">
        <f aca="false">IF(RAIDLog[[#This Row],[Title]]="","",RAIDLog[[#This Row],[Type]]&amp;" "&amp;RAIDLog[[#This Row],[Ref]]&amp;": "&amp;RAIDLog[[#This Row],[Title]])</f>
        <v/>
      </c>
      <c r="T98" s="38" t="str">
        <f aca="false">IF(AND(NOT(RAIDLog[[#This Row],[Title]]=""),RAIDLog[[#This Row],[Status]]&lt;&gt;"Closed"),RAIDLog[[#This Row],[Score]]+1-(ROW()-ROW(RAIDLog[[#Headers],[Ref]]))/100000,"")</f>
        <v/>
      </c>
    </row>
    <row r="99" customFormat="false" ht="15" hidden="false" customHeight="false" outlineLevel="0" collapsed="false">
      <c r="B99" s="52" t="n">
        <v>95</v>
      </c>
      <c r="C99" s="53"/>
      <c r="D99" s="53"/>
      <c r="E99" s="53"/>
      <c r="F99" s="7"/>
      <c r="G99" s="7"/>
      <c r="H99" s="52"/>
      <c r="I99" s="52"/>
      <c r="J99" s="52"/>
      <c r="K99" s="51" t="str">
        <f aca="false">IF(RAIDLog[[#This Row],[Title]]="","",IF(RAIDLog[[#This Row],[Type]]="Issue",5,N(RAIDLog[[#This Row],[Probability]]))*N(RAIDLog[[#This Row],[Impact]]))</f>
        <v/>
      </c>
      <c r="L99" s="51" t="str">
        <f aca="false">IF(RAIDLog[[#This Row],[Title]]="","",IF(RAIDLog[[#This Row],[Score]]&gt;=RAIDHighScore,"High",IF(RAIDLog[[#This Row],[Score]]&gt;=RAIDMediumScore,"Medium","Low")))</f>
        <v/>
      </c>
      <c r="M99" s="51" t="str">
        <f aca="false">IF(OR(RAIDLog[[#This Row],[Title]]="",N(RAIDLog[[#This Row],[Due]])=0),"",IF(AND(RAIDLog[[#This Row],[Status]]&lt;&gt;"Closed",RAIDLog[[#This Row],[Due]]&lt;StatusDate),"Overdue",""))</f>
        <v/>
      </c>
      <c r="N99" s="52"/>
      <c r="O99" s="30" t="str">
        <f aca="false">IF(N(RAIDLog[[#This Row],[Task UID]])=0,"",IFERROR(INDEX(tsk_Name,MATCH(RAIDLog[[#This Row],[Task UID]],tsk_UID,0)),"UID "&amp;RAIDLog[[#This Row],[Task UID]]&amp;" not found"))</f>
        <v/>
      </c>
      <c r="P99" s="31" t="str">
        <f aca="false">IF(N(RAIDLog[[#This Row],[Task UID]])=0,"",IFERROR(INDEX(tsk_FcFinish,MATCH(RAIDLog[[#This Row],[Task UID]],tsk_UID,0)),""))</f>
        <v/>
      </c>
      <c r="Q99" s="53"/>
      <c r="R99" s="53"/>
      <c r="S99" s="38" t="str">
        <f aca="false">IF(RAIDLog[[#This Row],[Title]]="","",RAIDLog[[#This Row],[Type]]&amp;" "&amp;RAIDLog[[#This Row],[Ref]]&amp;": "&amp;RAIDLog[[#This Row],[Title]])</f>
        <v/>
      </c>
      <c r="T99" s="38" t="str">
        <f aca="false">IF(AND(NOT(RAIDLog[[#This Row],[Title]]=""),RAIDLog[[#This Row],[Status]]&lt;&gt;"Closed"),RAIDLog[[#This Row],[Score]]+1-(ROW()-ROW(RAIDLog[[#Headers],[Ref]]))/100000,"")</f>
        <v/>
      </c>
    </row>
    <row r="100" customFormat="false" ht="15" hidden="false" customHeight="false" outlineLevel="0" collapsed="false">
      <c r="B100" s="52" t="n">
        <v>96</v>
      </c>
      <c r="C100" s="53"/>
      <c r="D100" s="53"/>
      <c r="E100" s="53"/>
      <c r="F100" s="7"/>
      <c r="G100" s="7"/>
      <c r="H100" s="52"/>
      <c r="I100" s="52"/>
      <c r="J100" s="52"/>
      <c r="K100" s="51" t="str">
        <f aca="false">IF(RAIDLog[[#This Row],[Title]]="","",IF(RAIDLog[[#This Row],[Type]]="Issue",5,N(RAIDLog[[#This Row],[Probability]]))*N(RAIDLog[[#This Row],[Impact]]))</f>
        <v/>
      </c>
      <c r="L100" s="51" t="str">
        <f aca="false">IF(RAIDLog[[#This Row],[Title]]="","",IF(RAIDLog[[#This Row],[Score]]&gt;=RAIDHighScore,"High",IF(RAIDLog[[#This Row],[Score]]&gt;=RAIDMediumScore,"Medium","Low")))</f>
        <v/>
      </c>
      <c r="M100" s="51" t="str">
        <f aca="false">IF(OR(RAIDLog[[#This Row],[Title]]="",N(RAIDLog[[#This Row],[Due]])=0),"",IF(AND(RAIDLog[[#This Row],[Status]]&lt;&gt;"Closed",RAIDLog[[#This Row],[Due]]&lt;StatusDate),"Overdue",""))</f>
        <v/>
      </c>
      <c r="N100" s="52"/>
      <c r="O100" s="30" t="str">
        <f aca="false">IF(N(RAIDLog[[#This Row],[Task UID]])=0,"",IFERROR(INDEX(tsk_Name,MATCH(RAIDLog[[#This Row],[Task UID]],tsk_UID,0)),"UID "&amp;RAIDLog[[#This Row],[Task UID]]&amp;" not found"))</f>
        <v/>
      </c>
      <c r="P100" s="31" t="str">
        <f aca="false">IF(N(RAIDLog[[#This Row],[Task UID]])=0,"",IFERROR(INDEX(tsk_FcFinish,MATCH(RAIDLog[[#This Row],[Task UID]],tsk_UID,0)),""))</f>
        <v/>
      </c>
      <c r="Q100" s="53"/>
      <c r="R100" s="53"/>
      <c r="S100" s="38" t="str">
        <f aca="false">IF(RAIDLog[[#This Row],[Title]]="","",RAIDLog[[#This Row],[Type]]&amp;" "&amp;RAIDLog[[#This Row],[Ref]]&amp;": "&amp;RAIDLog[[#This Row],[Title]])</f>
        <v/>
      </c>
      <c r="T100" s="38" t="str">
        <f aca="false">IF(AND(NOT(RAIDLog[[#This Row],[Title]]=""),RAIDLog[[#This Row],[Status]]&lt;&gt;"Closed"),RAIDLog[[#This Row],[Score]]+1-(ROW()-ROW(RAIDLog[[#Headers],[Ref]]))/100000,"")</f>
        <v/>
      </c>
    </row>
    <row r="101" customFormat="false" ht="15" hidden="false" customHeight="false" outlineLevel="0" collapsed="false">
      <c r="B101" s="52" t="n">
        <v>97</v>
      </c>
      <c r="C101" s="53"/>
      <c r="D101" s="53"/>
      <c r="E101" s="53"/>
      <c r="F101" s="7"/>
      <c r="G101" s="7"/>
      <c r="H101" s="52"/>
      <c r="I101" s="52"/>
      <c r="J101" s="52"/>
      <c r="K101" s="51" t="str">
        <f aca="false">IF(RAIDLog[[#This Row],[Title]]="","",IF(RAIDLog[[#This Row],[Type]]="Issue",5,N(RAIDLog[[#This Row],[Probability]]))*N(RAIDLog[[#This Row],[Impact]]))</f>
        <v/>
      </c>
      <c r="L101" s="51" t="str">
        <f aca="false">IF(RAIDLog[[#This Row],[Title]]="","",IF(RAIDLog[[#This Row],[Score]]&gt;=RAIDHighScore,"High",IF(RAIDLog[[#This Row],[Score]]&gt;=RAIDMediumScore,"Medium","Low")))</f>
        <v/>
      </c>
      <c r="M101" s="51" t="str">
        <f aca="false">IF(OR(RAIDLog[[#This Row],[Title]]="",N(RAIDLog[[#This Row],[Due]])=0),"",IF(AND(RAIDLog[[#This Row],[Status]]&lt;&gt;"Closed",RAIDLog[[#This Row],[Due]]&lt;StatusDate),"Overdue",""))</f>
        <v/>
      </c>
      <c r="N101" s="52"/>
      <c r="O101" s="30" t="str">
        <f aca="false">IF(N(RAIDLog[[#This Row],[Task UID]])=0,"",IFERROR(INDEX(tsk_Name,MATCH(RAIDLog[[#This Row],[Task UID]],tsk_UID,0)),"UID "&amp;RAIDLog[[#This Row],[Task UID]]&amp;" not found"))</f>
        <v/>
      </c>
      <c r="P101" s="31" t="str">
        <f aca="false">IF(N(RAIDLog[[#This Row],[Task UID]])=0,"",IFERROR(INDEX(tsk_FcFinish,MATCH(RAIDLog[[#This Row],[Task UID]],tsk_UID,0)),""))</f>
        <v/>
      </c>
      <c r="Q101" s="53"/>
      <c r="R101" s="53"/>
      <c r="S101" s="38" t="str">
        <f aca="false">IF(RAIDLog[[#This Row],[Title]]="","",RAIDLog[[#This Row],[Type]]&amp;" "&amp;RAIDLog[[#This Row],[Ref]]&amp;": "&amp;RAIDLog[[#This Row],[Title]])</f>
        <v/>
      </c>
      <c r="T101" s="38" t="str">
        <f aca="false">IF(AND(NOT(RAIDLog[[#This Row],[Title]]=""),RAIDLog[[#This Row],[Status]]&lt;&gt;"Closed"),RAIDLog[[#This Row],[Score]]+1-(ROW()-ROW(RAIDLog[[#Headers],[Ref]]))/100000,"")</f>
        <v/>
      </c>
    </row>
    <row r="102" customFormat="false" ht="15" hidden="false" customHeight="false" outlineLevel="0" collapsed="false">
      <c r="B102" s="52" t="n">
        <v>98</v>
      </c>
      <c r="C102" s="53"/>
      <c r="D102" s="53"/>
      <c r="E102" s="53"/>
      <c r="F102" s="7"/>
      <c r="G102" s="7"/>
      <c r="H102" s="52"/>
      <c r="I102" s="52"/>
      <c r="J102" s="52"/>
      <c r="K102" s="51" t="str">
        <f aca="false">IF(RAIDLog[[#This Row],[Title]]="","",IF(RAIDLog[[#This Row],[Type]]="Issue",5,N(RAIDLog[[#This Row],[Probability]]))*N(RAIDLog[[#This Row],[Impact]]))</f>
        <v/>
      </c>
      <c r="L102" s="51" t="str">
        <f aca="false">IF(RAIDLog[[#This Row],[Title]]="","",IF(RAIDLog[[#This Row],[Score]]&gt;=RAIDHighScore,"High",IF(RAIDLog[[#This Row],[Score]]&gt;=RAIDMediumScore,"Medium","Low")))</f>
        <v/>
      </c>
      <c r="M102" s="51" t="str">
        <f aca="false">IF(OR(RAIDLog[[#This Row],[Title]]="",N(RAIDLog[[#This Row],[Due]])=0),"",IF(AND(RAIDLog[[#This Row],[Status]]&lt;&gt;"Closed",RAIDLog[[#This Row],[Due]]&lt;StatusDate),"Overdue",""))</f>
        <v/>
      </c>
      <c r="N102" s="52"/>
      <c r="O102" s="30" t="str">
        <f aca="false">IF(N(RAIDLog[[#This Row],[Task UID]])=0,"",IFERROR(INDEX(tsk_Name,MATCH(RAIDLog[[#This Row],[Task UID]],tsk_UID,0)),"UID "&amp;RAIDLog[[#This Row],[Task UID]]&amp;" not found"))</f>
        <v/>
      </c>
      <c r="P102" s="31" t="str">
        <f aca="false">IF(N(RAIDLog[[#This Row],[Task UID]])=0,"",IFERROR(INDEX(tsk_FcFinish,MATCH(RAIDLog[[#This Row],[Task UID]],tsk_UID,0)),""))</f>
        <v/>
      </c>
      <c r="Q102" s="53"/>
      <c r="R102" s="53"/>
      <c r="S102" s="38" t="str">
        <f aca="false">IF(RAIDLog[[#This Row],[Title]]="","",RAIDLog[[#This Row],[Type]]&amp;" "&amp;RAIDLog[[#This Row],[Ref]]&amp;": "&amp;RAIDLog[[#This Row],[Title]])</f>
        <v/>
      </c>
      <c r="T102" s="38" t="str">
        <f aca="false">IF(AND(NOT(RAIDLog[[#This Row],[Title]]=""),RAIDLog[[#This Row],[Status]]&lt;&gt;"Closed"),RAIDLog[[#This Row],[Score]]+1-(ROW()-ROW(RAIDLog[[#Headers],[Ref]]))/100000,"")</f>
        <v/>
      </c>
    </row>
    <row r="103" customFormat="false" ht="15" hidden="false" customHeight="false" outlineLevel="0" collapsed="false">
      <c r="B103" s="52" t="n">
        <v>99</v>
      </c>
      <c r="C103" s="53"/>
      <c r="D103" s="53"/>
      <c r="E103" s="53"/>
      <c r="F103" s="7"/>
      <c r="G103" s="7"/>
      <c r="H103" s="52"/>
      <c r="I103" s="52"/>
      <c r="J103" s="52"/>
      <c r="K103" s="51" t="str">
        <f aca="false">IF(RAIDLog[[#This Row],[Title]]="","",IF(RAIDLog[[#This Row],[Type]]="Issue",5,N(RAIDLog[[#This Row],[Probability]]))*N(RAIDLog[[#This Row],[Impact]]))</f>
        <v/>
      </c>
      <c r="L103" s="51" t="str">
        <f aca="false">IF(RAIDLog[[#This Row],[Title]]="","",IF(RAIDLog[[#This Row],[Score]]&gt;=RAIDHighScore,"High",IF(RAIDLog[[#This Row],[Score]]&gt;=RAIDMediumScore,"Medium","Low")))</f>
        <v/>
      </c>
      <c r="M103" s="51" t="str">
        <f aca="false">IF(OR(RAIDLog[[#This Row],[Title]]="",N(RAIDLog[[#This Row],[Due]])=0),"",IF(AND(RAIDLog[[#This Row],[Status]]&lt;&gt;"Closed",RAIDLog[[#This Row],[Due]]&lt;StatusDate),"Overdue",""))</f>
        <v/>
      </c>
      <c r="N103" s="52"/>
      <c r="O103" s="30" t="str">
        <f aca="false">IF(N(RAIDLog[[#This Row],[Task UID]])=0,"",IFERROR(INDEX(tsk_Name,MATCH(RAIDLog[[#This Row],[Task UID]],tsk_UID,0)),"UID "&amp;RAIDLog[[#This Row],[Task UID]]&amp;" not found"))</f>
        <v/>
      </c>
      <c r="P103" s="31" t="str">
        <f aca="false">IF(N(RAIDLog[[#This Row],[Task UID]])=0,"",IFERROR(INDEX(tsk_FcFinish,MATCH(RAIDLog[[#This Row],[Task UID]],tsk_UID,0)),""))</f>
        <v/>
      </c>
      <c r="Q103" s="53"/>
      <c r="R103" s="53"/>
      <c r="S103" s="38" t="str">
        <f aca="false">IF(RAIDLog[[#This Row],[Title]]="","",RAIDLog[[#This Row],[Type]]&amp;" "&amp;RAIDLog[[#This Row],[Ref]]&amp;": "&amp;RAIDLog[[#This Row],[Title]])</f>
        <v/>
      </c>
      <c r="T103" s="38" t="str">
        <f aca="false">IF(AND(NOT(RAIDLog[[#This Row],[Title]]=""),RAIDLog[[#This Row],[Status]]&lt;&gt;"Closed"),RAIDLog[[#This Row],[Score]]+1-(ROW()-ROW(RAIDLog[[#Headers],[Ref]]))/100000,"")</f>
        <v/>
      </c>
    </row>
    <row r="104" customFormat="false" ht="15" hidden="false" customHeight="false" outlineLevel="0" collapsed="false">
      <c r="B104" s="52" t="n">
        <v>100</v>
      </c>
      <c r="C104" s="53"/>
      <c r="D104" s="53"/>
      <c r="E104" s="53"/>
      <c r="F104" s="7"/>
      <c r="G104" s="7"/>
      <c r="H104" s="52"/>
      <c r="I104" s="52"/>
      <c r="J104" s="52"/>
      <c r="K104" s="51" t="str">
        <f aca="false">IF(RAIDLog[[#This Row],[Title]]="","",IF(RAIDLog[[#This Row],[Type]]="Issue",5,N(RAIDLog[[#This Row],[Probability]]))*N(RAIDLog[[#This Row],[Impact]]))</f>
        <v/>
      </c>
      <c r="L104" s="51" t="str">
        <f aca="false">IF(RAIDLog[[#This Row],[Title]]="","",IF(RAIDLog[[#This Row],[Score]]&gt;=RAIDHighScore,"High",IF(RAIDLog[[#This Row],[Score]]&gt;=RAIDMediumScore,"Medium","Low")))</f>
        <v/>
      </c>
      <c r="M104" s="51" t="str">
        <f aca="false">IF(OR(RAIDLog[[#This Row],[Title]]="",N(RAIDLog[[#This Row],[Due]])=0),"",IF(AND(RAIDLog[[#This Row],[Status]]&lt;&gt;"Closed",RAIDLog[[#This Row],[Due]]&lt;StatusDate),"Overdue",""))</f>
        <v/>
      </c>
      <c r="N104" s="52"/>
      <c r="O104" s="30" t="str">
        <f aca="false">IF(N(RAIDLog[[#This Row],[Task UID]])=0,"",IFERROR(INDEX(tsk_Name,MATCH(RAIDLog[[#This Row],[Task UID]],tsk_UID,0)),"UID "&amp;RAIDLog[[#This Row],[Task UID]]&amp;" not found"))</f>
        <v/>
      </c>
      <c r="P104" s="31" t="str">
        <f aca="false">IF(N(RAIDLog[[#This Row],[Task UID]])=0,"",IFERROR(INDEX(tsk_FcFinish,MATCH(RAIDLog[[#This Row],[Task UID]],tsk_UID,0)),""))</f>
        <v/>
      </c>
      <c r="Q104" s="53"/>
      <c r="R104" s="53"/>
      <c r="S104" s="38" t="str">
        <f aca="false">IF(RAIDLog[[#This Row],[Title]]="","",RAIDLog[[#This Row],[Type]]&amp;" "&amp;RAIDLog[[#This Row],[Ref]]&amp;": "&amp;RAIDLog[[#This Row],[Title]])</f>
        <v/>
      </c>
      <c r="T104" s="38" t="str">
        <f aca="false">IF(AND(NOT(RAIDLog[[#This Row],[Title]]=""),RAIDLog[[#This Row],[Status]]&lt;&gt;"Closed"),RAIDLog[[#This Row],[Score]]+1-(ROW()-ROW(RAIDLog[[#Headers],[Ref]]))/100000,"")</f>
        <v/>
      </c>
    </row>
  </sheetData>
  <conditionalFormatting sqref="L5:L104">
    <cfRule type="expression" priority="2" aboveAverage="0" equalAverage="0" bottom="0" percent="0" rank="0" text="" dxfId="16">
      <formula>L5="High"</formula>
    </cfRule>
    <cfRule type="expression" priority="3" aboveAverage="0" equalAverage="0" bottom="0" percent="0" rank="0" text="" dxfId="15">
      <formula>L5="Medium"</formula>
    </cfRule>
    <cfRule type="expression" priority="4" aboveAverage="0" equalAverage="0" bottom="0" percent="0" rank="0" text="" dxfId="14">
      <formula>L5="Low"</formula>
    </cfRule>
  </conditionalFormatting>
  <conditionalFormatting sqref="M5:M104">
    <cfRule type="expression" priority="5" aboveAverage="0" equalAverage="0" bottom="0" percent="0" rank="0" text="" dxfId="27">
      <formula>M5="Overdue"</formula>
    </cfRule>
  </conditionalFormatting>
  <conditionalFormatting sqref="B5:R104">
    <cfRule type="expression" priority="6" aboveAverage="0" equalAverage="0" bottom="0" percent="0" rank="0" text="" dxfId="34">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32" t="s">
        <v>316</v>
      </c>
    </row>
    <row r="2" customFormat="false" ht="15" hidden="false" customHeight="false" outlineLevel="0" collapsed="false">
      <c r="A2" s="2" t="s">
        <v>317</v>
      </c>
    </row>
    <row r="4" customFormat="false" ht="35.05" hidden="false" customHeight="false" outlineLevel="0" collapsed="false">
      <c r="B4" s="50" t="s">
        <v>304</v>
      </c>
      <c r="C4" s="50" t="s">
        <v>318</v>
      </c>
      <c r="D4" s="50" t="s">
        <v>319</v>
      </c>
      <c r="E4" s="50" t="s">
        <v>320</v>
      </c>
      <c r="F4" s="50" t="s">
        <v>321</v>
      </c>
      <c r="G4" s="50" t="s">
        <v>28</v>
      </c>
      <c r="H4" s="15" t="s">
        <v>322</v>
      </c>
      <c r="I4" s="50" t="s">
        <v>311</v>
      </c>
      <c r="J4" s="15" t="s">
        <v>227</v>
      </c>
      <c r="K4" s="50" t="s">
        <v>323</v>
      </c>
    </row>
    <row r="5" customFormat="false" ht="15" hidden="false" customHeight="false" outlineLevel="0" collapsed="false">
      <c r="B5" s="52" t="n">
        <v>1</v>
      </c>
      <c r="C5" s="7"/>
      <c r="D5" s="53"/>
      <c r="E5" s="53"/>
      <c r="F5" s="53"/>
      <c r="G5" s="52"/>
      <c r="H5" s="51" t="str">
        <f aca="false">IF(OR(DecisionLog[[#This Row],[Decision]]="",DecisionLog[[#This Row],[Status]]&lt;&gt;"Proposed",N(DecisionLog[[#This Row],[Date]])=0),"",MAX(0,StatusDate-DecisionLog[[#This Row],[Date]]))</f>
        <v/>
      </c>
      <c r="I5" s="52"/>
      <c r="J5" s="30" t="str">
        <f aca="false">IF(N(DecisionLog[[#This Row],[Task UID]])=0,"",IFERROR(INDEX(tsk_Name,MATCH(DecisionLog[[#This Row],[Task UID]],tsk_UID,0)),"UID "&amp;DecisionLog[[#This Row],[Task UID]]&amp;" not found"))</f>
        <v/>
      </c>
      <c r="K5" s="52"/>
    </row>
    <row r="6" customFormat="false" ht="15" hidden="false" customHeight="false" outlineLevel="0" collapsed="false">
      <c r="B6" s="52" t="n">
        <v>2</v>
      </c>
      <c r="C6" s="7"/>
      <c r="D6" s="53"/>
      <c r="E6" s="53"/>
      <c r="F6" s="53"/>
      <c r="G6" s="52"/>
      <c r="H6" s="51" t="str">
        <f aca="false">IF(OR(DecisionLog[[#This Row],[Decision]]="",DecisionLog[[#This Row],[Status]]&lt;&gt;"Proposed",N(DecisionLog[[#This Row],[Date]])=0),"",MAX(0,StatusDate-DecisionLog[[#This Row],[Date]]))</f>
        <v/>
      </c>
      <c r="I6" s="52"/>
      <c r="J6" s="30" t="str">
        <f aca="false">IF(N(DecisionLog[[#This Row],[Task UID]])=0,"",IFERROR(INDEX(tsk_Name,MATCH(DecisionLog[[#This Row],[Task UID]],tsk_UID,0)),"UID "&amp;DecisionLog[[#This Row],[Task UID]]&amp;" not found"))</f>
        <v/>
      </c>
      <c r="K6" s="52"/>
    </row>
    <row r="7" customFormat="false" ht="15" hidden="false" customHeight="false" outlineLevel="0" collapsed="false">
      <c r="B7" s="52" t="n">
        <v>3</v>
      </c>
      <c r="C7" s="7"/>
      <c r="D7" s="53"/>
      <c r="E7" s="53"/>
      <c r="F7" s="53"/>
      <c r="G7" s="52"/>
      <c r="H7" s="51" t="str">
        <f aca="false">IF(OR(DecisionLog[[#This Row],[Decision]]="",DecisionLog[[#This Row],[Status]]&lt;&gt;"Proposed",N(DecisionLog[[#This Row],[Date]])=0),"",MAX(0,StatusDate-DecisionLog[[#This Row],[Date]]))</f>
        <v/>
      </c>
      <c r="I7" s="52"/>
      <c r="J7" s="30" t="str">
        <f aca="false">IF(N(DecisionLog[[#This Row],[Task UID]])=0,"",IFERROR(INDEX(tsk_Name,MATCH(DecisionLog[[#This Row],[Task UID]],tsk_UID,0)),"UID "&amp;DecisionLog[[#This Row],[Task UID]]&amp;" not found"))</f>
        <v/>
      </c>
      <c r="K7" s="52"/>
    </row>
    <row r="8" customFormat="false" ht="15" hidden="false" customHeight="false" outlineLevel="0" collapsed="false">
      <c r="B8" s="52" t="n">
        <v>4</v>
      </c>
      <c r="C8" s="7"/>
      <c r="D8" s="53"/>
      <c r="E8" s="53"/>
      <c r="F8" s="53"/>
      <c r="G8" s="52"/>
      <c r="H8" s="51" t="str">
        <f aca="false">IF(OR(DecisionLog[[#This Row],[Decision]]="",DecisionLog[[#This Row],[Status]]&lt;&gt;"Proposed",N(DecisionLog[[#This Row],[Date]])=0),"",MAX(0,StatusDate-DecisionLog[[#This Row],[Date]]))</f>
        <v/>
      </c>
      <c r="I8" s="52"/>
      <c r="J8" s="30" t="str">
        <f aca="false">IF(N(DecisionLog[[#This Row],[Task UID]])=0,"",IFERROR(INDEX(tsk_Name,MATCH(DecisionLog[[#This Row],[Task UID]],tsk_UID,0)),"UID "&amp;DecisionLog[[#This Row],[Task UID]]&amp;" not found"))</f>
        <v/>
      </c>
      <c r="K8" s="52"/>
    </row>
    <row r="9" customFormat="false" ht="15" hidden="false" customHeight="false" outlineLevel="0" collapsed="false">
      <c r="B9" s="52" t="n">
        <v>5</v>
      </c>
      <c r="C9" s="7"/>
      <c r="D9" s="53"/>
      <c r="E9" s="53"/>
      <c r="F9" s="53"/>
      <c r="G9" s="52"/>
      <c r="H9" s="51" t="str">
        <f aca="false">IF(OR(DecisionLog[[#This Row],[Decision]]="",DecisionLog[[#This Row],[Status]]&lt;&gt;"Proposed",N(DecisionLog[[#This Row],[Date]])=0),"",MAX(0,StatusDate-DecisionLog[[#This Row],[Date]]))</f>
        <v/>
      </c>
      <c r="I9" s="52"/>
      <c r="J9" s="30" t="str">
        <f aca="false">IF(N(DecisionLog[[#This Row],[Task UID]])=0,"",IFERROR(INDEX(tsk_Name,MATCH(DecisionLog[[#This Row],[Task UID]],tsk_UID,0)),"UID "&amp;DecisionLog[[#This Row],[Task UID]]&amp;" not found"))</f>
        <v/>
      </c>
      <c r="K9" s="52"/>
    </row>
    <row r="10" customFormat="false" ht="15" hidden="false" customHeight="false" outlineLevel="0" collapsed="false">
      <c r="B10" s="52" t="n">
        <v>6</v>
      </c>
      <c r="C10" s="7"/>
      <c r="D10" s="53"/>
      <c r="E10" s="53"/>
      <c r="F10" s="53"/>
      <c r="G10" s="52"/>
      <c r="H10" s="51" t="str">
        <f aca="false">IF(OR(DecisionLog[[#This Row],[Decision]]="",DecisionLog[[#This Row],[Status]]&lt;&gt;"Proposed",N(DecisionLog[[#This Row],[Date]])=0),"",MAX(0,StatusDate-DecisionLog[[#This Row],[Date]]))</f>
        <v/>
      </c>
      <c r="I10" s="52"/>
      <c r="J10" s="30" t="str">
        <f aca="false">IF(N(DecisionLog[[#This Row],[Task UID]])=0,"",IFERROR(INDEX(tsk_Name,MATCH(DecisionLog[[#This Row],[Task UID]],tsk_UID,0)),"UID "&amp;DecisionLog[[#This Row],[Task UID]]&amp;" not found"))</f>
        <v/>
      </c>
      <c r="K10" s="52"/>
    </row>
    <row r="11" customFormat="false" ht="15" hidden="false" customHeight="false" outlineLevel="0" collapsed="false">
      <c r="B11" s="52" t="n">
        <v>7</v>
      </c>
      <c r="C11" s="7"/>
      <c r="D11" s="53"/>
      <c r="E11" s="53"/>
      <c r="F11" s="53"/>
      <c r="G11" s="52"/>
      <c r="H11" s="51" t="str">
        <f aca="false">IF(OR(DecisionLog[[#This Row],[Decision]]="",DecisionLog[[#This Row],[Status]]&lt;&gt;"Proposed",N(DecisionLog[[#This Row],[Date]])=0),"",MAX(0,StatusDate-DecisionLog[[#This Row],[Date]]))</f>
        <v/>
      </c>
      <c r="I11" s="52"/>
      <c r="J11" s="30" t="str">
        <f aca="false">IF(N(DecisionLog[[#This Row],[Task UID]])=0,"",IFERROR(INDEX(tsk_Name,MATCH(DecisionLog[[#This Row],[Task UID]],tsk_UID,0)),"UID "&amp;DecisionLog[[#This Row],[Task UID]]&amp;" not found"))</f>
        <v/>
      </c>
      <c r="K11" s="52"/>
    </row>
    <row r="12" customFormat="false" ht="15" hidden="false" customHeight="false" outlineLevel="0" collapsed="false">
      <c r="B12" s="52" t="n">
        <v>8</v>
      </c>
      <c r="C12" s="7"/>
      <c r="D12" s="53"/>
      <c r="E12" s="53"/>
      <c r="F12" s="53"/>
      <c r="G12" s="52"/>
      <c r="H12" s="51" t="str">
        <f aca="false">IF(OR(DecisionLog[[#This Row],[Decision]]="",DecisionLog[[#This Row],[Status]]&lt;&gt;"Proposed",N(DecisionLog[[#This Row],[Date]])=0),"",MAX(0,StatusDate-DecisionLog[[#This Row],[Date]]))</f>
        <v/>
      </c>
      <c r="I12" s="52"/>
      <c r="J12" s="30" t="str">
        <f aca="false">IF(N(DecisionLog[[#This Row],[Task UID]])=0,"",IFERROR(INDEX(tsk_Name,MATCH(DecisionLog[[#This Row],[Task UID]],tsk_UID,0)),"UID "&amp;DecisionLog[[#This Row],[Task UID]]&amp;" not found"))</f>
        <v/>
      </c>
      <c r="K12" s="52"/>
    </row>
    <row r="13" customFormat="false" ht="15" hidden="false" customHeight="false" outlineLevel="0" collapsed="false">
      <c r="B13" s="52" t="n">
        <v>9</v>
      </c>
      <c r="C13" s="7"/>
      <c r="D13" s="53"/>
      <c r="E13" s="53"/>
      <c r="F13" s="53"/>
      <c r="G13" s="52"/>
      <c r="H13" s="51" t="str">
        <f aca="false">IF(OR(DecisionLog[[#This Row],[Decision]]="",DecisionLog[[#This Row],[Status]]&lt;&gt;"Proposed",N(DecisionLog[[#This Row],[Date]])=0),"",MAX(0,StatusDate-DecisionLog[[#This Row],[Date]]))</f>
        <v/>
      </c>
      <c r="I13" s="52"/>
      <c r="J13" s="30" t="str">
        <f aca="false">IF(N(DecisionLog[[#This Row],[Task UID]])=0,"",IFERROR(INDEX(tsk_Name,MATCH(DecisionLog[[#This Row],[Task UID]],tsk_UID,0)),"UID "&amp;DecisionLog[[#This Row],[Task UID]]&amp;" not found"))</f>
        <v/>
      </c>
      <c r="K13" s="52"/>
    </row>
    <row r="14" customFormat="false" ht="15" hidden="false" customHeight="false" outlineLevel="0" collapsed="false">
      <c r="B14" s="52" t="n">
        <v>10</v>
      </c>
      <c r="C14" s="7"/>
      <c r="D14" s="53"/>
      <c r="E14" s="53"/>
      <c r="F14" s="53"/>
      <c r="G14" s="52"/>
      <c r="H14" s="51" t="str">
        <f aca="false">IF(OR(DecisionLog[[#This Row],[Decision]]="",DecisionLog[[#This Row],[Status]]&lt;&gt;"Proposed",N(DecisionLog[[#This Row],[Date]])=0),"",MAX(0,StatusDate-DecisionLog[[#This Row],[Date]]))</f>
        <v/>
      </c>
      <c r="I14" s="52"/>
      <c r="J14" s="30" t="str">
        <f aca="false">IF(N(DecisionLog[[#This Row],[Task UID]])=0,"",IFERROR(INDEX(tsk_Name,MATCH(DecisionLog[[#This Row],[Task UID]],tsk_UID,0)),"UID "&amp;DecisionLog[[#This Row],[Task UID]]&amp;" not found"))</f>
        <v/>
      </c>
      <c r="K14" s="52"/>
    </row>
    <row r="15" customFormat="false" ht="15" hidden="false" customHeight="false" outlineLevel="0" collapsed="false">
      <c r="B15" s="52" t="n">
        <v>11</v>
      </c>
      <c r="C15" s="7"/>
      <c r="D15" s="53"/>
      <c r="E15" s="53"/>
      <c r="F15" s="53"/>
      <c r="G15" s="52"/>
      <c r="H15" s="51" t="str">
        <f aca="false">IF(OR(DecisionLog[[#This Row],[Decision]]="",DecisionLog[[#This Row],[Status]]&lt;&gt;"Proposed",N(DecisionLog[[#This Row],[Date]])=0),"",MAX(0,StatusDate-DecisionLog[[#This Row],[Date]]))</f>
        <v/>
      </c>
      <c r="I15" s="52"/>
      <c r="J15" s="30" t="str">
        <f aca="false">IF(N(DecisionLog[[#This Row],[Task UID]])=0,"",IFERROR(INDEX(tsk_Name,MATCH(DecisionLog[[#This Row],[Task UID]],tsk_UID,0)),"UID "&amp;DecisionLog[[#This Row],[Task UID]]&amp;" not found"))</f>
        <v/>
      </c>
      <c r="K15" s="52"/>
    </row>
    <row r="16" customFormat="false" ht="15" hidden="false" customHeight="false" outlineLevel="0" collapsed="false">
      <c r="B16" s="52" t="n">
        <v>12</v>
      </c>
      <c r="C16" s="7"/>
      <c r="D16" s="53"/>
      <c r="E16" s="53"/>
      <c r="F16" s="53"/>
      <c r="G16" s="52"/>
      <c r="H16" s="51" t="str">
        <f aca="false">IF(OR(DecisionLog[[#This Row],[Decision]]="",DecisionLog[[#This Row],[Status]]&lt;&gt;"Proposed",N(DecisionLog[[#This Row],[Date]])=0),"",MAX(0,StatusDate-DecisionLog[[#This Row],[Date]]))</f>
        <v/>
      </c>
      <c r="I16" s="52"/>
      <c r="J16" s="30" t="str">
        <f aca="false">IF(N(DecisionLog[[#This Row],[Task UID]])=0,"",IFERROR(INDEX(tsk_Name,MATCH(DecisionLog[[#This Row],[Task UID]],tsk_UID,0)),"UID "&amp;DecisionLog[[#This Row],[Task UID]]&amp;" not found"))</f>
        <v/>
      </c>
      <c r="K16" s="52"/>
    </row>
    <row r="17" customFormat="false" ht="15" hidden="false" customHeight="false" outlineLevel="0" collapsed="false">
      <c r="B17" s="52" t="n">
        <v>13</v>
      </c>
      <c r="C17" s="7"/>
      <c r="D17" s="53"/>
      <c r="E17" s="53"/>
      <c r="F17" s="53"/>
      <c r="G17" s="52"/>
      <c r="H17" s="51" t="str">
        <f aca="false">IF(OR(DecisionLog[[#This Row],[Decision]]="",DecisionLog[[#This Row],[Status]]&lt;&gt;"Proposed",N(DecisionLog[[#This Row],[Date]])=0),"",MAX(0,StatusDate-DecisionLog[[#This Row],[Date]]))</f>
        <v/>
      </c>
      <c r="I17" s="52"/>
      <c r="J17" s="30" t="str">
        <f aca="false">IF(N(DecisionLog[[#This Row],[Task UID]])=0,"",IFERROR(INDEX(tsk_Name,MATCH(DecisionLog[[#This Row],[Task UID]],tsk_UID,0)),"UID "&amp;DecisionLog[[#This Row],[Task UID]]&amp;" not found"))</f>
        <v/>
      </c>
      <c r="K17" s="52"/>
    </row>
    <row r="18" customFormat="false" ht="15" hidden="false" customHeight="false" outlineLevel="0" collapsed="false">
      <c r="B18" s="52" t="n">
        <v>14</v>
      </c>
      <c r="C18" s="7"/>
      <c r="D18" s="53"/>
      <c r="E18" s="53"/>
      <c r="F18" s="53"/>
      <c r="G18" s="52"/>
      <c r="H18" s="51" t="str">
        <f aca="false">IF(OR(DecisionLog[[#This Row],[Decision]]="",DecisionLog[[#This Row],[Status]]&lt;&gt;"Proposed",N(DecisionLog[[#This Row],[Date]])=0),"",MAX(0,StatusDate-DecisionLog[[#This Row],[Date]]))</f>
        <v/>
      </c>
      <c r="I18" s="52"/>
      <c r="J18" s="30" t="str">
        <f aca="false">IF(N(DecisionLog[[#This Row],[Task UID]])=0,"",IFERROR(INDEX(tsk_Name,MATCH(DecisionLog[[#This Row],[Task UID]],tsk_UID,0)),"UID "&amp;DecisionLog[[#This Row],[Task UID]]&amp;" not found"))</f>
        <v/>
      </c>
      <c r="K18" s="52"/>
    </row>
    <row r="19" customFormat="false" ht="15" hidden="false" customHeight="false" outlineLevel="0" collapsed="false">
      <c r="B19" s="52" t="n">
        <v>15</v>
      </c>
      <c r="C19" s="7"/>
      <c r="D19" s="53"/>
      <c r="E19" s="53"/>
      <c r="F19" s="53"/>
      <c r="G19" s="52"/>
      <c r="H19" s="51" t="str">
        <f aca="false">IF(OR(DecisionLog[[#This Row],[Decision]]="",DecisionLog[[#This Row],[Status]]&lt;&gt;"Proposed",N(DecisionLog[[#This Row],[Date]])=0),"",MAX(0,StatusDate-DecisionLog[[#This Row],[Date]]))</f>
        <v/>
      </c>
      <c r="I19" s="52"/>
      <c r="J19" s="30" t="str">
        <f aca="false">IF(N(DecisionLog[[#This Row],[Task UID]])=0,"",IFERROR(INDEX(tsk_Name,MATCH(DecisionLog[[#This Row],[Task UID]],tsk_UID,0)),"UID "&amp;DecisionLog[[#This Row],[Task UID]]&amp;" not found"))</f>
        <v/>
      </c>
      <c r="K19" s="52"/>
    </row>
    <row r="20" customFormat="false" ht="15" hidden="false" customHeight="false" outlineLevel="0" collapsed="false">
      <c r="B20" s="52" t="n">
        <v>16</v>
      </c>
      <c r="C20" s="7"/>
      <c r="D20" s="53"/>
      <c r="E20" s="53"/>
      <c r="F20" s="53"/>
      <c r="G20" s="52"/>
      <c r="H20" s="51" t="str">
        <f aca="false">IF(OR(DecisionLog[[#This Row],[Decision]]="",DecisionLog[[#This Row],[Status]]&lt;&gt;"Proposed",N(DecisionLog[[#This Row],[Date]])=0),"",MAX(0,StatusDate-DecisionLog[[#This Row],[Date]]))</f>
        <v/>
      </c>
      <c r="I20" s="52"/>
      <c r="J20" s="30" t="str">
        <f aca="false">IF(N(DecisionLog[[#This Row],[Task UID]])=0,"",IFERROR(INDEX(tsk_Name,MATCH(DecisionLog[[#This Row],[Task UID]],tsk_UID,0)),"UID "&amp;DecisionLog[[#This Row],[Task UID]]&amp;" not found"))</f>
        <v/>
      </c>
      <c r="K20" s="52"/>
    </row>
    <row r="21" customFormat="false" ht="15" hidden="false" customHeight="false" outlineLevel="0" collapsed="false">
      <c r="B21" s="52" t="n">
        <v>17</v>
      </c>
      <c r="C21" s="7"/>
      <c r="D21" s="53"/>
      <c r="E21" s="53"/>
      <c r="F21" s="53"/>
      <c r="G21" s="52"/>
      <c r="H21" s="51" t="str">
        <f aca="false">IF(OR(DecisionLog[[#This Row],[Decision]]="",DecisionLog[[#This Row],[Status]]&lt;&gt;"Proposed",N(DecisionLog[[#This Row],[Date]])=0),"",MAX(0,StatusDate-DecisionLog[[#This Row],[Date]]))</f>
        <v/>
      </c>
      <c r="I21" s="52"/>
      <c r="J21" s="30" t="str">
        <f aca="false">IF(N(DecisionLog[[#This Row],[Task UID]])=0,"",IFERROR(INDEX(tsk_Name,MATCH(DecisionLog[[#This Row],[Task UID]],tsk_UID,0)),"UID "&amp;DecisionLog[[#This Row],[Task UID]]&amp;" not found"))</f>
        <v/>
      </c>
      <c r="K21" s="52"/>
    </row>
    <row r="22" customFormat="false" ht="15" hidden="false" customHeight="false" outlineLevel="0" collapsed="false">
      <c r="B22" s="52" t="n">
        <v>18</v>
      </c>
      <c r="C22" s="7"/>
      <c r="D22" s="53"/>
      <c r="E22" s="53"/>
      <c r="F22" s="53"/>
      <c r="G22" s="52"/>
      <c r="H22" s="51" t="str">
        <f aca="false">IF(OR(DecisionLog[[#This Row],[Decision]]="",DecisionLog[[#This Row],[Status]]&lt;&gt;"Proposed",N(DecisionLog[[#This Row],[Date]])=0),"",MAX(0,StatusDate-DecisionLog[[#This Row],[Date]]))</f>
        <v/>
      </c>
      <c r="I22" s="52"/>
      <c r="J22" s="30" t="str">
        <f aca="false">IF(N(DecisionLog[[#This Row],[Task UID]])=0,"",IFERROR(INDEX(tsk_Name,MATCH(DecisionLog[[#This Row],[Task UID]],tsk_UID,0)),"UID "&amp;DecisionLog[[#This Row],[Task UID]]&amp;" not found"))</f>
        <v/>
      </c>
      <c r="K22" s="52"/>
    </row>
    <row r="23" customFormat="false" ht="15" hidden="false" customHeight="false" outlineLevel="0" collapsed="false">
      <c r="B23" s="52" t="n">
        <v>19</v>
      </c>
      <c r="C23" s="7"/>
      <c r="D23" s="53"/>
      <c r="E23" s="53"/>
      <c r="F23" s="53"/>
      <c r="G23" s="52"/>
      <c r="H23" s="51" t="str">
        <f aca="false">IF(OR(DecisionLog[[#This Row],[Decision]]="",DecisionLog[[#This Row],[Status]]&lt;&gt;"Proposed",N(DecisionLog[[#This Row],[Date]])=0),"",MAX(0,StatusDate-DecisionLog[[#This Row],[Date]]))</f>
        <v/>
      </c>
      <c r="I23" s="52"/>
      <c r="J23" s="30" t="str">
        <f aca="false">IF(N(DecisionLog[[#This Row],[Task UID]])=0,"",IFERROR(INDEX(tsk_Name,MATCH(DecisionLog[[#This Row],[Task UID]],tsk_UID,0)),"UID "&amp;DecisionLog[[#This Row],[Task UID]]&amp;" not found"))</f>
        <v/>
      </c>
      <c r="K23" s="52"/>
    </row>
    <row r="24" customFormat="false" ht="15" hidden="false" customHeight="false" outlineLevel="0" collapsed="false">
      <c r="B24" s="52" t="n">
        <v>20</v>
      </c>
      <c r="C24" s="7"/>
      <c r="D24" s="53"/>
      <c r="E24" s="53"/>
      <c r="F24" s="53"/>
      <c r="G24" s="52"/>
      <c r="H24" s="51" t="str">
        <f aca="false">IF(OR(DecisionLog[[#This Row],[Decision]]="",DecisionLog[[#This Row],[Status]]&lt;&gt;"Proposed",N(DecisionLog[[#This Row],[Date]])=0),"",MAX(0,StatusDate-DecisionLog[[#This Row],[Date]]))</f>
        <v/>
      </c>
      <c r="I24" s="52"/>
      <c r="J24" s="30" t="str">
        <f aca="false">IF(N(DecisionLog[[#This Row],[Task UID]])=0,"",IFERROR(INDEX(tsk_Name,MATCH(DecisionLog[[#This Row],[Task UID]],tsk_UID,0)),"UID "&amp;DecisionLog[[#This Row],[Task UID]]&amp;" not found"))</f>
        <v/>
      </c>
      <c r="K24" s="52"/>
    </row>
    <row r="25" customFormat="false" ht="15" hidden="false" customHeight="false" outlineLevel="0" collapsed="false">
      <c r="B25" s="52" t="n">
        <v>21</v>
      </c>
      <c r="C25" s="7"/>
      <c r="D25" s="53"/>
      <c r="E25" s="53"/>
      <c r="F25" s="53"/>
      <c r="G25" s="52"/>
      <c r="H25" s="51" t="str">
        <f aca="false">IF(OR(DecisionLog[[#This Row],[Decision]]="",DecisionLog[[#This Row],[Status]]&lt;&gt;"Proposed",N(DecisionLog[[#This Row],[Date]])=0),"",MAX(0,StatusDate-DecisionLog[[#This Row],[Date]]))</f>
        <v/>
      </c>
      <c r="I25" s="52"/>
      <c r="J25" s="30" t="str">
        <f aca="false">IF(N(DecisionLog[[#This Row],[Task UID]])=0,"",IFERROR(INDEX(tsk_Name,MATCH(DecisionLog[[#This Row],[Task UID]],tsk_UID,0)),"UID "&amp;DecisionLog[[#This Row],[Task UID]]&amp;" not found"))</f>
        <v/>
      </c>
      <c r="K25" s="52"/>
    </row>
    <row r="26" customFormat="false" ht="15" hidden="false" customHeight="false" outlineLevel="0" collapsed="false">
      <c r="B26" s="52" t="n">
        <v>22</v>
      </c>
      <c r="C26" s="7"/>
      <c r="D26" s="53"/>
      <c r="E26" s="53"/>
      <c r="F26" s="53"/>
      <c r="G26" s="52"/>
      <c r="H26" s="51" t="str">
        <f aca="false">IF(OR(DecisionLog[[#This Row],[Decision]]="",DecisionLog[[#This Row],[Status]]&lt;&gt;"Proposed",N(DecisionLog[[#This Row],[Date]])=0),"",MAX(0,StatusDate-DecisionLog[[#This Row],[Date]]))</f>
        <v/>
      </c>
      <c r="I26" s="52"/>
      <c r="J26" s="30" t="str">
        <f aca="false">IF(N(DecisionLog[[#This Row],[Task UID]])=0,"",IFERROR(INDEX(tsk_Name,MATCH(DecisionLog[[#This Row],[Task UID]],tsk_UID,0)),"UID "&amp;DecisionLog[[#This Row],[Task UID]]&amp;" not found"))</f>
        <v/>
      </c>
      <c r="K26" s="52"/>
    </row>
    <row r="27" customFormat="false" ht="15" hidden="false" customHeight="false" outlineLevel="0" collapsed="false">
      <c r="B27" s="52" t="n">
        <v>23</v>
      </c>
      <c r="C27" s="7"/>
      <c r="D27" s="53"/>
      <c r="E27" s="53"/>
      <c r="F27" s="53"/>
      <c r="G27" s="52"/>
      <c r="H27" s="51" t="str">
        <f aca="false">IF(OR(DecisionLog[[#This Row],[Decision]]="",DecisionLog[[#This Row],[Status]]&lt;&gt;"Proposed",N(DecisionLog[[#This Row],[Date]])=0),"",MAX(0,StatusDate-DecisionLog[[#This Row],[Date]]))</f>
        <v/>
      </c>
      <c r="I27" s="52"/>
      <c r="J27" s="30" t="str">
        <f aca="false">IF(N(DecisionLog[[#This Row],[Task UID]])=0,"",IFERROR(INDEX(tsk_Name,MATCH(DecisionLog[[#This Row],[Task UID]],tsk_UID,0)),"UID "&amp;DecisionLog[[#This Row],[Task UID]]&amp;" not found"))</f>
        <v/>
      </c>
      <c r="K27" s="52"/>
    </row>
    <row r="28" customFormat="false" ht="15" hidden="false" customHeight="false" outlineLevel="0" collapsed="false">
      <c r="B28" s="52" t="n">
        <v>24</v>
      </c>
      <c r="C28" s="7"/>
      <c r="D28" s="53"/>
      <c r="E28" s="53"/>
      <c r="F28" s="53"/>
      <c r="G28" s="52"/>
      <c r="H28" s="51" t="str">
        <f aca="false">IF(OR(DecisionLog[[#This Row],[Decision]]="",DecisionLog[[#This Row],[Status]]&lt;&gt;"Proposed",N(DecisionLog[[#This Row],[Date]])=0),"",MAX(0,StatusDate-DecisionLog[[#This Row],[Date]]))</f>
        <v/>
      </c>
      <c r="I28" s="52"/>
      <c r="J28" s="30" t="str">
        <f aca="false">IF(N(DecisionLog[[#This Row],[Task UID]])=0,"",IFERROR(INDEX(tsk_Name,MATCH(DecisionLog[[#This Row],[Task UID]],tsk_UID,0)),"UID "&amp;DecisionLog[[#This Row],[Task UID]]&amp;" not found"))</f>
        <v/>
      </c>
      <c r="K28" s="52"/>
    </row>
    <row r="29" customFormat="false" ht="15" hidden="false" customHeight="false" outlineLevel="0" collapsed="false">
      <c r="B29" s="52" t="n">
        <v>25</v>
      </c>
      <c r="C29" s="7"/>
      <c r="D29" s="53"/>
      <c r="E29" s="53"/>
      <c r="F29" s="53"/>
      <c r="G29" s="52"/>
      <c r="H29" s="51" t="str">
        <f aca="false">IF(OR(DecisionLog[[#This Row],[Decision]]="",DecisionLog[[#This Row],[Status]]&lt;&gt;"Proposed",N(DecisionLog[[#This Row],[Date]])=0),"",MAX(0,StatusDate-DecisionLog[[#This Row],[Date]]))</f>
        <v/>
      </c>
      <c r="I29" s="52"/>
      <c r="J29" s="30" t="str">
        <f aca="false">IF(N(DecisionLog[[#This Row],[Task UID]])=0,"",IFERROR(INDEX(tsk_Name,MATCH(DecisionLog[[#This Row],[Task UID]],tsk_UID,0)),"UID "&amp;DecisionLog[[#This Row],[Task UID]]&amp;" not found"))</f>
        <v/>
      </c>
      <c r="K29" s="52"/>
    </row>
    <row r="30" customFormat="false" ht="15" hidden="false" customHeight="false" outlineLevel="0" collapsed="false">
      <c r="B30" s="52" t="n">
        <v>26</v>
      </c>
      <c r="C30" s="7"/>
      <c r="D30" s="53"/>
      <c r="E30" s="53"/>
      <c r="F30" s="53"/>
      <c r="G30" s="52"/>
      <c r="H30" s="51" t="str">
        <f aca="false">IF(OR(DecisionLog[[#This Row],[Decision]]="",DecisionLog[[#This Row],[Status]]&lt;&gt;"Proposed",N(DecisionLog[[#This Row],[Date]])=0),"",MAX(0,StatusDate-DecisionLog[[#This Row],[Date]]))</f>
        <v/>
      </c>
      <c r="I30" s="52"/>
      <c r="J30" s="30" t="str">
        <f aca="false">IF(N(DecisionLog[[#This Row],[Task UID]])=0,"",IFERROR(INDEX(tsk_Name,MATCH(DecisionLog[[#This Row],[Task UID]],tsk_UID,0)),"UID "&amp;DecisionLog[[#This Row],[Task UID]]&amp;" not found"))</f>
        <v/>
      </c>
      <c r="K30" s="52"/>
    </row>
    <row r="31" customFormat="false" ht="15" hidden="false" customHeight="false" outlineLevel="0" collapsed="false">
      <c r="B31" s="52" t="n">
        <v>27</v>
      </c>
      <c r="C31" s="7"/>
      <c r="D31" s="53"/>
      <c r="E31" s="53"/>
      <c r="F31" s="53"/>
      <c r="G31" s="52"/>
      <c r="H31" s="51" t="str">
        <f aca="false">IF(OR(DecisionLog[[#This Row],[Decision]]="",DecisionLog[[#This Row],[Status]]&lt;&gt;"Proposed",N(DecisionLog[[#This Row],[Date]])=0),"",MAX(0,StatusDate-DecisionLog[[#This Row],[Date]]))</f>
        <v/>
      </c>
      <c r="I31" s="52"/>
      <c r="J31" s="30" t="str">
        <f aca="false">IF(N(DecisionLog[[#This Row],[Task UID]])=0,"",IFERROR(INDEX(tsk_Name,MATCH(DecisionLog[[#This Row],[Task UID]],tsk_UID,0)),"UID "&amp;DecisionLog[[#This Row],[Task UID]]&amp;" not found"))</f>
        <v/>
      </c>
      <c r="K31" s="52"/>
    </row>
    <row r="32" customFormat="false" ht="15" hidden="false" customHeight="false" outlineLevel="0" collapsed="false">
      <c r="B32" s="52" t="n">
        <v>28</v>
      </c>
      <c r="C32" s="7"/>
      <c r="D32" s="53"/>
      <c r="E32" s="53"/>
      <c r="F32" s="53"/>
      <c r="G32" s="52"/>
      <c r="H32" s="51" t="str">
        <f aca="false">IF(OR(DecisionLog[[#This Row],[Decision]]="",DecisionLog[[#This Row],[Status]]&lt;&gt;"Proposed",N(DecisionLog[[#This Row],[Date]])=0),"",MAX(0,StatusDate-DecisionLog[[#This Row],[Date]]))</f>
        <v/>
      </c>
      <c r="I32" s="52"/>
      <c r="J32" s="30" t="str">
        <f aca="false">IF(N(DecisionLog[[#This Row],[Task UID]])=0,"",IFERROR(INDEX(tsk_Name,MATCH(DecisionLog[[#This Row],[Task UID]],tsk_UID,0)),"UID "&amp;DecisionLog[[#This Row],[Task UID]]&amp;" not found"))</f>
        <v/>
      </c>
      <c r="K32" s="52"/>
    </row>
    <row r="33" customFormat="false" ht="15" hidden="false" customHeight="false" outlineLevel="0" collapsed="false">
      <c r="B33" s="52" t="n">
        <v>29</v>
      </c>
      <c r="C33" s="7"/>
      <c r="D33" s="53"/>
      <c r="E33" s="53"/>
      <c r="F33" s="53"/>
      <c r="G33" s="52"/>
      <c r="H33" s="51" t="str">
        <f aca="false">IF(OR(DecisionLog[[#This Row],[Decision]]="",DecisionLog[[#This Row],[Status]]&lt;&gt;"Proposed",N(DecisionLog[[#This Row],[Date]])=0),"",MAX(0,StatusDate-DecisionLog[[#This Row],[Date]]))</f>
        <v/>
      </c>
      <c r="I33" s="52"/>
      <c r="J33" s="30" t="str">
        <f aca="false">IF(N(DecisionLog[[#This Row],[Task UID]])=0,"",IFERROR(INDEX(tsk_Name,MATCH(DecisionLog[[#This Row],[Task UID]],tsk_UID,0)),"UID "&amp;DecisionLog[[#This Row],[Task UID]]&amp;" not found"))</f>
        <v/>
      </c>
      <c r="K33" s="52"/>
    </row>
    <row r="34" customFormat="false" ht="15" hidden="false" customHeight="false" outlineLevel="0" collapsed="false">
      <c r="B34" s="52" t="n">
        <v>30</v>
      </c>
      <c r="C34" s="7"/>
      <c r="D34" s="53"/>
      <c r="E34" s="53"/>
      <c r="F34" s="53"/>
      <c r="G34" s="52"/>
      <c r="H34" s="51" t="str">
        <f aca="false">IF(OR(DecisionLog[[#This Row],[Decision]]="",DecisionLog[[#This Row],[Status]]&lt;&gt;"Proposed",N(DecisionLog[[#This Row],[Date]])=0),"",MAX(0,StatusDate-DecisionLog[[#This Row],[Date]]))</f>
        <v/>
      </c>
      <c r="I34" s="52"/>
      <c r="J34" s="30" t="str">
        <f aca="false">IF(N(DecisionLog[[#This Row],[Task UID]])=0,"",IFERROR(INDEX(tsk_Name,MATCH(DecisionLog[[#This Row],[Task UID]],tsk_UID,0)),"UID "&amp;DecisionLog[[#This Row],[Task UID]]&amp;" not found"))</f>
        <v/>
      </c>
      <c r="K34" s="52"/>
    </row>
    <row r="35" customFormat="false" ht="15" hidden="false" customHeight="false" outlineLevel="0" collapsed="false">
      <c r="B35" s="52" t="n">
        <v>31</v>
      </c>
      <c r="C35" s="7"/>
      <c r="D35" s="53"/>
      <c r="E35" s="53"/>
      <c r="F35" s="53"/>
      <c r="G35" s="52"/>
      <c r="H35" s="51" t="str">
        <f aca="false">IF(OR(DecisionLog[[#This Row],[Decision]]="",DecisionLog[[#This Row],[Status]]&lt;&gt;"Proposed",N(DecisionLog[[#This Row],[Date]])=0),"",MAX(0,StatusDate-DecisionLog[[#This Row],[Date]]))</f>
        <v/>
      </c>
      <c r="I35" s="52"/>
      <c r="J35" s="30" t="str">
        <f aca="false">IF(N(DecisionLog[[#This Row],[Task UID]])=0,"",IFERROR(INDEX(tsk_Name,MATCH(DecisionLog[[#This Row],[Task UID]],tsk_UID,0)),"UID "&amp;DecisionLog[[#This Row],[Task UID]]&amp;" not found"))</f>
        <v/>
      </c>
      <c r="K35" s="52"/>
    </row>
    <row r="36" customFormat="false" ht="15" hidden="false" customHeight="false" outlineLevel="0" collapsed="false">
      <c r="B36" s="52" t="n">
        <v>32</v>
      </c>
      <c r="C36" s="7"/>
      <c r="D36" s="53"/>
      <c r="E36" s="53"/>
      <c r="F36" s="53"/>
      <c r="G36" s="52"/>
      <c r="H36" s="51" t="str">
        <f aca="false">IF(OR(DecisionLog[[#This Row],[Decision]]="",DecisionLog[[#This Row],[Status]]&lt;&gt;"Proposed",N(DecisionLog[[#This Row],[Date]])=0),"",MAX(0,StatusDate-DecisionLog[[#This Row],[Date]]))</f>
        <v/>
      </c>
      <c r="I36" s="52"/>
      <c r="J36" s="30" t="str">
        <f aca="false">IF(N(DecisionLog[[#This Row],[Task UID]])=0,"",IFERROR(INDEX(tsk_Name,MATCH(DecisionLog[[#This Row],[Task UID]],tsk_UID,0)),"UID "&amp;DecisionLog[[#This Row],[Task UID]]&amp;" not found"))</f>
        <v/>
      </c>
      <c r="K36" s="52"/>
    </row>
    <row r="37" customFormat="false" ht="15" hidden="false" customHeight="false" outlineLevel="0" collapsed="false">
      <c r="B37" s="52" t="n">
        <v>33</v>
      </c>
      <c r="C37" s="7"/>
      <c r="D37" s="53"/>
      <c r="E37" s="53"/>
      <c r="F37" s="53"/>
      <c r="G37" s="52"/>
      <c r="H37" s="51" t="str">
        <f aca="false">IF(OR(DecisionLog[[#This Row],[Decision]]="",DecisionLog[[#This Row],[Status]]&lt;&gt;"Proposed",N(DecisionLog[[#This Row],[Date]])=0),"",MAX(0,StatusDate-DecisionLog[[#This Row],[Date]]))</f>
        <v/>
      </c>
      <c r="I37" s="52"/>
      <c r="J37" s="30" t="str">
        <f aca="false">IF(N(DecisionLog[[#This Row],[Task UID]])=0,"",IFERROR(INDEX(tsk_Name,MATCH(DecisionLog[[#This Row],[Task UID]],tsk_UID,0)),"UID "&amp;DecisionLog[[#This Row],[Task UID]]&amp;" not found"))</f>
        <v/>
      </c>
      <c r="K37" s="52"/>
    </row>
    <row r="38" customFormat="false" ht="15" hidden="false" customHeight="false" outlineLevel="0" collapsed="false">
      <c r="B38" s="52" t="n">
        <v>34</v>
      </c>
      <c r="C38" s="7"/>
      <c r="D38" s="53"/>
      <c r="E38" s="53"/>
      <c r="F38" s="53"/>
      <c r="G38" s="52"/>
      <c r="H38" s="51" t="str">
        <f aca="false">IF(OR(DecisionLog[[#This Row],[Decision]]="",DecisionLog[[#This Row],[Status]]&lt;&gt;"Proposed",N(DecisionLog[[#This Row],[Date]])=0),"",MAX(0,StatusDate-DecisionLog[[#This Row],[Date]]))</f>
        <v/>
      </c>
      <c r="I38" s="52"/>
      <c r="J38" s="30" t="str">
        <f aca="false">IF(N(DecisionLog[[#This Row],[Task UID]])=0,"",IFERROR(INDEX(tsk_Name,MATCH(DecisionLog[[#This Row],[Task UID]],tsk_UID,0)),"UID "&amp;DecisionLog[[#This Row],[Task UID]]&amp;" not found"))</f>
        <v/>
      </c>
      <c r="K38" s="52"/>
    </row>
    <row r="39" customFormat="false" ht="15" hidden="false" customHeight="false" outlineLevel="0" collapsed="false">
      <c r="B39" s="52" t="n">
        <v>35</v>
      </c>
      <c r="C39" s="7"/>
      <c r="D39" s="53"/>
      <c r="E39" s="53"/>
      <c r="F39" s="53"/>
      <c r="G39" s="52"/>
      <c r="H39" s="51" t="str">
        <f aca="false">IF(OR(DecisionLog[[#This Row],[Decision]]="",DecisionLog[[#This Row],[Status]]&lt;&gt;"Proposed",N(DecisionLog[[#This Row],[Date]])=0),"",MAX(0,StatusDate-DecisionLog[[#This Row],[Date]]))</f>
        <v/>
      </c>
      <c r="I39" s="52"/>
      <c r="J39" s="30" t="str">
        <f aca="false">IF(N(DecisionLog[[#This Row],[Task UID]])=0,"",IFERROR(INDEX(tsk_Name,MATCH(DecisionLog[[#This Row],[Task UID]],tsk_UID,0)),"UID "&amp;DecisionLog[[#This Row],[Task UID]]&amp;" not found"))</f>
        <v/>
      </c>
      <c r="K39" s="52"/>
    </row>
    <row r="40" customFormat="false" ht="15" hidden="false" customHeight="false" outlineLevel="0" collapsed="false">
      <c r="B40" s="52" t="n">
        <v>36</v>
      </c>
      <c r="C40" s="7"/>
      <c r="D40" s="53"/>
      <c r="E40" s="53"/>
      <c r="F40" s="53"/>
      <c r="G40" s="52"/>
      <c r="H40" s="51" t="str">
        <f aca="false">IF(OR(DecisionLog[[#This Row],[Decision]]="",DecisionLog[[#This Row],[Status]]&lt;&gt;"Proposed",N(DecisionLog[[#This Row],[Date]])=0),"",MAX(0,StatusDate-DecisionLog[[#This Row],[Date]]))</f>
        <v/>
      </c>
      <c r="I40" s="52"/>
      <c r="J40" s="30" t="str">
        <f aca="false">IF(N(DecisionLog[[#This Row],[Task UID]])=0,"",IFERROR(INDEX(tsk_Name,MATCH(DecisionLog[[#This Row],[Task UID]],tsk_UID,0)),"UID "&amp;DecisionLog[[#This Row],[Task UID]]&amp;" not found"))</f>
        <v/>
      </c>
      <c r="K40" s="52"/>
    </row>
    <row r="41" customFormat="false" ht="15" hidden="false" customHeight="false" outlineLevel="0" collapsed="false">
      <c r="B41" s="52" t="n">
        <v>37</v>
      </c>
      <c r="C41" s="7"/>
      <c r="D41" s="53"/>
      <c r="E41" s="53"/>
      <c r="F41" s="53"/>
      <c r="G41" s="52"/>
      <c r="H41" s="51" t="str">
        <f aca="false">IF(OR(DecisionLog[[#This Row],[Decision]]="",DecisionLog[[#This Row],[Status]]&lt;&gt;"Proposed",N(DecisionLog[[#This Row],[Date]])=0),"",MAX(0,StatusDate-DecisionLog[[#This Row],[Date]]))</f>
        <v/>
      </c>
      <c r="I41" s="52"/>
      <c r="J41" s="30" t="str">
        <f aca="false">IF(N(DecisionLog[[#This Row],[Task UID]])=0,"",IFERROR(INDEX(tsk_Name,MATCH(DecisionLog[[#This Row],[Task UID]],tsk_UID,0)),"UID "&amp;DecisionLog[[#This Row],[Task UID]]&amp;" not found"))</f>
        <v/>
      </c>
      <c r="K41" s="52"/>
    </row>
    <row r="42" customFormat="false" ht="15" hidden="false" customHeight="false" outlineLevel="0" collapsed="false">
      <c r="B42" s="52" t="n">
        <v>38</v>
      </c>
      <c r="C42" s="7"/>
      <c r="D42" s="53"/>
      <c r="E42" s="53"/>
      <c r="F42" s="53"/>
      <c r="G42" s="52"/>
      <c r="H42" s="51" t="str">
        <f aca="false">IF(OR(DecisionLog[[#This Row],[Decision]]="",DecisionLog[[#This Row],[Status]]&lt;&gt;"Proposed",N(DecisionLog[[#This Row],[Date]])=0),"",MAX(0,StatusDate-DecisionLog[[#This Row],[Date]]))</f>
        <v/>
      </c>
      <c r="I42" s="52"/>
      <c r="J42" s="30" t="str">
        <f aca="false">IF(N(DecisionLog[[#This Row],[Task UID]])=0,"",IFERROR(INDEX(tsk_Name,MATCH(DecisionLog[[#This Row],[Task UID]],tsk_UID,0)),"UID "&amp;DecisionLog[[#This Row],[Task UID]]&amp;" not found"))</f>
        <v/>
      </c>
      <c r="K42" s="52"/>
    </row>
    <row r="43" customFormat="false" ht="15" hidden="false" customHeight="false" outlineLevel="0" collapsed="false">
      <c r="B43" s="52" t="n">
        <v>39</v>
      </c>
      <c r="C43" s="7"/>
      <c r="D43" s="53"/>
      <c r="E43" s="53"/>
      <c r="F43" s="53"/>
      <c r="G43" s="52"/>
      <c r="H43" s="51" t="str">
        <f aca="false">IF(OR(DecisionLog[[#This Row],[Decision]]="",DecisionLog[[#This Row],[Status]]&lt;&gt;"Proposed",N(DecisionLog[[#This Row],[Date]])=0),"",MAX(0,StatusDate-DecisionLog[[#This Row],[Date]]))</f>
        <v/>
      </c>
      <c r="I43" s="52"/>
      <c r="J43" s="30" t="str">
        <f aca="false">IF(N(DecisionLog[[#This Row],[Task UID]])=0,"",IFERROR(INDEX(tsk_Name,MATCH(DecisionLog[[#This Row],[Task UID]],tsk_UID,0)),"UID "&amp;DecisionLog[[#This Row],[Task UID]]&amp;" not found"))</f>
        <v/>
      </c>
      <c r="K43" s="52"/>
    </row>
    <row r="44" customFormat="false" ht="15" hidden="false" customHeight="false" outlineLevel="0" collapsed="false">
      <c r="B44" s="52" t="n">
        <v>40</v>
      </c>
      <c r="C44" s="7"/>
      <c r="D44" s="53"/>
      <c r="E44" s="53"/>
      <c r="F44" s="53"/>
      <c r="G44" s="52"/>
      <c r="H44" s="51" t="str">
        <f aca="false">IF(OR(DecisionLog[[#This Row],[Decision]]="",DecisionLog[[#This Row],[Status]]&lt;&gt;"Proposed",N(DecisionLog[[#This Row],[Date]])=0),"",MAX(0,StatusDate-DecisionLog[[#This Row],[Date]]))</f>
        <v/>
      </c>
      <c r="I44" s="52"/>
      <c r="J44" s="30" t="str">
        <f aca="false">IF(N(DecisionLog[[#This Row],[Task UID]])=0,"",IFERROR(INDEX(tsk_Name,MATCH(DecisionLog[[#This Row],[Task UID]],tsk_UID,0)),"UID "&amp;DecisionLog[[#This Row],[Task UID]]&amp;" not found"))</f>
        <v/>
      </c>
      <c r="K44" s="52"/>
    </row>
    <row r="45" customFormat="false" ht="15" hidden="false" customHeight="false" outlineLevel="0" collapsed="false">
      <c r="B45" s="52" t="n">
        <v>41</v>
      </c>
      <c r="C45" s="7"/>
      <c r="D45" s="53"/>
      <c r="E45" s="53"/>
      <c r="F45" s="53"/>
      <c r="G45" s="52"/>
      <c r="H45" s="51" t="str">
        <f aca="false">IF(OR(DecisionLog[[#This Row],[Decision]]="",DecisionLog[[#This Row],[Status]]&lt;&gt;"Proposed",N(DecisionLog[[#This Row],[Date]])=0),"",MAX(0,StatusDate-DecisionLog[[#This Row],[Date]]))</f>
        <v/>
      </c>
      <c r="I45" s="52"/>
      <c r="J45" s="30" t="str">
        <f aca="false">IF(N(DecisionLog[[#This Row],[Task UID]])=0,"",IFERROR(INDEX(tsk_Name,MATCH(DecisionLog[[#This Row],[Task UID]],tsk_UID,0)),"UID "&amp;DecisionLog[[#This Row],[Task UID]]&amp;" not found"))</f>
        <v/>
      </c>
      <c r="K45" s="52"/>
    </row>
    <row r="46" customFormat="false" ht="15" hidden="false" customHeight="false" outlineLevel="0" collapsed="false">
      <c r="B46" s="52" t="n">
        <v>42</v>
      </c>
      <c r="C46" s="7"/>
      <c r="D46" s="53"/>
      <c r="E46" s="53"/>
      <c r="F46" s="53"/>
      <c r="G46" s="52"/>
      <c r="H46" s="51" t="str">
        <f aca="false">IF(OR(DecisionLog[[#This Row],[Decision]]="",DecisionLog[[#This Row],[Status]]&lt;&gt;"Proposed",N(DecisionLog[[#This Row],[Date]])=0),"",MAX(0,StatusDate-DecisionLog[[#This Row],[Date]]))</f>
        <v/>
      </c>
      <c r="I46" s="52"/>
      <c r="J46" s="30" t="str">
        <f aca="false">IF(N(DecisionLog[[#This Row],[Task UID]])=0,"",IFERROR(INDEX(tsk_Name,MATCH(DecisionLog[[#This Row],[Task UID]],tsk_UID,0)),"UID "&amp;DecisionLog[[#This Row],[Task UID]]&amp;" not found"))</f>
        <v/>
      </c>
      <c r="K46" s="52"/>
    </row>
    <row r="47" customFormat="false" ht="15" hidden="false" customHeight="false" outlineLevel="0" collapsed="false">
      <c r="B47" s="52" t="n">
        <v>43</v>
      </c>
      <c r="C47" s="7"/>
      <c r="D47" s="53"/>
      <c r="E47" s="53"/>
      <c r="F47" s="53"/>
      <c r="G47" s="52"/>
      <c r="H47" s="51" t="str">
        <f aca="false">IF(OR(DecisionLog[[#This Row],[Decision]]="",DecisionLog[[#This Row],[Status]]&lt;&gt;"Proposed",N(DecisionLog[[#This Row],[Date]])=0),"",MAX(0,StatusDate-DecisionLog[[#This Row],[Date]]))</f>
        <v/>
      </c>
      <c r="I47" s="52"/>
      <c r="J47" s="30" t="str">
        <f aca="false">IF(N(DecisionLog[[#This Row],[Task UID]])=0,"",IFERROR(INDEX(tsk_Name,MATCH(DecisionLog[[#This Row],[Task UID]],tsk_UID,0)),"UID "&amp;DecisionLog[[#This Row],[Task UID]]&amp;" not found"))</f>
        <v/>
      </c>
      <c r="K47" s="52"/>
    </row>
    <row r="48" customFormat="false" ht="15" hidden="false" customHeight="false" outlineLevel="0" collapsed="false">
      <c r="B48" s="52" t="n">
        <v>44</v>
      </c>
      <c r="C48" s="7"/>
      <c r="D48" s="53"/>
      <c r="E48" s="53"/>
      <c r="F48" s="53"/>
      <c r="G48" s="52"/>
      <c r="H48" s="51" t="str">
        <f aca="false">IF(OR(DecisionLog[[#This Row],[Decision]]="",DecisionLog[[#This Row],[Status]]&lt;&gt;"Proposed",N(DecisionLog[[#This Row],[Date]])=0),"",MAX(0,StatusDate-DecisionLog[[#This Row],[Date]]))</f>
        <v/>
      </c>
      <c r="I48" s="52"/>
      <c r="J48" s="30" t="str">
        <f aca="false">IF(N(DecisionLog[[#This Row],[Task UID]])=0,"",IFERROR(INDEX(tsk_Name,MATCH(DecisionLog[[#This Row],[Task UID]],tsk_UID,0)),"UID "&amp;DecisionLog[[#This Row],[Task UID]]&amp;" not found"))</f>
        <v/>
      </c>
      <c r="K48" s="52"/>
    </row>
    <row r="49" customFormat="false" ht="15" hidden="false" customHeight="false" outlineLevel="0" collapsed="false">
      <c r="B49" s="52" t="n">
        <v>45</v>
      </c>
      <c r="C49" s="7"/>
      <c r="D49" s="53"/>
      <c r="E49" s="53"/>
      <c r="F49" s="53"/>
      <c r="G49" s="52"/>
      <c r="H49" s="51" t="str">
        <f aca="false">IF(OR(DecisionLog[[#This Row],[Decision]]="",DecisionLog[[#This Row],[Status]]&lt;&gt;"Proposed",N(DecisionLog[[#This Row],[Date]])=0),"",MAX(0,StatusDate-DecisionLog[[#This Row],[Date]]))</f>
        <v/>
      </c>
      <c r="I49" s="52"/>
      <c r="J49" s="30" t="str">
        <f aca="false">IF(N(DecisionLog[[#This Row],[Task UID]])=0,"",IFERROR(INDEX(tsk_Name,MATCH(DecisionLog[[#This Row],[Task UID]],tsk_UID,0)),"UID "&amp;DecisionLog[[#This Row],[Task UID]]&amp;" not found"))</f>
        <v/>
      </c>
      <c r="K49" s="52"/>
    </row>
    <row r="50" customFormat="false" ht="15" hidden="false" customHeight="false" outlineLevel="0" collapsed="false">
      <c r="B50" s="52" t="n">
        <v>46</v>
      </c>
      <c r="C50" s="7"/>
      <c r="D50" s="53"/>
      <c r="E50" s="53"/>
      <c r="F50" s="53"/>
      <c r="G50" s="52"/>
      <c r="H50" s="51" t="str">
        <f aca="false">IF(OR(DecisionLog[[#This Row],[Decision]]="",DecisionLog[[#This Row],[Status]]&lt;&gt;"Proposed",N(DecisionLog[[#This Row],[Date]])=0),"",MAX(0,StatusDate-DecisionLog[[#This Row],[Date]]))</f>
        <v/>
      </c>
      <c r="I50" s="52"/>
      <c r="J50" s="30" t="str">
        <f aca="false">IF(N(DecisionLog[[#This Row],[Task UID]])=0,"",IFERROR(INDEX(tsk_Name,MATCH(DecisionLog[[#This Row],[Task UID]],tsk_UID,0)),"UID "&amp;DecisionLog[[#This Row],[Task UID]]&amp;" not found"))</f>
        <v/>
      </c>
      <c r="K50" s="52"/>
    </row>
    <row r="51" customFormat="false" ht="15" hidden="false" customHeight="false" outlineLevel="0" collapsed="false">
      <c r="B51" s="52" t="n">
        <v>47</v>
      </c>
      <c r="C51" s="7"/>
      <c r="D51" s="53"/>
      <c r="E51" s="53"/>
      <c r="F51" s="53"/>
      <c r="G51" s="52"/>
      <c r="H51" s="51" t="str">
        <f aca="false">IF(OR(DecisionLog[[#This Row],[Decision]]="",DecisionLog[[#This Row],[Status]]&lt;&gt;"Proposed",N(DecisionLog[[#This Row],[Date]])=0),"",MAX(0,StatusDate-DecisionLog[[#This Row],[Date]]))</f>
        <v/>
      </c>
      <c r="I51" s="52"/>
      <c r="J51" s="30" t="str">
        <f aca="false">IF(N(DecisionLog[[#This Row],[Task UID]])=0,"",IFERROR(INDEX(tsk_Name,MATCH(DecisionLog[[#This Row],[Task UID]],tsk_UID,0)),"UID "&amp;DecisionLog[[#This Row],[Task UID]]&amp;" not found"))</f>
        <v/>
      </c>
      <c r="K51" s="52"/>
    </row>
    <row r="52" customFormat="false" ht="15" hidden="false" customHeight="false" outlineLevel="0" collapsed="false">
      <c r="B52" s="52" t="n">
        <v>48</v>
      </c>
      <c r="C52" s="7"/>
      <c r="D52" s="53"/>
      <c r="E52" s="53"/>
      <c r="F52" s="53"/>
      <c r="G52" s="52"/>
      <c r="H52" s="51" t="str">
        <f aca="false">IF(OR(DecisionLog[[#This Row],[Decision]]="",DecisionLog[[#This Row],[Status]]&lt;&gt;"Proposed",N(DecisionLog[[#This Row],[Date]])=0),"",MAX(0,StatusDate-DecisionLog[[#This Row],[Date]]))</f>
        <v/>
      </c>
      <c r="I52" s="52"/>
      <c r="J52" s="30" t="str">
        <f aca="false">IF(N(DecisionLog[[#This Row],[Task UID]])=0,"",IFERROR(INDEX(tsk_Name,MATCH(DecisionLog[[#This Row],[Task UID]],tsk_UID,0)),"UID "&amp;DecisionLog[[#This Row],[Task UID]]&amp;" not found"))</f>
        <v/>
      </c>
      <c r="K52" s="52"/>
    </row>
    <row r="53" customFormat="false" ht="15" hidden="false" customHeight="false" outlineLevel="0" collapsed="false">
      <c r="B53" s="52" t="n">
        <v>49</v>
      </c>
      <c r="C53" s="7"/>
      <c r="D53" s="53"/>
      <c r="E53" s="53"/>
      <c r="F53" s="53"/>
      <c r="G53" s="52"/>
      <c r="H53" s="51" t="str">
        <f aca="false">IF(OR(DecisionLog[[#This Row],[Decision]]="",DecisionLog[[#This Row],[Status]]&lt;&gt;"Proposed",N(DecisionLog[[#This Row],[Date]])=0),"",MAX(0,StatusDate-DecisionLog[[#This Row],[Date]]))</f>
        <v/>
      </c>
      <c r="I53" s="52"/>
      <c r="J53" s="30" t="str">
        <f aca="false">IF(N(DecisionLog[[#This Row],[Task UID]])=0,"",IFERROR(INDEX(tsk_Name,MATCH(DecisionLog[[#This Row],[Task UID]],tsk_UID,0)),"UID "&amp;DecisionLog[[#This Row],[Task UID]]&amp;" not found"))</f>
        <v/>
      </c>
      <c r="K53" s="52"/>
    </row>
    <row r="54" customFormat="false" ht="15" hidden="false" customHeight="false" outlineLevel="0" collapsed="false">
      <c r="B54" s="52" t="n">
        <v>50</v>
      </c>
      <c r="C54" s="7"/>
      <c r="D54" s="53"/>
      <c r="E54" s="53"/>
      <c r="F54" s="53"/>
      <c r="G54" s="52"/>
      <c r="H54" s="51" t="str">
        <f aca="false">IF(OR(DecisionLog[[#This Row],[Decision]]="",DecisionLog[[#This Row],[Status]]&lt;&gt;"Proposed",N(DecisionLog[[#This Row],[Date]])=0),"",MAX(0,StatusDate-DecisionLog[[#This Row],[Date]]))</f>
        <v/>
      </c>
      <c r="I54" s="52"/>
      <c r="J54" s="30" t="str">
        <f aca="false">IF(N(DecisionLog[[#This Row],[Task UID]])=0,"",IFERROR(INDEX(tsk_Name,MATCH(DecisionLog[[#This Row],[Task UID]],tsk_UID,0)),"UID "&amp;DecisionLog[[#This Row],[Task UID]]&amp;" not found"))</f>
        <v/>
      </c>
      <c r="K54" s="52"/>
    </row>
    <row r="55" customFormat="false" ht="15" hidden="false" customHeight="false" outlineLevel="0" collapsed="false">
      <c r="B55" s="52" t="n">
        <v>51</v>
      </c>
      <c r="C55" s="7"/>
      <c r="D55" s="53"/>
      <c r="E55" s="53"/>
      <c r="F55" s="53"/>
      <c r="G55" s="52"/>
      <c r="H55" s="51" t="str">
        <f aca="false">IF(OR(DecisionLog[[#This Row],[Decision]]="",DecisionLog[[#This Row],[Status]]&lt;&gt;"Proposed",N(DecisionLog[[#This Row],[Date]])=0),"",MAX(0,StatusDate-DecisionLog[[#This Row],[Date]]))</f>
        <v/>
      </c>
      <c r="I55" s="52"/>
      <c r="J55" s="30" t="str">
        <f aca="false">IF(N(DecisionLog[[#This Row],[Task UID]])=0,"",IFERROR(INDEX(tsk_Name,MATCH(DecisionLog[[#This Row],[Task UID]],tsk_UID,0)),"UID "&amp;DecisionLog[[#This Row],[Task UID]]&amp;" not found"))</f>
        <v/>
      </c>
      <c r="K55" s="52"/>
    </row>
    <row r="56" customFormat="false" ht="15" hidden="false" customHeight="false" outlineLevel="0" collapsed="false">
      <c r="B56" s="52" t="n">
        <v>52</v>
      </c>
      <c r="C56" s="7"/>
      <c r="D56" s="53"/>
      <c r="E56" s="53"/>
      <c r="F56" s="53"/>
      <c r="G56" s="52"/>
      <c r="H56" s="51" t="str">
        <f aca="false">IF(OR(DecisionLog[[#This Row],[Decision]]="",DecisionLog[[#This Row],[Status]]&lt;&gt;"Proposed",N(DecisionLog[[#This Row],[Date]])=0),"",MAX(0,StatusDate-DecisionLog[[#This Row],[Date]]))</f>
        <v/>
      </c>
      <c r="I56" s="52"/>
      <c r="J56" s="30" t="str">
        <f aca="false">IF(N(DecisionLog[[#This Row],[Task UID]])=0,"",IFERROR(INDEX(tsk_Name,MATCH(DecisionLog[[#This Row],[Task UID]],tsk_UID,0)),"UID "&amp;DecisionLog[[#This Row],[Task UID]]&amp;" not found"))</f>
        <v/>
      </c>
      <c r="K56" s="52"/>
    </row>
    <row r="57" customFormat="false" ht="15" hidden="false" customHeight="false" outlineLevel="0" collapsed="false">
      <c r="B57" s="52" t="n">
        <v>53</v>
      </c>
      <c r="C57" s="7"/>
      <c r="D57" s="53"/>
      <c r="E57" s="53"/>
      <c r="F57" s="53"/>
      <c r="G57" s="52"/>
      <c r="H57" s="51" t="str">
        <f aca="false">IF(OR(DecisionLog[[#This Row],[Decision]]="",DecisionLog[[#This Row],[Status]]&lt;&gt;"Proposed",N(DecisionLog[[#This Row],[Date]])=0),"",MAX(0,StatusDate-DecisionLog[[#This Row],[Date]]))</f>
        <v/>
      </c>
      <c r="I57" s="52"/>
      <c r="J57" s="30" t="str">
        <f aca="false">IF(N(DecisionLog[[#This Row],[Task UID]])=0,"",IFERROR(INDEX(tsk_Name,MATCH(DecisionLog[[#This Row],[Task UID]],tsk_UID,0)),"UID "&amp;DecisionLog[[#This Row],[Task UID]]&amp;" not found"))</f>
        <v/>
      </c>
      <c r="K57" s="52"/>
    </row>
    <row r="58" customFormat="false" ht="15" hidden="false" customHeight="false" outlineLevel="0" collapsed="false">
      <c r="B58" s="52" t="n">
        <v>54</v>
      </c>
      <c r="C58" s="7"/>
      <c r="D58" s="53"/>
      <c r="E58" s="53"/>
      <c r="F58" s="53"/>
      <c r="G58" s="52"/>
      <c r="H58" s="51" t="str">
        <f aca="false">IF(OR(DecisionLog[[#This Row],[Decision]]="",DecisionLog[[#This Row],[Status]]&lt;&gt;"Proposed",N(DecisionLog[[#This Row],[Date]])=0),"",MAX(0,StatusDate-DecisionLog[[#This Row],[Date]]))</f>
        <v/>
      </c>
      <c r="I58" s="52"/>
      <c r="J58" s="30" t="str">
        <f aca="false">IF(N(DecisionLog[[#This Row],[Task UID]])=0,"",IFERROR(INDEX(tsk_Name,MATCH(DecisionLog[[#This Row],[Task UID]],tsk_UID,0)),"UID "&amp;DecisionLog[[#This Row],[Task UID]]&amp;" not found"))</f>
        <v/>
      </c>
      <c r="K58" s="52"/>
    </row>
    <row r="59" customFormat="false" ht="15" hidden="false" customHeight="false" outlineLevel="0" collapsed="false">
      <c r="B59" s="52" t="n">
        <v>55</v>
      </c>
      <c r="C59" s="7"/>
      <c r="D59" s="53"/>
      <c r="E59" s="53"/>
      <c r="F59" s="53"/>
      <c r="G59" s="52"/>
      <c r="H59" s="51" t="str">
        <f aca="false">IF(OR(DecisionLog[[#This Row],[Decision]]="",DecisionLog[[#This Row],[Status]]&lt;&gt;"Proposed",N(DecisionLog[[#This Row],[Date]])=0),"",MAX(0,StatusDate-DecisionLog[[#This Row],[Date]]))</f>
        <v/>
      </c>
      <c r="I59" s="52"/>
      <c r="J59" s="30" t="str">
        <f aca="false">IF(N(DecisionLog[[#This Row],[Task UID]])=0,"",IFERROR(INDEX(tsk_Name,MATCH(DecisionLog[[#This Row],[Task UID]],tsk_UID,0)),"UID "&amp;DecisionLog[[#This Row],[Task UID]]&amp;" not found"))</f>
        <v/>
      </c>
      <c r="K59" s="52"/>
    </row>
    <row r="60" customFormat="false" ht="15" hidden="false" customHeight="false" outlineLevel="0" collapsed="false">
      <c r="B60" s="52" t="n">
        <v>56</v>
      </c>
      <c r="C60" s="7"/>
      <c r="D60" s="53"/>
      <c r="E60" s="53"/>
      <c r="F60" s="53"/>
      <c r="G60" s="52"/>
      <c r="H60" s="51" t="str">
        <f aca="false">IF(OR(DecisionLog[[#This Row],[Decision]]="",DecisionLog[[#This Row],[Status]]&lt;&gt;"Proposed",N(DecisionLog[[#This Row],[Date]])=0),"",MAX(0,StatusDate-DecisionLog[[#This Row],[Date]]))</f>
        <v/>
      </c>
      <c r="I60" s="52"/>
      <c r="J60" s="30" t="str">
        <f aca="false">IF(N(DecisionLog[[#This Row],[Task UID]])=0,"",IFERROR(INDEX(tsk_Name,MATCH(DecisionLog[[#This Row],[Task UID]],tsk_UID,0)),"UID "&amp;DecisionLog[[#This Row],[Task UID]]&amp;" not found"))</f>
        <v/>
      </c>
      <c r="K60" s="52"/>
    </row>
    <row r="61" customFormat="false" ht="15" hidden="false" customHeight="false" outlineLevel="0" collapsed="false">
      <c r="B61" s="52" t="n">
        <v>57</v>
      </c>
      <c r="C61" s="7"/>
      <c r="D61" s="53"/>
      <c r="E61" s="53"/>
      <c r="F61" s="53"/>
      <c r="G61" s="52"/>
      <c r="H61" s="51" t="str">
        <f aca="false">IF(OR(DecisionLog[[#This Row],[Decision]]="",DecisionLog[[#This Row],[Status]]&lt;&gt;"Proposed",N(DecisionLog[[#This Row],[Date]])=0),"",MAX(0,StatusDate-DecisionLog[[#This Row],[Date]]))</f>
        <v/>
      </c>
      <c r="I61" s="52"/>
      <c r="J61" s="30" t="str">
        <f aca="false">IF(N(DecisionLog[[#This Row],[Task UID]])=0,"",IFERROR(INDEX(tsk_Name,MATCH(DecisionLog[[#This Row],[Task UID]],tsk_UID,0)),"UID "&amp;DecisionLog[[#This Row],[Task UID]]&amp;" not found"))</f>
        <v/>
      </c>
      <c r="K61" s="52"/>
    </row>
    <row r="62" customFormat="false" ht="15" hidden="false" customHeight="false" outlineLevel="0" collapsed="false">
      <c r="B62" s="52" t="n">
        <v>58</v>
      </c>
      <c r="C62" s="7"/>
      <c r="D62" s="53"/>
      <c r="E62" s="53"/>
      <c r="F62" s="53"/>
      <c r="G62" s="52"/>
      <c r="H62" s="51" t="str">
        <f aca="false">IF(OR(DecisionLog[[#This Row],[Decision]]="",DecisionLog[[#This Row],[Status]]&lt;&gt;"Proposed",N(DecisionLog[[#This Row],[Date]])=0),"",MAX(0,StatusDate-DecisionLog[[#This Row],[Date]]))</f>
        <v/>
      </c>
      <c r="I62" s="52"/>
      <c r="J62" s="30" t="str">
        <f aca="false">IF(N(DecisionLog[[#This Row],[Task UID]])=0,"",IFERROR(INDEX(tsk_Name,MATCH(DecisionLog[[#This Row],[Task UID]],tsk_UID,0)),"UID "&amp;DecisionLog[[#This Row],[Task UID]]&amp;" not found"))</f>
        <v/>
      </c>
      <c r="K62" s="52"/>
    </row>
    <row r="63" customFormat="false" ht="15" hidden="false" customHeight="false" outlineLevel="0" collapsed="false">
      <c r="B63" s="52" t="n">
        <v>59</v>
      </c>
      <c r="C63" s="7"/>
      <c r="D63" s="53"/>
      <c r="E63" s="53"/>
      <c r="F63" s="53"/>
      <c r="G63" s="52"/>
      <c r="H63" s="51" t="str">
        <f aca="false">IF(OR(DecisionLog[[#This Row],[Decision]]="",DecisionLog[[#This Row],[Status]]&lt;&gt;"Proposed",N(DecisionLog[[#This Row],[Date]])=0),"",MAX(0,StatusDate-DecisionLog[[#This Row],[Date]]))</f>
        <v/>
      </c>
      <c r="I63" s="52"/>
      <c r="J63" s="30" t="str">
        <f aca="false">IF(N(DecisionLog[[#This Row],[Task UID]])=0,"",IFERROR(INDEX(tsk_Name,MATCH(DecisionLog[[#This Row],[Task UID]],tsk_UID,0)),"UID "&amp;DecisionLog[[#This Row],[Task UID]]&amp;" not found"))</f>
        <v/>
      </c>
      <c r="K63" s="52"/>
    </row>
    <row r="64" customFormat="false" ht="15" hidden="false" customHeight="false" outlineLevel="0" collapsed="false">
      <c r="B64" s="52" t="n">
        <v>60</v>
      </c>
      <c r="C64" s="7"/>
      <c r="D64" s="53"/>
      <c r="E64" s="53"/>
      <c r="F64" s="53"/>
      <c r="G64" s="52"/>
      <c r="H64" s="51" t="str">
        <f aca="false">IF(OR(DecisionLog[[#This Row],[Decision]]="",DecisionLog[[#This Row],[Status]]&lt;&gt;"Proposed",N(DecisionLog[[#This Row],[Date]])=0),"",MAX(0,StatusDate-DecisionLog[[#This Row],[Date]]))</f>
        <v/>
      </c>
      <c r="I64" s="52"/>
      <c r="J64" s="30" t="str">
        <f aca="false">IF(N(DecisionLog[[#This Row],[Task UID]])=0,"",IFERROR(INDEX(tsk_Name,MATCH(DecisionLog[[#This Row],[Task UID]],tsk_UID,0)),"UID "&amp;DecisionLog[[#This Row],[Task UID]]&amp;" not found"))</f>
        <v/>
      </c>
      <c r="K64" s="52"/>
    </row>
    <row r="65" customFormat="false" ht="15" hidden="false" customHeight="false" outlineLevel="0" collapsed="false">
      <c r="B65" s="52" t="n">
        <v>61</v>
      </c>
      <c r="C65" s="7"/>
      <c r="D65" s="53"/>
      <c r="E65" s="53"/>
      <c r="F65" s="53"/>
      <c r="G65" s="52"/>
      <c r="H65" s="51" t="str">
        <f aca="false">IF(OR(DecisionLog[[#This Row],[Decision]]="",DecisionLog[[#This Row],[Status]]&lt;&gt;"Proposed",N(DecisionLog[[#This Row],[Date]])=0),"",MAX(0,StatusDate-DecisionLog[[#This Row],[Date]]))</f>
        <v/>
      </c>
      <c r="I65" s="52"/>
      <c r="J65" s="30" t="str">
        <f aca="false">IF(N(DecisionLog[[#This Row],[Task UID]])=0,"",IFERROR(INDEX(tsk_Name,MATCH(DecisionLog[[#This Row],[Task UID]],tsk_UID,0)),"UID "&amp;DecisionLog[[#This Row],[Task UID]]&amp;" not found"))</f>
        <v/>
      </c>
      <c r="K65" s="52"/>
    </row>
    <row r="66" customFormat="false" ht="15" hidden="false" customHeight="false" outlineLevel="0" collapsed="false">
      <c r="B66" s="52" t="n">
        <v>62</v>
      </c>
      <c r="C66" s="7"/>
      <c r="D66" s="53"/>
      <c r="E66" s="53"/>
      <c r="F66" s="53"/>
      <c r="G66" s="52"/>
      <c r="H66" s="51" t="str">
        <f aca="false">IF(OR(DecisionLog[[#This Row],[Decision]]="",DecisionLog[[#This Row],[Status]]&lt;&gt;"Proposed",N(DecisionLog[[#This Row],[Date]])=0),"",MAX(0,StatusDate-DecisionLog[[#This Row],[Date]]))</f>
        <v/>
      </c>
      <c r="I66" s="52"/>
      <c r="J66" s="30" t="str">
        <f aca="false">IF(N(DecisionLog[[#This Row],[Task UID]])=0,"",IFERROR(INDEX(tsk_Name,MATCH(DecisionLog[[#This Row],[Task UID]],tsk_UID,0)),"UID "&amp;DecisionLog[[#This Row],[Task UID]]&amp;" not found"))</f>
        <v/>
      </c>
      <c r="K66" s="52"/>
    </row>
    <row r="67" customFormat="false" ht="15" hidden="false" customHeight="false" outlineLevel="0" collapsed="false">
      <c r="B67" s="52" t="n">
        <v>63</v>
      </c>
      <c r="C67" s="7"/>
      <c r="D67" s="53"/>
      <c r="E67" s="53"/>
      <c r="F67" s="53"/>
      <c r="G67" s="52"/>
      <c r="H67" s="51" t="str">
        <f aca="false">IF(OR(DecisionLog[[#This Row],[Decision]]="",DecisionLog[[#This Row],[Status]]&lt;&gt;"Proposed",N(DecisionLog[[#This Row],[Date]])=0),"",MAX(0,StatusDate-DecisionLog[[#This Row],[Date]]))</f>
        <v/>
      </c>
      <c r="I67" s="52"/>
      <c r="J67" s="30" t="str">
        <f aca="false">IF(N(DecisionLog[[#This Row],[Task UID]])=0,"",IFERROR(INDEX(tsk_Name,MATCH(DecisionLog[[#This Row],[Task UID]],tsk_UID,0)),"UID "&amp;DecisionLog[[#This Row],[Task UID]]&amp;" not found"))</f>
        <v/>
      </c>
      <c r="K67" s="52"/>
    </row>
    <row r="68" customFormat="false" ht="15" hidden="false" customHeight="false" outlineLevel="0" collapsed="false">
      <c r="B68" s="52" t="n">
        <v>64</v>
      </c>
      <c r="C68" s="7"/>
      <c r="D68" s="53"/>
      <c r="E68" s="53"/>
      <c r="F68" s="53"/>
      <c r="G68" s="52"/>
      <c r="H68" s="51" t="str">
        <f aca="false">IF(OR(DecisionLog[[#This Row],[Decision]]="",DecisionLog[[#This Row],[Status]]&lt;&gt;"Proposed",N(DecisionLog[[#This Row],[Date]])=0),"",MAX(0,StatusDate-DecisionLog[[#This Row],[Date]]))</f>
        <v/>
      </c>
      <c r="I68" s="52"/>
      <c r="J68" s="30" t="str">
        <f aca="false">IF(N(DecisionLog[[#This Row],[Task UID]])=0,"",IFERROR(INDEX(tsk_Name,MATCH(DecisionLog[[#This Row],[Task UID]],tsk_UID,0)),"UID "&amp;DecisionLog[[#This Row],[Task UID]]&amp;" not found"))</f>
        <v/>
      </c>
      <c r="K68" s="52"/>
    </row>
    <row r="69" customFormat="false" ht="15" hidden="false" customHeight="false" outlineLevel="0" collapsed="false">
      <c r="B69" s="52" t="n">
        <v>65</v>
      </c>
      <c r="C69" s="7"/>
      <c r="D69" s="53"/>
      <c r="E69" s="53"/>
      <c r="F69" s="53"/>
      <c r="G69" s="52"/>
      <c r="H69" s="51" t="str">
        <f aca="false">IF(OR(DecisionLog[[#This Row],[Decision]]="",DecisionLog[[#This Row],[Status]]&lt;&gt;"Proposed",N(DecisionLog[[#This Row],[Date]])=0),"",MAX(0,StatusDate-DecisionLog[[#This Row],[Date]]))</f>
        <v/>
      </c>
      <c r="I69" s="52"/>
      <c r="J69" s="30" t="str">
        <f aca="false">IF(N(DecisionLog[[#This Row],[Task UID]])=0,"",IFERROR(INDEX(tsk_Name,MATCH(DecisionLog[[#This Row],[Task UID]],tsk_UID,0)),"UID "&amp;DecisionLog[[#This Row],[Task UID]]&amp;" not found"))</f>
        <v/>
      </c>
      <c r="K69" s="52"/>
    </row>
    <row r="70" customFormat="false" ht="15" hidden="false" customHeight="false" outlineLevel="0" collapsed="false">
      <c r="B70" s="52" t="n">
        <v>66</v>
      </c>
      <c r="C70" s="7"/>
      <c r="D70" s="53"/>
      <c r="E70" s="53"/>
      <c r="F70" s="53"/>
      <c r="G70" s="52"/>
      <c r="H70" s="51" t="str">
        <f aca="false">IF(OR(DecisionLog[[#This Row],[Decision]]="",DecisionLog[[#This Row],[Status]]&lt;&gt;"Proposed",N(DecisionLog[[#This Row],[Date]])=0),"",MAX(0,StatusDate-DecisionLog[[#This Row],[Date]]))</f>
        <v/>
      </c>
      <c r="I70" s="52"/>
      <c r="J70" s="30" t="str">
        <f aca="false">IF(N(DecisionLog[[#This Row],[Task UID]])=0,"",IFERROR(INDEX(tsk_Name,MATCH(DecisionLog[[#This Row],[Task UID]],tsk_UID,0)),"UID "&amp;DecisionLog[[#This Row],[Task UID]]&amp;" not found"))</f>
        <v/>
      </c>
      <c r="K70" s="52"/>
    </row>
    <row r="71" customFormat="false" ht="15" hidden="false" customHeight="false" outlineLevel="0" collapsed="false">
      <c r="B71" s="52" t="n">
        <v>67</v>
      </c>
      <c r="C71" s="7"/>
      <c r="D71" s="53"/>
      <c r="E71" s="53"/>
      <c r="F71" s="53"/>
      <c r="G71" s="52"/>
      <c r="H71" s="51" t="str">
        <f aca="false">IF(OR(DecisionLog[[#This Row],[Decision]]="",DecisionLog[[#This Row],[Status]]&lt;&gt;"Proposed",N(DecisionLog[[#This Row],[Date]])=0),"",MAX(0,StatusDate-DecisionLog[[#This Row],[Date]]))</f>
        <v/>
      </c>
      <c r="I71" s="52"/>
      <c r="J71" s="30" t="str">
        <f aca="false">IF(N(DecisionLog[[#This Row],[Task UID]])=0,"",IFERROR(INDEX(tsk_Name,MATCH(DecisionLog[[#This Row],[Task UID]],tsk_UID,0)),"UID "&amp;DecisionLog[[#This Row],[Task UID]]&amp;" not found"))</f>
        <v/>
      </c>
      <c r="K71" s="52"/>
    </row>
    <row r="72" customFormat="false" ht="15" hidden="false" customHeight="false" outlineLevel="0" collapsed="false">
      <c r="B72" s="52" t="n">
        <v>68</v>
      </c>
      <c r="C72" s="7"/>
      <c r="D72" s="53"/>
      <c r="E72" s="53"/>
      <c r="F72" s="53"/>
      <c r="G72" s="52"/>
      <c r="H72" s="51" t="str">
        <f aca="false">IF(OR(DecisionLog[[#This Row],[Decision]]="",DecisionLog[[#This Row],[Status]]&lt;&gt;"Proposed",N(DecisionLog[[#This Row],[Date]])=0),"",MAX(0,StatusDate-DecisionLog[[#This Row],[Date]]))</f>
        <v/>
      </c>
      <c r="I72" s="52"/>
      <c r="J72" s="30" t="str">
        <f aca="false">IF(N(DecisionLog[[#This Row],[Task UID]])=0,"",IFERROR(INDEX(tsk_Name,MATCH(DecisionLog[[#This Row],[Task UID]],tsk_UID,0)),"UID "&amp;DecisionLog[[#This Row],[Task UID]]&amp;" not found"))</f>
        <v/>
      </c>
      <c r="K72" s="52"/>
    </row>
    <row r="73" customFormat="false" ht="15" hidden="false" customHeight="false" outlineLevel="0" collapsed="false">
      <c r="B73" s="52" t="n">
        <v>69</v>
      </c>
      <c r="C73" s="7"/>
      <c r="D73" s="53"/>
      <c r="E73" s="53"/>
      <c r="F73" s="53"/>
      <c r="G73" s="52"/>
      <c r="H73" s="51" t="str">
        <f aca="false">IF(OR(DecisionLog[[#This Row],[Decision]]="",DecisionLog[[#This Row],[Status]]&lt;&gt;"Proposed",N(DecisionLog[[#This Row],[Date]])=0),"",MAX(0,StatusDate-DecisionLog[[#This Row],[Date]]))</f>
        <v/>
      </c>
      <c r="I73" s="52"/>
      <c r="J73" s="30" t="str">
        <f aca="false">IF(N(DecisionLog[[#This Row],[Task UID]])=0,"",IFERROR(INDEX(tsk_Name,MATCH(DecisionLog[[#This Row],[Task UID]],tsk_UID,0)),"UID "&amp;DecisionLog[[#This Row],[Task UID]]&amp;" not found"))</f>
        <v/>
      </c>
      <c r="K73" s="52"/>
    </row>
    <row r="74" customFormat="false" ht="15" hidden="false" customHeight="false" outlineLevel="0" collapsed="false">
      <c r="B74" s="52" t="n">
        <v>70</v>
      </c>
      <c r="C74" s="7"/>
      <c r="D74" s="53"/>
      <c r="E74" s="53"/>
      <c r="F74" s="53"/>
      <c r="G74" s="52"/>
      <c r="H74" s="51" t="str">
        <f aca="false">IF(OR(DecisionLog[[#This Row],[Decision]]="",DecisionLog[[#This Row],[Status]]&lt;&gt;"Proposed",N(DecisionLog[[#This Row],[Date]])=0),"",MAX(0,StatusDate-DecisionLog[[#This Row],[Date]]))</f>
        <v/>
      </c>
      <c r="I74" s="52"/>
      <c r="J74" s="30" t="str">
        <f aca="false">IF(N(DecisionLog[[#This Row],[Task UID]])=0,"",IFERROR(INDEX(tsk_Name,MATCH(DecisionLog[[#This Row],[Task UID]],tsk_UID,0)),"UID "&amp;DecisionLog[[#This Row],[Task UID]]&amp;" not found"))</f>
        <v/>
      </c>
      <c r="K74" s="52"/>
    </row>
    <row r="75" customFormat="false" ht="15" hidden="false" customHeight="false" outlineLevel="0" collapsed="false">
      <c r="B75" s="52" t="n">
        <v>71</v>
      </c>
      <c r="C75" s="7"/>
      <c r="D75" s="53"/>
      <c r="E75" s="53"/>
      <c r="F75" s="53"/>
      <c r="G75" s="52"/>
      <c r="H75" s="51" t="str">
        <f aca="false">IF(OR(DecisionLog[[#This Row],[Decision]]="",DecisionLog[[#This Row],[Status]]&lt;&gt;"Proposed",N(DecisionLog[[#This Row],[Date]])=0),"",MAX(0,StatusDate-DecisionLog[[#This Row],[Date]]))</f>
        <v/>
      </c>
      <c r="I75" s="52"/>
      <c r="J75" s="30" t="str">
        <f aca="false">IF(N(DecisionLog[[#This Row],[Task UID]])=0,"",IFERROR(INDEX(tsk_Name,MATCH(DecisionLog[[#This Row],[Task UID]],tsk_UID,0)),"UID "&amp;DecisionLog[[#This Row],[Task UID]]&amp;" not found"))</f>
        <v/>
      </c>
      <c r="K75" s="52"/>
    </row>
    <row r="76" customFormat="false" ht="15" hidden="false" customHeight="false" outlineLevel="0" collapsed="false">
      <c r="B76" s="52" t="n">
        <v>72</v>
      </c>
      <c r="C76" s="7"/>
      <c r="D76" s="53"/>
      <c r="E76" s="53"/>
      <c r="F76" s="53"/>
      <c r="G76" s="52"/>
      <c r="H76" s="51" t="str">
        <f aca="false">IF(OR(DecisionLog[[#This Row],[Decision]]="",DecisionLog[[#This Row],[Status]]&lt;&gt;"Proposed",N(DecisionLog[[#This Row],[Date]])=0),"",MAX(0,StatusDate-DecisionLog[[#This Row],[Date]]))</f>
        <v/>
      </c>
      <c r="I76" s="52"/>
      <c r="J76" s="30" t="str">
        <f aca="false">IF(N(DecisionLog[[#This Row],[Task UID]])=0,"",IFERROR(INDEX(tsk_Name,MATCH(DecisionLog[[#This Row],[Task UID]],tsk_UID,0)),"UID "&amp;DecisionLog[[#This Row],[Task UID]]&amp;" not found"))</f>
        <v/>
      </c>
      <c r="K76" s="52"/>
    </row>
    <row r="77" customFormat="false" ht="15" hidden="false" customHeight="false" outlineLevel="0" collapsed="false">
      <c r="B77" s="52" t="n">
        <v>73</v>
      </c>
      <c r="C77" s="7"/>
      <c r="D77" s="53"/>
      <c r="E77" s="53"/>
      <c r="F77" s="53"/>
      <c r="G77" s="52"/>
      <c r="H77" s="51" t="str">
        <f aca="false">IF(OR(DecisionLog[[#This Row],[Decision]]="",DecisionLog[[#This Row],[Status]]&lt;&gt;"Proposed",N(DecisionLog[[#This Row],[Date]])=0),"",MAX(0,StatusDate-DecisionLog[[#This Row],[Date]]))</f>
        <v/>
      </c>
      <c r="I77" s="52"/>
      <c r="J77" s="30" t="str">
        <f aca="false">IF(N(DecisionLog[[#This Row],[Task UID]])=0,"",IFERROR(INDEX(tsk_Name,MATCH(DecisionLog[[#This Row],[Task UID]],tsk_UID,0)),"UID "&amp;DecisionLog[[#This Row],[Task UID]]&amp;" not found"))</f>
        <v/>
      </c>
      <c r="K77" s="52"/>
    </row>
    <row r="78" customFormat="false" ht="15" hidden="false" customHeight="false" outlineLevel="0" collapsed="false">
      <c r="B78" s="52" t="n">
        <v>74</v>
      </c>
      <c r="C78" s="7"/>
      <c r="D78" s="53"/>
      <c r="E78" s="53"/>
      <c r="F78" s="53"/>
      <c r="G78" s="52"/>
      <c r="H78" s="51" t="str">
        <f aca="false">IF(OR(DecisionLog[[#This Row],[Decision]]="",DecisionLog[[#This Row],[Status]]&lt;&gt;"Proposed",N(DecisionLog[[#This Row],[Date]])=0),"",MAX(0,StatusDate-DecisionLog[[#This Row],[Date]]))</f>
        <v/>
      </c>
      <c r="I78" s="52"/>
      <c r="J78" s="30" t="str">
        <f aca="false">IF(N(DecisionLog[[#This Row],[Task UID]])=0,"",IFERROR(INDEX(tsk_Name,MATCH(DecisionLog[[#This Row],[Task UID]],tsk_UID,0)),"UID "&amp;DecisionLog[[#This Row],[Task UID]]&amp;" not found"))</f>
        <v/>
      </c>
      <c r="K78" s="52"/>
    </row>
    <row r="79" customFormat="false" ht="15" hidden="false" customHeight="false" outlineLevel="0" collapsed="false">
      <c r="B79" s="52" t="n">
        <v>75</v>
      </c>
      <c r="C79" s="7"/>
      <c r="D79" s="53"/>
      <c r="E79" s="53"/>
      <c r="F79" s="53"/>
      <c r="G79" s="52"/>
      <c r="H79" s="51" t="str">
        <f aca="false">IF(OR(DecisionLog[[#This Row],[Decision]]="",DecisionLog[[#This Row],[Status]]&lt;&gt;"Proposed",N(DecisionLog[[#This Row],[Date]])=0),"",MAX(0,StatusDate-DecisionLog[[#This Row],[Date]]))</f>
        <v/>
      </c>
      <c r="I79" s="52"/>
      <c r="J79" s="30" t="str">
        <f aca="false">IF(N(DecisionLog[[#This Row],[Task UID]])=0,"",IFERROR(INDEX(tsk_Name,MATCH(DecisionLog[[#This Row],[Task UID]],tsk_UID,0)),"UID "&amp;DecisionLog[[#This Row],[Task UID]]&amp;" not found"))</f>
        <v/>
      </c>
      <c r="K79" s="52"/>
    </row>
    <row r="80" customFormat="false" ht="15" hidden="false" customHeight="false" outlineLevel="0" collapsed="false">
      <c r="B80" s="52" t="n">
        <v>76</v>
      </c>
      <c r="C80" s="7"/>
      <c r="D80" s="53"/>
      <c r="E80" s="53"/>
      <c r="F80" s="53"/>
      <c r="G80" s="52"/>
      <c r="H80" s="51" t="str">
        <f aca="false">IF(OR(DecisionLog[[#This Row],[Decision]]="",DecisionLog[[#This Row],[Status]]&lt;&gt;"Proposed",N(DecisionLog[[#This Row],[Date]])=0),"",MAX(0,StatusDate-DecisionLog[[#This Row],[Date]]))</f>
        <v/>
      </c>
      <c r="I80" s="52"/>
      <c r="J80" s="30" t="str">
        <f aca="false">IF(N(DecisionLog[[#This Row],[Task UID]])=0,"",IFERROR(INDEX(tsk_Name,MATCH(DecisionLog[[#This Row],[Task UID]],tsk_UID,0)),"UID "&amp;DecisionLog[[#This Row],[Task UID]]&amp;" not found"))</f>
        <v/>
      </c>
      <c r="K80" s="52"/>
    </row>
    <row r="81" customFormat="false" ht="15" hidden="false" customHeight="false" outlineLevel="0" collapsed="false">
      <c r="B81" s="52" t="n">
        <v>77</v>
      </c>
      <c r="C81" s="7"/>
      <c r="D81" s="53"/>
      <c r="E81" s="53"/>
      <c r="F81" s="53"/>
      <c r="G81" s="52"/>
      <c r="H81" s="51" t="str">
        <f aca="false">IF(OR(DecisionLog[[#This Row],[Decision]]="",DecisionLog[[#This Row],[Status]]&lt;&gt;"Proposed",N(DecisionLog[[#This Row],[Date]])=0),"",MAX(0,StatusDate-DecisionLog[[#This Row],[Date]]))</f>
        <v/>
      </c>
      <c r="I81" s="52"/>
      <c r="J81" s="30" t="str">
        <f aca="false">IF(N(DecisionLog[[#This Row],[Task UID]])=0,"",IFERROR(INDEX(tsk_Name,MATCH(DecisionLog[[#This Row],[Task UID]],tsk_UID,0)),"UID "&amp;DecisionLog[[#This Row],[Task UID]]&amp;" not found"))</f>
        <v/>
      </c>
      <c r="K81" s="52"/>
    </row>
    <row r="82" customFormat="false" ht="15" hidden="false" customHeight="false" outlineLevel="0" collapsed="false">
      <c r="B82" s="52" t="n">
        <v>78</v>
      </c>
      <c r="C82" s="7"/>
      <c r="D82" s="53"/>
      <c r="E82" s="53"/>
      <c r="F82" s="53"/>
      <c r="G82" s="52"/>
      <c r="H82" s="51" t="str">
        <f aca="false">IF(OR(DecisionLog[[#This Row],[Decision]]="",DecisionLog[[#This Row],[Status]]&lt;&gt;"Proposed",N(DecisionLog[[#This Row],[Date]])=0),"",MAX(0,StatusDate-DecisionLog[[#This Row],[Date]]))</f>
        <v/>
      </c>
      <c r="I82" s="52"/>
      <c r="J82" s="30" t="str">
        <f aca="false">IF(N(DecisionLog[[#This Row],[Task UID]])=0,"",IFERROR(INDEX(tsk_Name,MATCH(DecisionLog[[#This Row],[Task UID]],tsk_UID,0)),"UID "&amp;DecisionLog[[#This Row],[Task UID]]&amp;" not found"))</f>
        <v/>
      </c>
      <c r="K82" s="52"/>
    </row>
    <row r="83" customFormat="false" ht="15" hidden="false" customHeight="false" outlineLevel="0" collapsed="false">
      <c r="B83" s="52" t="n">
        <v>79</v>
      </c>
      <c r="C83" s="7"/>
      <c r="D83" s="53"/>
      <c r="E83" s="53"/>
      <c r="F83" s="53"/>
      <c r="G83" s="52"/>
      <c r="H83" s="51" t="str">
        <f aca="false">IF(OR(DecisionLog[[#This Row],[Decision]]="",DecisionLog[[#This Row],[Status]]&lt;&gt;"Proposed",N(DecisionLog[[#This Row],[Date]])=0),"",MAX(0,StatusDate-DecisionLog[[#This Row],[Date]]))</f>
        <v/>
      </c>
      <c r="I83" s="52"/>
      <c r="J83" s="30" t="str">
        <f aca="false">IF(N(DecisionLog[[#This Row],[Task UID]])=0,"",IFERROR(INDEX(tsk_Name,MATCH(DecisionLog[[#This Row],[Task UID]],tsk_UID,0)),"UID "&amp;DecisionLog[[#This Row],[Task UID]]&amp;" not found"))</f>
        <v/>
      </c>
      <c r="K83" s="52"/>
    </row>
    <row r="84" customFormat="false" ht="15" hidden="false" customHeight="false" outlineLevel="0" collapsed="false">
      <c r="B84" s="52" t="n">
        <v>80</v>
      </c>
      <c r="C84" s="7"/>
      <c r="D84" s="53"/>
      <c r="E84" s="53"/>
      <c r="F84" s="53"/>
      <c r="G84" s="52"/>
      <c r="H84" s="51" t="str">
        <f aca="false">IF(OR(DecisionLog[[#This Row],[Decision]]="",DecisionLog[[#This Row],[Status]]&lt;&gt;"Proposed",N(DecisionLog[[#This Row],[Date]])=0),"",MAX(0,StatusDate-DecisionLog[[#This Row],[Date]]))</f>
        <v/>
      </c>
      <c r="I84" s="52"/>
      <c r="J84" s="30" t="str">
        <f aca="false">IF(N(DecisionLog[[#This Row],[Task UID]])=0,"",IFERROR(INDEX(tsk_Name,MATCH(DecisionLog[[#This Row],[Task UID]],tsk_UID,0)),"UID "&amp;DecisionLog[[#This Row],[Task UID]]&amp;" not found"))</f>
        <v/>
      </c>
      <c r="K84" s="52"/>
    </row>
    <row r="85" customFormat="false" ht="15" hidden="false" customHeight="false" outlineLevel="0" collapsed="false">
      <c r="B85" s="52" t="n">
        <v>81</v>
      </c>
      <c r="C85" s="7"/>
      <c r="D85" s="53"/>
      <c r="E85" s="53"/>
      <c r="F85" s="53"/>
      <c r="G85" s="52"/>
      <c r="H85" s="51" t="str">
        <f aca="false">IF(OR(DecisionLog[[#This Row],[Decision]]="",DecisionLog[[#This Row],[Status]]&lt;&gt;"Proposed",N(DecisionLog[[#This Row],[Date]])=0),"",MAX(0,StatusDate-DecisionLog[[#This Row],[Date]]))</f>
        <v/>
      </c>
      <c r="I85" s="52"/>
      <c r="J85" s="30" t="str">
        <f aca="false">IF(N(DecisionLog[[#This Row],[Task UID]])=0,"",IFERROR(INDEX(tsk_Name,MATCH(DecisionLog[[#This Row],[Task UID]],tsk_UID,0)),"UID "&amp;DecisionLog[[#This Row],[Task UID]]&amp;" not found"))</f>
        <v/>
      </c>
      <c r="K85" s="52"/>
    </row>
    <row r="86" customFormat="false" ht="15" hidden="false" customHeight="false" outlineLevel="0" collapsed="false">
      <c r="B86" s="52" t="n">
        <v>82</v>
      </c>
      <c r="C86" s="7"/>
      <c r="D86" s="53"/>
      <c r="E86" s="53"/>
      <c r="F86" s="53"/>
      <c r="G86" s="52"/>
      <c r="H86" s="51" t="str">
        <f aca="false">IF(OR(DecisionLog[[#This Row],[Decision]]="",DecisionLog[[#This Row],[Status]]&lt;&gt;"Proposed",N(DecisionLog[[#This Row],[Date]])=0),"",MAX(0,StatusDate-DecisionLog[[#This Row],[Date]]))</f>
        <v/>
      </c>
      <c r="I86" s="52"/>
      <c r="J86" s="30" t="str">
        <f aca="false">IF(N(DecisionLog[[#This Row],[Task UID]])=0,"",IFERROR(INDEX(tsk_Name,MATCH(DecisionLog[[#This Row],[Task UID]],tsk_UID,0)),"UID "&amp;DecisionLog[[#This Row],[Task UID]]&amp;" not found"))</f>
        <v/>
      </c>
      <c r="K86" s="52"/>
    </row>
    <row r="87" customFormat="false" ht="15" hidden="false" customHeight="false" outlineLevel="0" collapsed="false">
      <c r="B87" s="52" t="n">
        <v>83</v>
      </c>
      <c r="C87" s="7"/>
      <c r="D87" s="53"/>
      <c r="E87" s="53"/>
      <c r="F87" s="53"/>
      <c r="G87" s="52"/>
      <c r="H87" s="51" t="str">
        <f aca="false">IF(OR(DecisionLog[[#This Row],[Decision]]="",DecisionLog[[#This Row],[Status]]&lt;&gt;"Proposed",N(DecisionLog[[#This Row],[Date]])=0),"",MAX(0,StatusDate-DecisionLog[[#This Row],[Date]]))</f>
        <v/>
      </c>
      <c r="I87" s="52"/>
      <c r="J87" s="30" t="str">
        <f aca="false">IF(N(DecisionLog[[#This Row],[Task UID]])=0,"",IFERROR(INDEX(tsk_Name,MATCH(DecisionLog[[#This Row],[Task UID]],tsk_UID,0)),"UID "&amp;DecisionLog[[#This Row],[Task UID]]&amp;" not found"))</f>
        <v/>
      </c>
      <c r="K87" s="52"/>
    </row>
    <row r="88" customFormat="false" ht="15" hidden="false" customHeight="false" outlineLevel="0" collapsed="false">
      <c r="B88" s="52" t="n">
        <v>84</v>
      </c>
      <c r="C88" s="7"/>
      <c r="D88" s="53"/>
      <c r="E88" s="53"/>
      <c r="F88" s="53"/>
      <c r="G88" s="52"/>
      <c r="H88" s="51" t="str">
        <f aca="false">IF(OR(DecisionLog[[#This Row],[Decision]]="",DecisionLog[[#This Row],[Status]]&lt;&gt;"Proposed",N(DecisionLog[[#This Row],[Date]])=0),"",MAX(0,StatusDate-DecisionLog[[#This Row],[Date]]))</f>
        <v/>
      </c>
      <c r="I88" s="52"/>
      <c r="J88" s="30" t="str">
        <f aca="false">IF(N(DecisionLog[[#This Row],[Task UID]])=0,"",IFERROR(INDEX(tsk_Name,MATCH(DecisionLog[[#This Row],[Task UID]],tsk_UID,0)),"UID "&amp;DecisionLog[[#This Row],[Task UID]]&amp;" not found"))</f>
        <v/>
      </c>
      <c r="K88" s="52"/>
    </row>
    <row r="89" customFormat="false" ht="15" hidden="false" customHeight="false" outlineLevel="0" collapsed="false">
      <c r="B89" s="52" t="n">
        <v>85</v>
      </c>
      <c r="C89" s="7"/>
      <c r="D89" s="53"/>
      <c r="E89" s="53"/>
      <c r="F89" s="53"/>
      <c r="G89" s="52"/>
      <c r="H89" s="51" t="str">
        <f aca="false">IF(OR(DecisionLog[[#This Row],[Decision]]="",DecisionLog[[#This Row],[Status]]&lt;&gt;"Proposed",N(DecisionLog[[#This Row],[Date]])=0),"",MAX(0,StatusDate-DecisionLog[[#This Row],[Date]]))</f>
        <v/>
      </c>
      <c r="I89" s="52"/>
      <c r="J89" s="30" t="str">
        <f aca="false">IF(N(DecisionLog[[#This Row],[Task UID]])=0,"",IFERROR(INDEX(tsk_Name,MATCH(DecisionLog[[#This Row],[Task UID]],tsk_UID,0)),"UID "&amp;DecisionLog[[#This Row],[Task UID]]&amp;" not found"))</f>
        <v/>
      </c>
      <c r="K89" s="52"/>
    </row>
    <row r="90" customFormat="false" ht="15" hidden="false" customHeight="false" outlineLevel="0" collapsed="false">
      <c r="B90" s="52" t="n">
        <v>86</v>
      </c>
      <c r="C90" s="7"/>
      <c r="D90" s="53"/>
      <c r="E90" s="53"/>
      <c r="F90" s="53"/>
      <c r="G90" s="52"/>
      <c r="H90" s="51" t="str">
        <f aca="false">IF(OR(DecisionLog[[#This Row],[Decision]]="",DecisionLog[[#This Row],[Status]]&lt;&gt;"Proposed",N(DecisionLog[[#This Row],[Date]])=0),"",MAX(0,StatusDate-DecisionLog[[#This Row],[Date]]))</f>
        <v/>
      </c>
      <c r="I90" s="52"/>
      <c r="J90" s="30" t="str">
        <f aca="false">IF(N(DecisionLog[[#This Row],[Task UID]])=0,"",IFERROR(INDEX(tsk_Name,MATCH(DecisionLog[[#This Row],[Task UID]],tsk_UID,0)),"UID "&amp;DecisionLog[[#This Row],[Task UID]]&amp;" not found"))</f>
        <v/>
      </c>
      <c r="K90" s="52"/>
    </row>
    <row r="91" customFormat="false" ht="15" hidden="false" customHeight="false" outlineLevel="0" collapsed="false">
      <c r="B91" s="52" t="n">
        <v>87</v>
      </c>
      <c r="C91" s="7"/>
      <c r="D91" s="53"/>
      <c r="E91" s="53"/>
      <c r="F91" s="53"/>
      <c r="G91" s="52"/>
      <c r="H91" s="51" t="str">
        <f aca="false">IF(OR(DecisionLog[[#This Row],[Decision]]="",DecisionLog[[#This Row],[Status]]&lt;&gt;"Proposed",N(DecisionLog[[#This Row],[Date]])=0),"",MAX(0,StatusDate-DecisionLog[[#This Row],[Date]]))</f>
        <v/>
      </c>
      <c r="I91" s="52"/>
      <c r="J91" s="30" t="str">
        <f aca="false">IF(N(DecisionLog[[#This Row],[Task UID]])=0,"",IFERROR(INDEX(tsk_Name,MATCH(DecisionLog[[#This Row],[Task UID]],tsk_UID,0)),"UID "&amp;DecisionLog[[#This Row],[Task UID]]&amp;" not found"))</f>
        <v/>
      </c>
      <c r="K91" s="52"/>
    </row>
    <row r="92" customFormat="false" ht="15" hidden="false" customHeight="false" outlineLevel="0" collapsed="false">
      <c r="B92" s="52" t="n">
        <v>88</v>
      </c>
      <c r="C92" s="7"/>
      <c r="D92" s="53"/>
      <c r="E92" s="53"/>
      <c r="F92" s="53"/>
      <c r="G92" s="52"/>
      <c r="H92" s="51" t="str">
        <f aca="false">IF(OR(DecisionLog[[#This Row],[Decision]]="",DecisionLog[[#This Row],[Status]]&lt;&gt;"Proposed",N(DecisionLog[[#This Row],[Date]])=0),"",MAX(0,StatusDate-DecisionLog[[#This Row],[Date]]))</f>
        <v/>
      </c>
      <c r="I92" s="52"/>
      <c r="J92" s="30" t="str">
        <f aca="false">IF(N(DecisionLog[[#This Row],[Task UID]])=0,"",IFERROR(INDEX(tsk_Name,MATCH(DecisionLog[[#This Row],[Task UID]],tsk_UID,0)),"UID "&amp;DecisionLog[[#This Row],[Task UID]]&amp;" not found"))</f>
        <v/>
      </c>
      <c r="K92" s="52"/>
    </row>
    <row r="93" customFormat="false" ht="15" hidden="false" customHeight="false" outlineLevel="0" collapsed="false">
      <c r="B93" s="52" t="n">
        <v>89</v>
      </c>
      <c r="C93" s="7"/>
      <c r="D93" s="53"/>
      <c r="E93" s="53"/>
      <c r="F93" s="53"/>
      <c r="G93" s="52"/>
      <c r="H93" s="51" t="str">
        <f aca="false">IF(OR(DecisionLog[[#This Row],[Decision]]="",DecisionLog[[#This Row],[Status]]&lt;&gt;"Proposed",N(DecisionLog[[#This Row],[Date]])=0),"",MAX(0,StatusDate-DecisionLog[[#This Row],[Date]]))</f>
        <v/>
      </c>
      <c r="I93" s="52"/>
      <c r="J93" s="30" t="str">
        <f aca="false">IF(N(DecisionLog[[#This Row],[Task UID]])=0,"",IFERROR(INDEX(tsk_Name,MATCH(DecisionLog[[#This Row],[Task UID]],tsk_UID,0)),"UID "&amp;DecisionLog[[#This Row],[Task UID]]&amp;" not found"))</f>
        <v/>
      </c>
      <c r="K93" s="52"/>
    </row>
    <row r="94" customFormat="false" ht="15" hidden="false" customHeight="false" outlineLevel="0" collapsed="false">
      <c r="B94" s="52" t="n">
        <v>90</v>
      </c>
      <c r="C94" s="7"/>
      <c r="D94" s="53"/>
      <c r="E94" s="53"/>
      <c r="F94" s="53"/>
      <c r="G94" s="52"/>
      <c r="H94" s="51" t="str">
        <f aca="false">IF(OR(DecisionLog[[#This Row],[Decision]]="",DecisionLog[[#This Row],[Status]]&lt;&gt;"Proposed",N(DecisionLog[[#This Row],[Date]])=0),"",MAX(0,StatusDate-DecisionLog[[#This Row],[Date]]))</f>
        <v/>
      </c>
      <c r="I94" s="52"/>
      <c r="J94" s="30" t="str">
        <f aca="false">IF(N(DecisionLog[[#This Row],[Task UID]])=0,"",IFERROR(INDEX(tsk_Name,MATCH(DecisionLog[[#This Row],[Task UID]],tsk_UID,0)),"UID "&amp;DecisionLog[[#This Row],[Task UID]]&amp;" not found"))</f>
        <v/>
      </c>
      <c r="K94" s="52"/>
    </row>
    <row r="95" customFormat="false" ht="15" hidden="false" customHeight="false" outlineLevel="0" collapsed="false">
      <c r="B95" s="52" t="n">
        <v>91</v>
      </c>
      <c r="C95" s="7"/>
      <c r="D95" s="53"/>
      <c r="E95" s="53"/>
      <c r="F95" s="53"/>
      <c r="G95" s="52"/>
      <c r="H95" s="51" t="str">
        <f aca="false">IF(OR(DecisionLog[[#This Row],[Decision]]="",DecisionLog[[#This Row],[Status]]&lt;&gt;"Proposed",N(DecisionLog[[#This Row],[Date]])=0),"",MAX(0,StatusDate-DecisionLog[[#This Row],[Date]]))</f>
        <v/>
      </c>
      <c r="I95" s="52"/>
      <c r="J95" s="30" t="str">
        <f aca="false">IF(N(DecisionLog[[#This Row],[Task UID]])=0,"",IFERROR(INDEX(tsk_Name,MATCH(DecisionLog[[#This Row],[Task UID]],tsk_UID,0)),"UID "&amp;DecisionLog[[#This Row],[Task UID]]&amp;" not found"))</f>
        <v/>
      </c>
      <c r="K95" s="52"/>
    </row>
    <row r="96" customFormat="false" ht="15" hidden="false" customHeight="false" outlineLevel="0" collapsed="false">
      <c r="B96" s="52" t="n">
        <v>92</v>
      </c>
      <c r="C96" s="7"/>
      <c r="D96" s="53"/>
      <c r="E96" s="53"/>
      <c r="F96" s="53"/>
      <c r="G96" s="52"/>
      <c r="H96" s="51" t="str">
        <f aca="false">IF(OR(DecisionLog[[#This Row],[Decision]]="",DecisionLog[[#This Row],[Status]]&lt;&gt;"Proposed",N(DecisionLog[[#This Row],[Date]])=0),"",MAX(0,StatusDate-DecisionLog[[#This Row],[Date]]))</f>
        <v/>
      </c>
      <c r="I96" s="52"/>
      <c r="J96" s="30" t="str">
        <f aca="false">IF(N(DecisionLog[[#This Row],[Task UID]])=0,"",IFERROR(INDEX(tsk_Name,MATCH(DecisionLog[[#This Row],[Task UID]],tsk_UID,0)),"UID "&amp;DecisionLog[[#This Row],[Task UID]]&amp;" not found"))</f>
        <v/>
      </c>
      <c r="K96" s="52"/>
    </row>
    <row r="97" customFormat="false" ht="15" hidden="false" customHeight="false" outlineLevel="0" collapsed="false">
      <c r="B97" s="52" t="n">
        <v>93</v>
      </c>
      <c r="C97" s="7"/>
      <c r="D97" s="53"/>
      <c r="E97" s="53"/>
      <c r="F97" s="53"/>
      <c r="G97" s="52"/>
      <c r="H97" s="51" t="str">
        <f aca="false">IF(OR(DecisionLog[[#This Row],[Decision]]="",DecisionLog[[#This Row],[Status]]&lt;&gt;"Proposed",N(DecisionLog[[#This Row],[Date]])=0),"",MAX(0,StatusDate-DecisionLog[[#This Row],[Date]]))</f>
        <v/>
      </c>
      <c r="I97" s="52"/>
      <c r="J97" s="30" t="str">
        <f aca="false">IF(N(DecisionLog[[#This Row],[Task UID]])=0,"",IFERROR(INDEX(tsk_Name,MATCH(DecisionLog[[#This Row],[Task UID]],tsk_UID,0)),"UID "&amp;DecisionLog[[#This Row],[Task UID]]&amp;" not found"))</f>
        <v/>
      </c>
      <c r="K97" s="52"/>
    </row>
    <row r="98" customFormat="false" ht="15" hidden="false" customHeight="false" outlineLevel="0" collapsed="false">
      <c r="B98" s="52" t="n">
        <v>94</v>
      </c>
      <c r="C98" s="7"/>
      <c r="D98" s="53"/>
      <c r="E98" s="53"/>
      <c r="F98" s="53"/>
      <c r="G98" s="52"/>
      <c r="H98" s="51" t="str">
        <f aca="false">IF(OR(DecisionLog[[#This Row],[Decision]]="",DecisionLog[[#This Row],[Status]]&lt;&gt;"Proposed",N(DecisionLog[[#This Row],[Date]])=0),"",MAX(0,StatusDate-DecisionLog[[#This Row],[Date]]))</f>
        <v/>
      </c>
      <c r="I98" s="52"/>
      <c r="J98" s="30" t="str">
        <f aca="false">IF(N(DecisionLog[[#This Row],[Task UID]])=0,"",IFERROR(INDEX(tsk_Name,MATCH(DecisionLog[[#This Row],[Task UID]],tsk_UID,0)),"UID "&amp;DecisionLog[[#This Row],[Task UID]]&amp;" not found"))</f>
        <v/>
      </c>
      <c r="K98" s="52"/>
    </row>
    <row r="99" customFormat="false" ht="15" hidden="false" customHeight="false" outlineLevel="0" collapsed="false">
      <c r="B99" s="52" t="n">
        <v>95</v>
      </c>
      <c r="C99" s="7"/>
      <c r="D99" s="53"/>
      <c r="E99" s="53"/>
      <c r="F99" s="53"/>
      <c r="G99" s="52"/>
      <c r="H99" s="51" t="str">
        <f aca="false">IF(OR(DecisionLog[[#This Row],[Decision]]="",DecisionLog[[#This Row],[Status]]&lt;&gt;"Proposed",N(DecisionLog[[#This Row],[Date]])=0),"",MAX(0,StatusDate-DecisionLog[[#This Row],[Date]]))</f>
        <v/>
      </c>
      <c r="I99" s="52"/>
      <c r="J99" s="30" t="str">
        <f aca="false">IF(N(DecisionLog[[#This Row],[Task UID]])=0,"",IFERROR(INDEX(tsk_Name,MATCH(DecisionLog[[#This Row],[Task UID]],tsk_UID,0)),"UID "&amp;DecisionLog[[#This Row],[Task UID]]&amp;" not found"))</f>
        <v/>
      </c>
      <c r="K99" s="52"/>
    </row>
    <row r="100" customFormat="false" ht="15" hidden="false" customHeight="false" outlineLevel="0" collapsed="false">
      <c r="B100" s="52" t="n">
        <v>96</v>
      </c>
      <c r="C100" s="7"/>
      <c r="D100" s="53"/>
      <c r="E100" s="53"/>
      <c r="F100" s="53"/>
      <c r="G100" s="52"/>
      <c r="H100" s="51" t="str">
        <f aca="false">IF(OR(DecisionLog[[#This Row],[Decision]]="",DecisionLog[[#This Row],[Status]]&lt;&gt;"Proposed",N(DecisionLog[[#This Row],[Date]])=0),"",MAX(0,StatusDate-DecisionLog[[#This Row],[Date]]))</f>
        <v/>
      </c>
      <c r="I100" s="52"/>
      <c r="J100" s="30" t="str">
        <f aca="false">IF(N(DecisionLog[[#This Row],[Task UID]])=0,"",IFERROR(INDEX(tsk_Name,MATCH(DecisionLog[[#This Row],[Task UID]],tsk_UID,0)),"UID "&amp;DecisionLog[[#This Row],[Task UID]]&amp;" not found"))</f>
        <v/>
      </c>
      <c r="K100" s="52"/>
    </row>
    <row r="101" customFormat="false" ht="15" hidden="false" customHeight="false" outlineLevel="0" collapsed="false">
      <c r="B101" s="52" t="n">
        <v>97</v>
      </c>
      <c r="C101" s="7"/>
      <c r="D101" s="53"/>
      <c r="E101" s="53"/>
      <c r="F101" s="53"/>
      <c r="G101" s="52"/>
      <c r="H101" s="51" t="str">
        <f aca="false">IF(OR(DecisionLog[[#This Row],[Decision]]="",DecisionLog[[#This Row],[Status]]&lt;&gt;"Proposed",N(DecisionLog[[#This Row],[Date]])=0),"",MAX(0,StatusDate-DecisionLog[[#This Row],[Date]]))</f>
        <v/>
      </c>
      <c r="I101" s="52"/>
      <c r="J101" s="30" t="str">
        <f aca="false">IF(N(DecisionLog[[#This Row],[Task UID]])=0,"",IFERROR(INDEX(tsk_Name,MATCH(DecisionLog[[#This Row],[Task UID]],tsk_UID,0)),"UID "&amp;DecisionLog[[#This Row],[Task UID]]&amp;" not found"))</f>
        <v/>
      </c>
      <c r="K101" s="52"/>
    </row>
    <row r="102" customFormat="false" ht="15" hidden="false" customHeight="false" outlineLevel="0" collapsed="false">
      <c r="B102" s="52" t="n">
        <v>98</v>
      </c>
      <c r="C102" s="7"/>
      <c r="D102" s="53"/>
      <c r="E102" s="53"/>
      <c r="F102" s="53"/>
      <c r="G102" s="52"/>
      <c r="H102" s="51" t="str">
        <f aca="false">IF(OR(DecisionLog[[#This Row],[Decision]]="",DecisionLog[[#This Row],[Status]]&lt;&gt;"Proposed",N(DecisionLog[[#This Row],[Date]])=0),"",MAX(0,StatusDate-DecisionLog[[#This Row],[Date]]))</f>
        <v/>
      </c>
      <c r="I102" s="52"/>
      <c r="J102" s="30" t="str">
        <f aca="false">IF(N(DecisionLog[[#This Row],[Task UID]])=0,"",IFERROR(INDEX(tsk_Name,MATCH(DecisionLog[[#This Row],[Task UID]],tsk_UID,0)),"UID "&amp;DecisionLog[[#This Row],[Task UID]]&amp;" not found"))</f>
        <v/>
      </c>
      <c r="K102" s="52"/>
    </row>
    <row r="103" customFormat="false" ht="15" hidden="false" customHeight="false" outlineLevel="0" collapsed="false">
      <c r="B103" s="52" t="n">
        <v>99</v>
      </c>
      <c r="C103" s="7"/>
      <c r="D103" s="53"/>
      <c r="E103" s="53"/>
      <c r="F103" s="53"/>
      <c r="G103" s="52"/>
      <c r="H103" s="51" t="str">
        <f aca="false">IF(OR(DecisionLog[[#This Row],[Decision]]="",DecisionLog[[#This Row],[Status]]&lt;&gt;"Proposed",N(DecisionLog[[#This Row],[Date]])=0),"",MAX(0,StatusDate-DecisionLog[[#This Row],[Date]]))</f>
        <v/>
      </c>
      <c r="I103" s="52"/>
      <c r="J103" s="30" t="str">
        <f aca="false">IF(N(DecisionLog[[#This Row],[Task UID]])=0,"",IFERROR(INDEX(tsk_Name,MATCH(DecisionLog[[#This Row],[Task UID]],tsk_UID,0)),"UID "&amp;DecisionLog[[#This Row],[Task UID]]&amp;" not found"))</f>
        <v/>
      </c>
      <c r="K103" s="52"/>
    </row>
    <row r="104" customFormat="false" ht="15" hidden="false" customHeight="false" outlineLevel="0" collapsed="false">
      <c r="B104" s="52" t="n">
        <v>100</v>
      </c>
      <c r="C104" s="7"/>
      <c r="D104" s="53"/>
      <c r="E104" s="53"/>
      <c r="F104" s="53"/>
      <c r="G104" s="52"/>
      <c r="H104" s="51" t="str">
        <f aca="false">IF(OR(DecisionLog[[#This Row],[Decision]]="",DecisionLog[[#This Row],[Status]]&lt;&gt;"Proposed",N(DecisionLog[[#This Row],[Date]])=0),"",MAX(0,StatusDate-DecisionLog[[#This Row],[Date]]))</f>
        <v/>
      </c>
      <c r="I104" s="52"/>
      <c r="J104" s="30" t="str">
        <f aca="false">IF(N(DecisionLog[[#This Row],[Task UID]])=0,"",IFERROR(INDEX(tsk_Name,MATCH(DecisionLog[[#This Row],[Task UID]],tsk_UID,0)),"UID "&amp;DecisionLog[[#This Row],[Task UID]]&amp;" not found"))</f>
        <v/>
      </c>
      <c r="K104" s="52"/>
    </row>
  </sheetData>
  <conditionalFormatting sqref="G5:G104">
    <cfRule type="expression" priority="2" aboveAverage="0" equalAverage="0" bottom="0" percent="0" rank="0" text="" dxfId="35">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32" t="s">
        <v>324</v>
      </c>
    </row>
    <row r="2" customFormat="false" ht="15" hidden="false" customHeight="false" outlineLevel="0" collapsed="false">
      <c r="A2" s="2" t="s">
        <v>325</v>
      </c>
    </row>
    <row r="4" customFormat="false" ht="46.25" hidden="false" customHeight="false" outlineLevel="0" collapsed="false">
      <c r="B4" s="50" t="s">
        <v>304</v>
      </c>
      <c r="C4" s="50" t="s">
        <v>307</v>
      </c>
      <c r="D4" s="50" t="s">
        <v>326</v>
      </c>
      <c r="E4" s="50" t="s">
        <v>306</v>
      </c>
      <c r="F4" s="50" t="s">
        <v>327</v>
      </c>
      <c r="G4" s="50" t="s">
        <v>328</v>
      </c>
      <c r="H4" s="50" t="s">
        <v>329</v>
      </c>
      <c r="I4" s="50" t="s">
        <v>28</v>
      </c>
      <c r="J4" s="50" t="s">
        <v>330</v>
      </c>
      <c r="K4" s="50" t="s">
        <v>321</v>
      </c>
      <c r="L4" s="15" t="s">
        <v>322</v>
      </c>
      <c r="M4" s="50" t="s">
        <v>311</v>
      </c>
      <c r="N4" s="15" t="s">
        <v>227</v>
      </c>
    </row>
    <row r="5" customFormat="false" ht="15" hidden="false" customHeight="false" outlineLevel="0" collapsed="false">
      <c r="B5" s="52" t="n">
        <v>1</v>
      </c>
      <c r="C5" s="7"/>
      <c r="D5" s="53"/>
      <c r="E5" s="53"/>
      <c r="F5" s="53"/>
      <c r="G5" s="91"/>
      <c r="H5" s="92"/>
      <c r="I5" s="52"/>
      <c r="J5" s="7"/>
      <c r="K5" s="53"/>
      <c r="L5" s="51" t="str">
        <f aca="false">IF(OR(ChangeLog[[#This Row],[Title]]="",N(ChangeLog[[#This Row],[Raised]])=0,AND(ChangeLog[[#This Row],[Status]]&lt;&gt;"Submitted",ChangeLog[[#This Row],[Status]]&lt;&gt;"Under Review")),"",MAX(0,StatusDate-ChangeLog[[#This Row],[Raised]]))</f>
        <v/>
      </c>
      <c r="M5" s="52"/>
      <c r="N5" s="30" t="str">
        <f aca="false">IF(N(ChangeLog[[#This Row],[Task UID]])=0,"",IFERROR(INDEX(tsk_Name,MATCH(ChangeLog[[#This Row],[Task UID]],tsk_UID,0)),"UID "&amp;ChangeLog[[#This Row],[Task UID]]&amp;" not found"))</f>
        <v/>
      </c>
    </row>
    <row r="6" customFormat="false" ht="15" hidden="false" customHeight="false" outlineLevel="0" collapsed="false">
      <c r="B6" s="52" t="n">
        <v>2</v>
      </c>
      <c r="C6" s="7"/>
      <c r="D6" s="53"/>
      <c r="E6" s="53"/>
      <c r="F6" s="53"/>
      <c r="G6" s="91"/>
      <c r="H6" s="92"/>
      <c r="I6" s="52"/>
      <c r="J6" s="7"/>
      <c r="K6" s="53"/>
      <c r="L6" s="51" t="str">
        <f aca="false">IF(OR(ChangeLog[[#This Row],[Title]]="",N(ChangeLog[[#This Row],[Raised]])=0,AND(ChangeLog[[#This Row],[Status]]&lt;&gt;"Submitted",ChangeLog[[#This Row],[Status]]&lt;&gt;"Under Review")),"",MAX(0,StatusDate-ChangeLog[[#This Row],[Raised]]))</f>
        <v/>
      </c>
      <c r="M6" s="52"/>
      <c r="N6" s="30" t="str">
        <f aca="false">IF(N(ChangeLog[[#This Row],[Task UID]])=0,"",IFERROR(INDEX(tsk_Name,MATCH(ChangeLog[[#This Row],[Task UID]],tsk_UID,0)),"UID "&amp;ChangeLog[[#This Row],[Task UID]]&amp;" not found"))</f>
        <v/>
      </c>
    </row>
    <row r="7" customFormat="false" ht="15" hidden="false" customHeight="false" outlineLevel="0" collapsed="false">
      <c r="B7" s="52" t="n">
        <v>3</v>
      </c>
      <c r="C7" s="7"/>
      <c r="D7" s="53"/>
      <c r="E7" s="53"/>
      <c r="F7" s="53"/>
      <c r="G7" s="91"/>
      <c r="H7" s="92"/>
      <c r="I7" s="52"/>
      <c r="J7" s="7"/>
      <c r="K7" s="53"/>
      <c r="L7" s="51" t="str">
        <f aca="false">IF(OR(ChangeLog[[#This Row],[Title]]="",N(ChangeLog[[#This Row],[Raised]])=0,AND(ChangeLog[[#This Row],[Status]]&lt;&gt;"Submitted",ChangeLog[[#This Row],[Status]]&lt;&gt;"Under Review")),"",MAX(0,StatusDate-ChangeLog[[#This Row],[Raised]]))</f>
        <v/>
      </c>
      <c r="M7" s="52"/>
      <c r="N7" s="30" t="str">
        <f aca="false">IF(N(ChangeLog[[#This Row],[Task UID]])=0,"",IFERROR(INDEX(tsk_Name,MATCH(ChangeLog[[#This Row],[Task UID]],tsk_UID,0)),"UID "&amp;ChangeLog[[#This Row],[Task UID]]&amp;" not found"))</f>
        <v/>
      </c>
    </row>
    <row r="8" customFormat="false" ht="15" hidden="false" customHeight="false" outlineLevel="0" collapsed="false">
      <c r="B8" s="52" t="n">
        <v>4</v>
      </c>
      <c r="C8" s="7"/>
      <c r="D8" s="53"/>
      <c r="E8" s="53"/>
      <c r="F8" s="53"/>
      <c r="G8" s="91"/>
      <c r="H8" s="92"/>
      <c r="I8" s="52"/>
      <c r="J8" s="7"/>
      <c r="K8" s="53"/>
      <c r="L8" s="51" t="str">
        <f aca="false">IF(OR(ChangeLog[[#This Row],[Title]]="",N(ChangeLog[[#This Row],[Raised]])=0,AND(ChangeLog[[#This Row],[Status]]&lt;&gt;"Submitted",ChangeLog[[#This Row],[Status]]&lt;&gt;"Under Review")),"",MAX(0,StatusDate-ChangeLog[[#This Row],[Raised]]))</f>
        <v/>
      </c>
      <c r="M8" s="52"/>
      <c r="N8" s="30" t="str">
        <f aca="false">IF(N(ChangeLog[[#This Row],[Task UID]])=0,"",IFERROR(INDEX(tsk_Name,MATCH(ChangeLog[[#This Row],[Task UID]],tsk_UID,0)),"UID "&amp;ChangeLog[[#This Row],[Task UID]]&amp;" not found"))</f>
        <v/>
      </c>
    </row>
    <row r="9" customFormat="false" ht="15" hidden="false" customHeight="false" outlineLevel="0" collapsed="false">
      <c r="B9" s="52" t="n">
        <v>5</v>
      </c>
      <c r="C9" s="7"/>
      <c r="D9" s="53"/>
      <c r="E9" s="53"/>
      <c r="F9" s="53"/>
      <c r="G9" s="91"/>
      <c r="H9" s="92"/>
      <c r="I9" s="52"/>
      <c r="J9" s="7"/>
      <c r="K9" s="53"/>
      <c r="L9" s="51" t="str">
        <f aca="false">IF(OR(ChangeLog[[#This Row],[Title]]="",N(ChangeLog[[#This Row],[Raised]])=0,AND(ChangeLog[[#This Row],[Status]]&lt;&gt;"Submitted",ChangeLog[[#This Row],[Status]]&lt;&gt;"Under Review")),"",MAX(0,StatusDate-ChangeLog[[#This Row],[Raised]]))</f>
        <v/>
      </c>
      <c r="M9" s="52"/>
      <c r="N9" s="30" t="str">
        <f aca="false">IF(N(ChangeLog[[#This Row],[Task UID]])=0,"",IFERROR(INDEX(tsk_Name,MATCH(ChangeLog[[#This Row],[Task UID]],tsk_UID,0)),"UID "&amp;ChangeLog[[#This Row],[Task UID]]&amp;" not found"))</f>
        <v/>
      </c>
    </row>
    <row r="10" customFormat="false" ht="15" hidden="false" customHeight="false" outlineLevel="0" collapsed="false">
      <c r="B10" s="52" t="n">
        <v>6</v>
      </c>
      <c r="C10" s="7"/>
      <c r="D10" s="53"/>
      <c r="E10" s="53"/>
      <c r="F10" s="53"/>
      <c r="G10" s="91"/>
      <c r="H10" s="92"/>
      <c r="I10" s="52"/>
      <c r="J10" s="7"/>
      <c r="K10" s="53"/>
      <c r="L10" s="51" t="str">
        <f aca="false">IF(OR(ChangeLog[[#This Row],[Title]]="",N(ChangeLog[[#This Row],[Raised]])=0,AND(ChangeLog[[#This Row],[Status]]&lt;&gt;"Submitted",ChangeLog[[#This Row],[Status]]&lt;&gt;"Under Review")),"",MAX(0,StatusDate-ChangeLog[[#This Row],[Raised]]))</f>
        <v/>
      </c>
      <c r="M10" s="52"/>
      <c r="N10" s="30" t="str">
        <f aca="false">IF(N(ChangeLog[[#This Row],[Task UID]])=0,"",IFERROR(INDEX(tsk_Name,MATCH(ChangeLog[[#This Row],[Task UID]],tsk_UID,0)),"UID "&amp;ChangeLog[[#This Row],[Task UID]]&amp;" not found"))</f>
        <v/>
      </c>
    </row>
    <row r="11" customFormat="false" ht="15" hidden="false" customHeight="false" outlineLevel="0" collapsed="false">
      <c r="B11" s="52" t="n">
        <v>7</v>
      </c>
      <c r="C11" s="7"/>
      <c r="D11" s="53"/>
      <c r="E11" s="53"/>
      <c r="F11" s="53"/>
      <c r="G11" s="91"/>
      <c r="H11" s="92"/>
      <c r="I11" s="52"/>
      <c r="J11" s="7"/>
      <c r="K11" s="53"/>
      <c r="L11" s="51" t="str">
        <f aca="false">IF(OR(ChangeLog[[#This Row],[Title]]="",N(ChangeLog[[#This Row],[Raised]])=0,AND(ChangeLog[[#This Row],[Status]]&lt;&gt;"Submitted",ChangeLog[[#This Row],[Status]]&lt;&gt;"Under Review")),"",MAX(0,StatusDate-ChangeLog[[#This Row],[Raised]]))</f>
        <v/>
      </c>
      <c r="M11" s="52"/>
      <c r="N11" s="30" t="str">
        <f aca="false">IF(N(ChangeLog[[#This Row],[Task UID]])=0,"",IFERROR(INDEX(tsk_Name,MATCH(ChangeLog[[#This Row],[Task UID]],tsk_UID,0)),"UID "&amp;ChangeLog[[#This Row],[Task UID]]&amp;" not found"))</f>
        <v/>
      </c>
    </row>
    <row r="12" customFormat="false" ht="15" hidden="false" customHeight="false" outlineLevel="0" collapsed="false">
      <c r="B12" s="52" t="n">
        <v>8</v>
      </c>
      <c r="C12" s="7"/>
      <c r="D12" s="53"/>
      <c r="E12" s="53"/>
      <c r="F12" s="53"/>
      <c r="G12" s="91"/>
      <c r="H12" s="92"/>
      <c r="I12" s="52"/>
      <c r="J12" s="7"/>
      <c r="K12" s="53"/>
      <c r="L12" s="51" t="str">
        <f aca="false">IF(OR(ChangeLog[[#This Row],[Title]]="",N(ChangeLog[[#This Row],[Raised]])=0,AND(ChangeLog[[#This Row],[Status]]&lt;&gt;"Submitted",ChangeLog[[#This Row],[Status]]&lt;&gt;"Under Review")),"",MAX(0,StatusDate-ChangeLog[[#This Row],[Raised]]))</f>
        <v/>
      </c>
      <c r="M12" s="52"/>
      <c r="N12" s="30" t="str">
        <f aca="false">IF(N(ChangeLog[[#This Row],[Task UID]])=0,"",IFERROR(INDEX(tsk_Name,MATCH(ChangeLog[[#This Row],[Task UID]],tsk_UID,0)),"UID "&amp;ChangeLog[[#This Row],[Task UID]]&amp;" not found"))</f>
        <v/>
      </c>
    </row>
    <row r="13" customFormat="false" ht="15" hidden="false" customHeight="false" outlineLevel="0" collapsed="false">
      <c r="B13" s="52" t="n">
        <v>9</v>
      </c>
      <c r="C13" s="7"/>
      <c r="D13" s="53"/>
      <c r="E13" s="53"/>
      <c r="F13" s="53"/>
      <c r="G13" s="91"/>
      <c r="H13" s="92"/>
      <c r="I13" s="52"/>
      <c r="J13" s="7"/>
      <c r="K13" s="53"/>
      <c r="L13" s="51" t="str">
        <f aca="false">IF(OR(ChangeLog[[#This Row],[Title]]="",N(ChangeLog[[#This Row],[Raised]])=0,AND(ChangeLog[[#This Row],[Status]]&lt;&gt;"Submitted",ChangeLog[[#This Row],[Status]]&lt;&gt;"Under Review")),"",MAX(0,StatusDate-ChangeLog[[#This Row],[Raised]]))</f>
        <v/>
      </c>
      <c r="M13" s="52"/>
      <c r="N13" s="30" t="str">
        <f aca="false">IF(N(ChangeLog[[#This Row],[Task UID]])=0,"",IFERROR(INDEX(tsk_Name,MATCH(ChangeLog[[#This Row],[Task UID]],tsk_UID,0)),"UID "&amp;ChangeLog[[#This Row],[Task UID]]&amp;" not found"))</f>
        <v/>
      </c>
    </row>
    <row r="14" customFormat="false" ht="15" hidden="false" customHeight="false" outlineLevel="0" collapsed="false">
      <c r="B14" s="52" t="n">
        <v>10</v>
      </c>
      <c r="C14" s="7"/>
      <c r="D14" s="53"/>
      <c r="E14" s="53"/>
      <c r="F14" s="53"/>
      <c r="G14" s="91"/>
      <c r="H14" s="92"/>
      <c r="I14" s="52"/>
      <c r="J14" s="7"/>
      <c r="K14" s="53"/>
      <c r="L14" s="51" t="str">
        <f aca="false">IF(OR(ChangeLog[[#This Row],[Title]]="",N(ChangeLog[[#This Row],[Raised]])=0,AND(ChangeLog[[#This Row],[Status]]&lt;&gt;"Submitted",ChangeLog[[#This Row],[Status]]&lt;&gt;"Under Review")),"",MAX(0,StatusDate-ChangeLog[[#This Row],[Raised]]))</f>
        <v/>
      </c>
      <c r="M14" s="52"/>
      <c r="N14" s="30" t="str">
        <f aca="false">IF(N(ChangeLog[[#This Row],[Task UID]])=0,"",IFERROR(INDEX(tsk_Name,MATCH(ChangeLog[[#This Row],[Task UID]],tsk_UID,0)),"UID "&amp;ChangeLog[[#This Row],[Task UID]]&amp;" not found"))</f>
        <v/>
      </c>
    </row>
    <row r="15" customFormat="false" ht="15" hidden="false" customHeight="false" outlineLevel="0" collapsed="false">
      <c r="B15" s="52" t="n">
        <v>11</v>
      </c>
      <c r="C15" s="7"/>
      <c r="D15" s="53"/>
      <c r="E15" s="53"/>
      <c r="F15" s="53"/>
      <c r="G15" s="91"/>
      <c r="H15" s="92"/>
      <c r="I15" s="52"/>
      <c r="J15" s="7"/>
      <c r="K15" s="53"/>
      <c r="L15" s="51" t="str">
        <f aca="false">IF(OR(ChangeLog[[#This Row],[Title]]="",N(ChangeLog[[#This Row],[Raised]])=0,AND(ChangeLog[[#This Row],[Status]]&lt;&gt;"Submitted",ChangeLog[[#This Row],[Status]]&lt;&gt;"Under Review")),"",MAX(0,StatusDate-ChangeLog[[#This Row],[Raised]]))</f>
        <v/>
      </c>
      <c r="M15" s="52"/>
      <c r="N15" s="30" t="str">
        <f aca="false">IF(N(ChangeLog[[#This Row],[Task UID]])=0,"",IFERROR(INDEX(tsk_Name,MATCH(ChangeLog[[#This Row],[Task UID]],tsk_UID,0)),"UID "&amp;ChangeLog[[#This Row],[Task UID]]&amp;" not found"))</f>
        <v/>
      </c>
    </row>
    <row r="16" customFormat="false" ht="15" hidden="false" customHeight="false" outlineLevel="0" collapsed="false">
      <c r="B16" s="52" t="n">
        <v>12</v>
      </c>
      <c r="C16" s="7"/>
      <c r="D16" s="53"/>
      <c r="E16" s="53"/>
      <c r="F16" s="53"/>
      <c r="G16" s="91"/>
      <c r="H16" s="92"/>
      <c r="I16" s="52"/>
      <c r="J16" s="7"/>
      <c r="K16" s="53"/>
      <c r="L16" s="51" t="str">
        <f aca="false">IF(OR(ChangeLog[[#This Row],[Title]]="",N(ChangeLog[[#This Row],[Raised]])=0,AND(ChangeLog[[#This Row],[Status]]&lt;&gt;"Submitted",ChangeLog[[#This Row],[Status]]&lt;&gt;"Under Review")),"",MAX(0,StatusDate-ChangeLog[[#This Row],[Raised]]))</f>
        <v/>
      </c>
      <c r="M16" s="52"/>
      <c r="N16" s="30" t="str">
        <f aca="false">IF(N(ChangeLog[[#This Row],[Task UID]])=0,"",IFERROR(INDEX(tsk_Name,MATCH(ChangeLog[[#This Row],[Task UID]],tsk_UID,0)),"UID "&amp;ChangeLog[[#This Row],[Task UID]]&amp;" not found"))</f>
        <v/>
      </c>
    </row>
    <row r="17" customFormat="false" ht="15" hidden="false" customHeight="false" outlineLevel="0" collapsed="false">
      <c r="B17" s="52" t="n">
        <v>13</v>
      </c>
      <c r="C17" s="7"/>
      <c r="D17" s="53"/>
      <c r="E17" s="53"/>
      <c r="F17" s="53"/>
      <c r="G17" s="91"/>
      <c r="H17" s="92"/>
      <c r="I17" s="52"/>
      <c r="J17" s="7"/>
      <c r="K17" s="53"/>
      <c r="L17" s="51" t="str">
        <f aca="false">IF(OR(ChangeLog[[#This Row],[Title]]="",N(ChangeLog[[#This Row],[Raised]])=0,AND(ChangeLog[[#This Row],[Status]]&lt;&gt;"Submitted",ChangeLog[[#This Row],[Status]]&lt;&gt;"Under Review")),"",MAX(0,StatusDate-ChangeLog[[#This Row],[Raised]]))</f>
        <v/>
      </c>
      <c r="M17" s="52"/>
      <c r="N17" s="30" t="str">
        <f aca="false">IF(N(ChangeLog[[#This Row],[Task UID]])=0,"",IFERROR(INDEX(tsk_Name,MATCH(ChangeLog[[#This Row],[Task UID]],tsk_UID,0)),"UID "&amp;ChangeLog[[#This Row],[Task UID]]&amp;" not found"))</f>
        <v/>
      </c>
    </row>
    <row r="18" customFormat="false" ht="15" hidden="false" customHeight="false" outlineLevel="0" collapsed="false">
      <c r="B18" s="52" t="n">
        <v>14</v>
      </c>
      <c r="C18" s="7"/>
      <c r="D18" s="53"/>
      <c r="E18" s="53"/>
      <c r="F18" s="53"/>
      <c r="G18" s="91"/>
      <c r="H18" s="92"/>
      <c r="I18" s="52"/>
      <c r="J18" s="7"/>
      <c r="K18" s="53"/>
      <c r="L18" s="51" t="str">
        <f aca="false">IF(OR(ChangeLog[[#This Row],[Title]]="",N(ChangeLog[[#This Row],[Raised]])=0,AND(ChangeLog[[#This Row],[Status]]&lt;&gt;"Submitted",ChangeLog[[#This Row],[Status]]&lt;&gt;"Under Review")),"",MAX(0,StatusDate-ChangeLog[[#This Row],[Raised]]))</f>
        <v/>
      </c>
      <c r="M18" s="52"/>
      <c r="N18" s="30" t="str">
        <f aca="false">IF(N(ChangeLog[[#This Row],[Task UID]])=0,"",IFERROR(INDEX(tsk_Name,MATCH(ChangeLog[[#This Row],[Task UID]],tsk_UID,0)),"UID "&amp;ChangeLog[[#This Row],[Task UID]]&amp;" not found"))</f>
        <v/>
      </c>
    </row>
    <row r="19" customFormat="false" ht="15" hidden="false" customHeight="false" outlineLevel="0" collapsed="false">
      <c r="B19" s="52" t="n">
        <v>15</v>
      </c>
      <c r="C19" s="7"/>
      <c r="D19" s="53"/>
      <c r="E19" s="53"/>
      <c r="F19" s="53"/>
      <c r="G19" s="91"/>
      <c r="H19" s="92"/>
      <c r="I19" s="52"/>
      <c r="J19" s="7"/>
      <c r="K19" s="53"/>
      <c r="L19" s="51" t="str">
        <f aca="false">IF(OR(ChangeLog[[#This Row],[Title]]="",N(ChangeLog[[#This Row],[Raised]])=0,AND(ChangeLog[[#This Row],[Status]]&lt;&gt;"Submitted",ChangeLog[[#This Row],[Status]]&lt;&gt;"Under Review")),"",MAX(0,StatusDate-ChangeLog[[#This Row],[Raised]]))</f>
        <v/>
      </c>
      <c r="M19" s="52"/>
      <c r="N19" s="30" t="str">
        <f aca="false">IF(N(ChangeLog[[#This Row],[Task UID]])=0,"",IFERROR(INDEX(tsk_Name,MATCH(ChangeLog[[#This Row],[Task UID]],tsk_UID,0)),"UID "&amp;ChangeLog[[#This Row],[Task UID]]&amp;" not found"))</f>
        <v/>
      </c>
    </row>
    <row r="20" customFormat="false" ht="15" hidden="false" customHeight="false" outlineLevel="0" collapsed="false">
      <c r="B20" s="52" t="n">
        <v>16</v>
      </c>
      <c r="C20" s="7"/>
      <c r="D20" s="53"/>
      <c r="E20" s="53"/>
      <c r="F20" s="53"/>
      <c r="G20" s="91"/>
      <c r="H20" s="92"/>
      <c r="I20" s="52"/>
      <c r="J20" s="7"/>
      <c r="K20" s="53"/>
      <c r="L20" s="51" t="str">
        <f aca="false">IF(OR(ChangeLog[[#This Row],[Title]]="",N(ChangeLog[[#This Row],[Raised]])=0,AND(ChangeLog[[#This Row],[Status]]&lt;&gt;"Submitted",ChangeLog[[#This Row],[Status]]&lt;&gt;"Under Review")),"",MAX(0,StatusDate-ChangeLog[[#This Row],[Raised]]))</f>
        <v/>
      </c>
      <c r="M20" s="52"/>
      <c r="N20" s="30" t="str">
        <f aca="false">IF(N(ChangeLog[[#This Row],[Task UID]])=0,"",IFERROR(INDEX(tsk_Name,MATCH(ChangeLog[[#This Row],[Task UID]],tsk_UID,0)),"UID "&amp;ChangeLog[[#This Row],[Task UID]]&amp;" not found"))</f>
        <v/>
      </c>
    </row>
    <row r="21" customFormat="false" ht="15" hidden="false" customHeight="false" outlineLevel="0" collapsed="false">
      <c r="B21" s="52" t="n">
        <v>17</v>
      </c>
      <c r="C21" s="7"/>
      <c r="D21" s="53"/>
      <c r="E21" s="53"/>
      <c r="F21" s="53"/>
      <c r="G21" s="91"/>
      <c r="H21" s="92"/>
      <c r="I21" s="52"/>
      <c r="J21" s="7"/>
      <c r="K21" s="53"/>
      <c r="L21" s="51" t="str">
        <f aca="false">IF(OR(ChangeLog[[#This Row],[Title]]="",N(ChangeLog[[#This Row],[Raised]])=0,AND(ChangeLog[[#This Row],[Status]]&lt;&gt;"Submitted",ChangeLog[[#This Row],[Status]]&lt;&gt;"Under Review")),"",MAX(0,StatusDate-ChangeLog[[#This Row],[Raised]]))</f>
        <v/>
      </c>
      <c r="M21" s="52"/>
      <c r="N21" s="30" t="str">
        <f aca="false">IF(N(ChangeLog[[#This Row],[Task UID]])=0,"",IFERROR(INDEX(tsk_Name,MATCH(ChangeLog[[#This Row],[Task UID]],tsk_UID,0)),"UID "&amp;ChangeLog[[#This Row],[Task UID]]&amp;" not found"))</f>
        <v/>
      </c>
    </row>
    <row r="22" customFormat="false" ht="15" hidden="false" customHeight="false" outlineLevel="0" collapsed="false">
      <c r="B22" s="52" t="n">
        <v>18</v>
      </c>
      <c r="C22" s="7"/>
      <c r="D22" s="53"/>
      <c r="E22" s="53"/>
      <c r="F22" s="53"/>
      <c r="G22" s="91"/>
      <c r="H22" s="92"/>
      <c r="I22" s="52"/>
      <c r="J22" s="7"/>
      <c r="K22" s="53"/>
      <c r="L22" s="51" t="str">
        <f aca="false">IF(OR(ChangeLog[[#This Row],[Title]]="",N(ChangeLog[[#This Row],[Raised]])=0,AND(ChangeLog[[#This Row],[Status]]&lt;&gt;"Submitted",ChangeLog[[#This Row],[Status]]&lt;&gt;"Under Review")),"",MAX(0,StatusDate-ChangeLog[[#This Row],[Raised]]))</f>
        <v/>
      </c>
      <c r="M22" s="52"/>
      <c r="N22" s="30" t="str">
        <f aca="false">IF(N(ChangeLog[[#This Row],[Task UID]])=0,"",IFERROR(INDEX(tsk_Name,MATCH(ChangeLog[[#This Row],[Task UID]],tsk_UID,0)),"UID "&amp;ChangeLog[[#This Row],[Task UID]]&amp;" not found"))</f>
        <v/>
      </c>
    </row>
    <row r="23" customFormat="false" ht="15" hidden="false" customHeight="false" outlineLevel="0" collapsed="false">
      <c r="B23" s="52" t="n">
        <v>19</v>
      </c>
      <c r="C23" s="7"/>
      <c r="D23" s="53"/>
      <c r="E23" s="53"/>
      <c r="F23" s="53"/>
      <c r="G23" s="91"/>
      <c r="H23" s="92"/>
      <c r="I23" s="52"/>
      <c r="J23" s="7"/>
      <c r="K23" s="53"/>
      <c r="L23" s="51" t="str">
        <f aca="false">IF(OR(ChangeLog[[#This Row],[Title]]="",N(ChangeLog[[#This Row],[Raised]])=0,AND(ChangeLog[[#This Row],[Status]]&lt;&gt;"Submitted",ChangeLog[[#This Row],[Status]]&lt;&gt;"Under Review")),"",MAX(0,StatusDate-ChangeLog[[#This Row],[Raised]]))</f>
        <v/>
      </c>
      <c r="M23" s="52"/>
      <c r="N23" s="30" t="str">
        <f aca="false">IF(N(ChangeLog[[#This Row],[Task UID]])=0,"",IFERROR(INDEX(tsk_Name,MATCH(ChangeLog[[#This Row],[Task UID]],tsk_UID,0)),"UID "&amp;ChangeLog[[#This Row],[Task UID]]&amp;" not found"))</f>
        <v/>
      </c>
    </row>
    <row r="24" customFormat="false" ht="15" hidden="false" customHeight="false" outlineLevel="0" collapsed="false">
      <c r="B24" s="52" t="n">
        <v>20</v>
      </c>
      <c r="C24" s="7"/>
      <c r="D24" s="53"/>
      <c r="E24" s="53"/>
      <c r="F24" s="53"/>
      <c r="G24" s="91"/>
      <c r="H24" s="92"/>
      <c r="I24" s="52"/>
      <c r="J24" s="7"/>
      <c r="K24" s="53"/>
      <c r="L24" s="51" t="str">
        <f aca="false">IF(OR(ChangeLog[[#This Row],[Title]]="",N(ChangeLog[[#This Row],[Raised]])=0,AND(ChangeLog[[#This Row],[Status]]&lt;&gt;"Submitted",ChangeLog[[#This Row],[Status]]&lt;&gt;"Under Review")),"",MAX(0,StatusDate-ChangeLog[[#This Row],[Raised]]))</f>
        <v/>
      </c>
      <c r="M24" s="52"/>
      <c r="N24" s="30" t="str">
        <f aca="false">IF(N(ChangeLog[[#This Row],[Task UID]])=0,"",IFERROR(INDEX(tsk_Name,MATCH(ChangeLog[[#This Row],[Task UID]],tsk_UID,0)),"UID "&amp;ChangeLog[[#This Row],[Task UID]]&amp;" not found"))</f>
        <v/>
      </c>
    </row>
    <row r="25" customFormat="false" ht="15" hidden="false" customHeight="false" outlineLevel="0" collapsed="false">
      <c r="B25" s="52" t="n">
        <v>21</v>
      </c>
      <c r="C25" s="7"/>
      <c r="D25" s="53"/>
      <c r="E25" s="53"/>
      <c r="F25" s="53"/>
      <c r="G25" s="91"/>
      <c r="H25" s="92"/>
      <c r="I25" s="52"/>
      <c r="J25" s="7"/>
      <c r="K25" s="53"/>
      <c r="L25" s="51" t="str">
        <f aca="false">IF(OR(ChangeLog[[#This Row],[Title]]="",N(ChangeLog[[#This Row],[Raised]])=0,AND(ChangeLog[[#This Row],[Status]]&lt;&gt;"Submitted",ChangeLog[[#This Row],[Status]]&lt;&gt;"Under Review")),"",MAX(0,StatusDate-ChangeLog[[#This Row],[Raised]]))</f>
        <v/>
      </c>
      <c r="M25" s="52"/>
      <c r="N25" s="30" t="str">
        <f aca="false">IF(N(ChangeLog[[#This Row],[Task UID]])=0,"",IFERROR(INDEX(tsk_Name,MATCH(ChangeLog[[#This Row],[Task UID]],tsk_UID,0)),"UID "&amp;ChangeLog[[#This Row],[Task UID]]&amp;" not found"))</f>
        <v/>
      </c>
    </row>
    <row r="26" customFormat="false" ht="15" hidden="false" customHeight="false" outlineLevel="0" collapsed="false">
      <c r="B26" s="52" t="n">
        <v>22</v>
      </c>
      <c r="C26" s="7"/>
      <c r="D26" s="53"/>
      <c r="E26" s="53"/>
      <c r="F26" s="53"/>
      <c r="G26" s="91"/>
      <c r="H26" s="92"/>
      <c r="I26" s="52"/>
      <c r="J26" s="7"/>
      <c r="K26" s="53"/>
      <c r="L26" s="51" t="str">
        <f aca="false">IF(OR(ChangeLog[[#This Row],[Title]]="",N(ChangeLog[[#This Row],[Raised]])=0,AND(ChangeLog[[#This Row],[Status]]&lt;&gt;"Submitted",ChangeLog[[#This Row],[Status]]&lt;&gt;"Under Review")),"",MAX(0,StatusDate-ChangeLog[[#This Row],[Raised]]))</f>
        <v/>
      </c>
      <c r="M26" s="52"/>
      <c r="N26" s="30" t="str">
        <f aca="false">IF(N(ChangeLog[[#This Row],[Task UID]])=0,"",IFERROR(INDEX(tsk_Name,MATCH(ChangeLog[[#This Row],[Task UID]],tsk_UID,0)),"UID "&amp;ChangeLog[[#This Row],[Task UID]]&amp;" not found"))</f>
        <v/>
      </c>
    </row>
    <row r="27" customFormat="false" ht="15" hidden="false" customHeight="false" outlineLevel="0" collapsed="false">
      <c r="B27" s="52" t="n">
        <v>23</v>
      </c>
      <c r="C27" s="7"/>
      <c r="D27" s="53"/>
      <c r="E27" s="53"/>
      <c r="F27" s="53"/>
      <c r="G27" s="91"/>
      <c r="H27" s="92"/>
      <c r="I27" s="52"/>
      <c r="J27" s="7"/>
      <c r="K27" s="53"/>
      <c r="L27" s="51" t="str">
        <f aca="false">IF(OR(ChangeLog[[#This Row],[Title]]="",N(ChangeLog[[#This Row],[Raised]])=0,AND(ChangeLog[[#This Row],[Status]]&lt;&gt;"Submitted",ChangeLog[[#This Row],[Status]]&lt;&gt;"Under Review")),"",MAX(0,StatusDate-ChangeLog[[#This Row],[Raised]]))</f>
        <v/>
      </c>
      <c r="M27" s="52"/>
      <c r="N27" s="30" t="str">
        <f aca="false">IF(N(ChangeLog[[#This Row],[Task UID]])=0,"",IFERROR(INDEX(tsk_Name,MATCH(ChangeLog[[#This Row],[Task UID]],tsk_UID,0)),"UID "&amp;ChangeLog[[#This Row],[Task UID]]&amp;" not found"))</f>
        <v/>
      </c>
    </row>
    <row r="28" customFormat="false" ht="15" hidden="false" customHeight="false" outlineLevel="0" collapsed="false">
      <c r="B28" s="52" t="n">
        <v>24</v>
      </c>
      <c r="C28" s="7"/>
      <c r="D28" s="53"/>
      <c r="E28" s="53"/>
      <c r="F28" s="53"/>
      <c r="G28" s="91"/>
      <c r="H28" s="92"/>
      <c r="I28" s="52"/>
      <c r="J28" s="7"/>
      <c r="K28" s="53"/>
      <c r="L28" s="51" t="str">
        <f aca="false">IF(OR(ChangeLog[[#This Row],[Title]]="",N(ChangeLog[[#This Row],[Raised]])=0,AND(ChangeLog[[#This Row],[Status]]&lt;&gt;"Submitted",ChangeLog[[#This Row],[Status]]&lt;&gt;"Under Review")),"",MAX(0,StatusDate-ChangeLog[[#This Row],[Raised]]))</f>
        <v/>
      </c>
      <c r="M28" s="52"/>
      <c r="N28" s="30" t="str">
        <f aca="false">IF(N(ChangeLog[[#This Row],[Task UID]])=0,"",IFERROR(INDEX(tsk_Name,MATCH(ChangeLog[[#This Row],[Task UID]],tsk_UID,0)),"UID "&amp;ChangeLog[[#This Row],[Task UID]]&amp;" not found"))</f>
        <v/>
      </c>
    </row>
    <row r="29" customFormat="false" ht="15" hidden="false" customHeight="false" outlineLevel="0" collapsed="false">
      <c r="B29" s="52" t="n">
        <v>25</v>
      </c>
      <c r="C29" s="7"/>
      <c r="D29" s="53"/>
      <c r="E29" s="53"/>
      <c r="F29" s="53"/>
      <c r="G29" s="91"/>
      <c r="H29" s="92"/>
      <c r="I29" s="52"/>
      <c r="J29" s="7"/>
      <c r="K29" s="53"/>
      <c r="L29" s="51" t="str">
        <f aca="false">IF(OR(ChangeLog[[#This Row],[Title]]="",N(ChangeLog[[#This Row],[Raised]])=0,AND(ChangeLog[[#This Row],[Status]]&lt;&gt;"Submitted",ChangeLog[[#This Row],[Status]]&lt;&gt;"Under Review")),"",MAX(0,StatusDate-ChangeLog[[#This Row],[Raised]]))</f>
        <v/>
      </c>
      <c r="M29" s="52"/>
      <c r="N29" s="30" t="str">
        <f aca="false">IF(N(ChangeLog[[#This Row],[Task UID]])=0,"",IFERROR(INDEX(tsk_Name,MATCH(ChangeLog[[#This Row],[Task UID]],tsk_UID,0)),"UID "&amp;ChangeLog[[#This Row],[Task UID]]&amp;" not found"))</f>
        <v/>
      </c>
    </row>
    <row r="30" customFormat="false" ht="15" hidden="false" customHeight="false" outlineLevel="0" collapsed="false">
      <c r="B30" s="52" t="n">
        <v>26</v>
      </c>
      <c r="C30" s="7"/>
      <c r="D30" s="53"/>
      <c r="E30" s="53"/>
      <c r="F30" s="53"/>
      <c r="G30" s="91"/>
      <c r="H30" s="92"/>
      <c r="I30" s="52"/>
      <c r="J30" s="7"/>
      <c r="K30" s="53"/>
      <c r="L30" s="51" t="str">
        <f aca="false">IF(OR(ChangeLog[[#This Row],[Title]]="",N(ChangeLog[[#This Row],[Raised]])=0,AND(ChangeLog[[#This Row],[Status]]&lt;&gt;"Submitted",ChangeLog[[#This Row],[Status]]&lt;&gt;"Under Review")),"",MAX(0,StatusDate-ChangeLog[[#This Row],[Raised]]))</f>
        <v/>
      </c>
      <c r="M30" s="52"/>
      <c r="N30" s="30" t="str">
        <f aca="false">IF(N(ChangeLog[[#This Row],[Task UID]])=0,"",IFERROR(INDEX(tsk_Name,MATCH(ChangeLog[[#This Row],[Task UID]],tsk_UID,0)),"UID "&amp;ChangeLog[[#This Row],[Task UID]]&amp;" not found"))</f>
        <v/>
      </c>
    </row>
    <row r="31" customFormat="false" ht="15" hidden="false" customHeight="false" outlineLevel="0" collapsed="false">
      <c r="B31" s="52" t="n">
        <v>27</v>
      </c>
      <c r="C31" s="7"/>
      <c r="D31" s="53"/>
      <c r="E31" s="53"/>
      <c r="F31" s="53"/>
      <c r="G31" s="91"/>
      <c r="H31" s="92"/>
      <c r="I31" s="52"/>
      <c r="J31" s="7"/>
      <c r="K31" s="53"/>
      <c r="L31" s="51" t="str">
        <f aca="false">IF(OR(ChangeLog[[#This Row],[Title]]="",N(ChangeLog[[#This Row],[Raised]])=0,AND(ChangeLog[[#This Row],[Status]]&lt;&gt;"Submitted",ChangeLog[[#This Row],[Status]]&lt;&gt;"Under Review")),"",MAX(0,StatusDate-ChangeLog[[#This Row],[Raised]]))</f>
        <v/>
      </c>
      <c r="M31" s="52"/>
      <c r="N31" s="30" t="str">
        <f aca="false">IF(N(ChangeLog[[#This Row],[Task UID]])=0,"",IFERROR(INDEX(tsk_Name,MATCH(ChangeLog[[#This Row],[Task UID]],tsk_UID,0)),"UID "&amp;ChangeLog[[#This Row],[Task UID]]&amp;" not found"))</f>
        <v/>
      </c>
    </row>
    <row r="32" customFormat="false" ht="15" hidden="false" customHeight="false" outlineLevel="0" collapsed="false">
      <c r="B32" s="52" t="n">
        <v>28</v>
      </c>
      <c r="C32" s="7"/>
      <c r="D32" s="53"/>
      <c r="E32" s="53"/>
      <c r="F32" s="53"/>
      <c r="G32" s="91"/>
      <c r="H32" s="92"/>
      <c r="I32" s="52"/>
      <c r="J32" s="7"/>
      <c r="K32" s="53"/>
      <c r="L32" s="51" t="str">
        <f aca="false">IF(OR(ChangeLog[[#This Row],[Title]]="",N(ChangeLog[[#This Row],[Raised]])=0,AND(ChangeLog[[#This Row],[Status]]&lt;&gt;"Submitted",ChangeLog[[#This Row],[Status]]&lt;&gt;"Under Review")),"",MAX(0,StatusDate-ChangeLog[[#This Row],[Raised]]))</f>
        <v/>
      </c>
      <c r="M32" s="52"/>
      <c r="N32" s="30" t="str">
        <f aca="false">IF(N(ChangeLog[[#This Row],[Task UID]])=0,"",IFERROR(INDEX(tsk_Name,MATCH(ChangeLog[[#This Row],[Task UID]],tsk_UID,0)),"UID "&amp;ChangeLog[[#This Row],[Task UID]]&amp;" not found"))</f>
        <v/>
      </c>
    </row>
    <row r="33" customFormat="false" ht="15" hidden="false" customHeight="false" outlineLevel="0" collapsed="false">
      <c r="B33" s="52" t="n">
        <v>29</v>
      </c>
      <c r="C33" s="7"/>
      <c r="D33" s="53"/>
      <c r="E33" s="53"/>
      <c r="F33" s="53"/>
      <c r="G33" s="91"/>
      <c r="H33" s="92"/>
      <c r="I33" s="52"/>
      <c r="J33" s="7"/>
      <c r="K33" s="53"/>
      <c r="L33" s="51" t="str">
        <f aca="false">IF(OR(ChangeLog[[#This Row],[Title]]="",N(ChangeLog[[#This Row],[Raised]])=0,AND(ChangeLog[[#This Row],[Status]]&lt;&gt;"Submitted",ChangeLog[[#This Row],[Status]]&lt;&gt;"Under Review")),"",MAX(0,StatusDate-ChangeLog[[#This Row],[Raised]]))</f>
        <v/>
      </c>
      <c r="M33" s="52"/>
      <c r="N33" s="30" t="str">
        <f aca="false">IF(N(ChangeLog[[#This Row],[Task UID]])=0,"",IFERROR(INDEX(tsk_Name,MATCH(ChangeLog[[#This Row],[Task UID]],tsk_UID,0)),"UID "&amp;ChangeLog[[#This Row],[Task UID]]&amp;" not found"))</f>
        <v/>
      </c>
    </row>
    <row r="34" customFormat="false" ht="15" hidden="false" customHeight="false" outlineLevel="0" collapsed="false">
      <c r="B34" s="52" t="n">
        <v>30</v>
      </c>
      <c r="C34" s="7"/>
      <c r="D34" s="53"/>
      <c r="E34" s="53"/>
      <c r="F34" s="53"/>
      <c r="G34" s="91"/>
      <c r="H34" s="92"/>
      <c r="I34" s="52"/>
      <c r="J34" s="7"/>
      <c r="K34" s="53"/>
      <c r="L34" s="51" t="str">
        <f aca="false">IF(OR(ChangeLog[[#This Row],[Title]]="",N(ChangeLog[[#This Row],[Raised]])=0,AND(ChangeLog[[#This Row],[Status]]&lt;&gt;"Submitted",ChangeLog[[#This Row],[Status]]&lt;&gt;"Under Review")),"",MAX(0,StatusDate-ChangeLog[[#This Row],[Raised]]))</f>
        <v/>
      </c>
      <c r="M34" s="52"/>
      <c r="N34" s="30" t="str">
        <f aca="false">IF(N(ChangeLog[[#This Row],[Task UID]])=0,"",IFERROR(INDEX(tsk_Name,MATCH(ChangeLog[[#This Row],[Task UID]],tsk_UID,0)),"UID "&amp;ChangeLog[[#This Row],[Task UID]]&amp;" not found"))</f>
        <v/>
      </c>
    </row>
    <row r="35" customFormat="false" ht="15" hidden="false" customHeight="false" outlineLevel="0" collapsed="false">
      <c r="B35" s="52" t="n">
        <v>31</v>
      </c>
      <c r="C35" s="7"/>
      <c r="D35" s="53"/>
      <c r="E35" s="53"/>
      <c r="F35" s="53"/>
      <c r="G35" s="91"/>
      <c r="H35" s="92"/>
      <c r="I35" s="52"/>
      <c r="J35" s="7"/>
      <c r="K35" s="53"/>
      <c r="L35" s="51" t="str">
        <f aca="false">IF(OR(ChangeLog[[#This Row],[Title]]="",N(ChangeLog[[#This Row],[Raised]])=0,AND(ChangeLog[[#This Row],[Status]]&lt;&gt;"Submitted",ChangeLog[[#This Row],[Status]]&lt;&gt;"Under Review")),"",MAX(0,StatusDate-ChangeLog[[#This Row],[Raised]]))</f>
        <v/>
      </c>
      <c r="M35" s="52"/>
      <c r="N35" s="30" t="str">
        <f aca="false">IF(N(ChangeLog[[#This Row],[Task UID]])=0,"",IFERROR(INDEX(tsk_Name,MATCH(ChangeLog[[#This Row],[Task UID]],tsk_UID,0)),"UID "&amp;ChangeLog[[#This Row],[Task UID]]&amp;" not found"))</f>
        <v/>
      </c>
    </row>
    <row r="36" customFormat="false" ht="15" hidden="false" customHeight="false" outlineLevel="0" collapsed="false">
      <c r="B36" s="52" t="n">
        <v>32</v>
      </c>
      <c r="C36" s="7"/>
      <c r="D36" s="53"/>
      <c r="E36" s="53"/>
      <c r="F36" s="53"/>
      <c r="G36" s="91"/>
      <c r="H36" s="92"/>
      <c r="I36" s="52"/>
      <c r="J36" s="7"/>
      <c r="K36" s="53"/>
      <c r="L36" s="51" t="str">
        <f aca="false">IF(OR(ChangeLog[[#This Row],[Title]]="",N(ChangeLog[[#This Row],[Raised]])=0,AND(ChangeLog[[#This Row],[Status]]&lt;&gt;"Submitted",ChangeLog[[#This Row],[Status]]&lt;&gt;"Under Review")),"",MAX(0,StatusDate-ChangeLog[[#This Row],[Raised]]))</f>
        <v/>
      </c>
      <c r="M36" s="52"/>
      <c r="N36" s="30" t="str">
        <f aca="false">IF(N(ChangeLog[[#This Row],[Task UID]])=0,"",IFERROR(INDEX(tsk_Name,MATCH(ChangeLog[[#This Row],[Task UID]],tsk_UID,0)),"UID "&amp;ChangeLog[[#This Row],[Task UID]]&amp;" not found"))</f>
        <v/>
      </c>
    </row>
    <row r="37" customFormat="false" ht="15" hidden="false" customHeight="false" outlineLevel="0" collapsed="false">
      <c r="B37" s="52" t="n">
        <v>33</v>
      </c>
      <c r="C37" s="7"/>
      <c r="D37" s="53"/>
      <c r="E37" s="53"/>
      <c r="F37" s="53"/>
      <c r="G37" s="91"/>
      <c r="H37" s="92"/>
      <c r="I37" s="52"/>
      <c r="J37" s="7"/>
      <c r="K37" s="53"/>
      <c r="L37" s="51" t="str">
        <f aca="false">IF(OR(ChangeLog[[#This Row],[Title]]="",N(ChangeLog[[#This Row],[Raised]])=0,AND(ChangeLog[[#This Row],[Status]]&lt;&gt;"Submitted",ChangeLog[[#This Row],[Status]]&lt;&gt;"Under Review")),"",MAX(0,StatusDate-ChangeLog[[#This Row],[Raised]]))</f>
        <v/>
      </c>
      <c r="M37" s="52"/>
      <c r="N37" s="30" t="str">
        <f aca="false">IF(N(ChangeLog[[#This Row],[Task UID]])=0,"",IFERROR(INDEX(tsk_Name,MATCH(ChangeLog[[#This Row],[Task UID]],tsk_UID,0)),"UID "&amp;ChangeLog[[#This Row],[Task UID]]&amp;" not found"))</f>
        <v/>
      </c>
    </row>
    <row r="38" customFormat="false" ht="15" hidden="false" customHeight="false" outlineLevel="0" collapsed="false">
      <c r="B38" s="52" t="n">
        <v>34</v>
      </c>
      <c r="C38" s="7"/>
      <c r="D38" s="53"/>
      <c r="E38" s="53"/>
      <c r="F38" s="53"/>
      <c r="G38" s="91"/>
      <c r="H38" s="92"/>
      <c r="I38" s="52"/>
      <c r="J38" s="7"/>
      <c r="K38" s="53"/>
      <c r="L38" s="51" t="str">
        <f aca="false">IF(OR(ChangeLog[[#This Row],[Title]]="",N(ChangeLog[[#This Row],[Raised]])=0,AND(ChangeLog[[#This Row],[Status]]&lt;&gt;"Submitted",ChangeLog[[#This Row],[Status]]&lt;&gt;"Under Review")),"",MAX(0,StatusDate-ChangeLog[[#This Row],[Raised]]))</f>
        <v/>
      </c>
      <c r="M38" s="52"/>
      <c r="N38" s="30" t="str">
        <f aca="false">IF(N(ChangeLog[[#This Row],[Task UID]])=0,"",IFERROR(INDEX(tsk_Name,MATCH(ChangeLog[[#This Row],[Task UID]],tsk_UID,0)),"UID "&amp;ChangeLog[[#This Row],[Task UID]]&amp;" not found"))</f>
        <v/>
      </c>
    </row>
    <row r="39" customFormat="false" ht="15" hidden="false" customHeight="false" outlineLevel="0" collapsed="false">
      <c r="B39" s="52" t="n">
        <v>35</v>
      </c>
      <c r="C39" s="7"/>
      <c r="D39" s="53"/>
      <c r="E39" s="53"/>
      <c r="F39" s="53"/>
      <c r="G39" s="91"/>
      <c r="H39" s="92"/>
      <c r="I39" s="52"/>
      <c r="J39" s="7"/>
      <c r="K39" s="53"/>
      <c r="L39" s="51" t="str">
        <f aca="false">IF(OR(ChangeLog[[#This Row],[Title]]="",N(ChangeLog[[#This Row],[Raised]])=0,AND(ChangeLog[[#This Row],[Status]]&lt;&gt;"Submitted",ChangeLog[[#This Row],[Status]]&lt;&gt;"Under Review")),"",MAX(0,StatusDate-ChangeLog[[#This Row],[Raised]]))</f>
        <v/>
      </c>
      <c r="M39" s="52"/>
      <c r="N39" s="30" t="str">
        <f aca="false">IF(N(ChangeLog[[#This Row],[Task UID]])=0,"",IFERROR(INDEX(tsk_Name,MATCH(ChangeLog[[#This Row],[Task UID]],tsk_UID,0)),"UID "&amp;ChangeLog[[#This Row],[Task UID]]&amp;" not found"))</f>
        <v/>
      </c>
    </row>
    <row r="40" customFormat="false" ht="15" hidden="false" customHeight="false" outlineLevel="0" collapsed="false">
      <c r="B40" s="52" t="n">
        <v>36</v>
      </c>
      <c r="C40" s="7"/>
      <c r="D40" s="53"/>
      <c r="E40" s="53"/>
      <c r="F40" s="53"/>
      <c r="G40" s="91"/>
      <c r="H40" s="92"/>
      <c r="I40" s="52"/>
      <c r="J40" s="7"/>
      <c r="K40" s="53"/>
      <c r="L40" s="51" t="str">
        <f aca="false">IF(OR(ChangeLog[[#This Row],[Title]]="",N(ChangeLog[[#This Row],[Raised]])=0,AND(ChangeLog[[#This Row],[Status]]&lt;&gt;"Submitted",ChangeLog[[#This Row],[Status]]&lt;&gt;"Under Review")),"",MAX(0,StatusDate-ChangeLog[[#This Row],[Raised]]))</f>
        <v/>
      </c>
      <c r="M40" s="52"/>
      <c r="N40" s="30" t="str">
        <f aca="false">IF(N(ChangeLog[[#This Row],[Task UID]])=0,"",IFERROR(INDEX(tsk_Name,MATCH(ChangeLog[[#This Row],[Task UID]],tsk_UID,0)),"UID "&amp;ChangeLog[[#This Row],[Task UID]]&amp;" not found"))</f>
        <v/>
      </c>
    </row>
    <row r="41" customFormat="false" ht="15" hidden="false" customHeight="false" outlineLevel="0" collapsed="false">
      <c r="B41" s="52" t="n">
        <v>37</v>
      </c>
      <c r="C41" s="7"/>
      <c r="D41" s="53"/>
      <c r="E41" s="53"/>
      <c r="F41" s="53"/>
      <c r="G41" s="91"/>
      <c r="H41" s="92"/>
      <c r="I41" s="52"/>
      <c r="J41" s="7"/>
      <c r="K41" s="53"/>
      <c r="L41" s="51" t="str">
        <f aca="false">IF(OR(ChangeLog[[#This Row],[Title]]="",N(ChangeLog[[#This Row],[Raised]])=0,AND(ChangeLog[[#This Row],[Status]]&lt;&gt;"Submitted",ChangeLog[[#This Row],[Status]]&lt;&gt;"Under Review")),"",MAX(0,StatusDate-ChangeLog[[#This Row],[Raised]]))</f>
        <v/>
      </c>
      <c r="M41" s="52"/>
      <c r="N41" s="30" t="str">
        <f aca="false">IF(N(ChangeLog[[#This Row],[Task UID]])=0,"",IFERROR(INDEX(tsk_Name,MATCH(ChangeLog[[#This Row],[Task UID]],tsk_UID,0)),"UID "&amp;ChangeLog[[#This Row],[Task UID]]&amp;" not found"))</f>
        <v/>
      </c>
    </row>
    <row r="42" customFormat="false" ht="15" hidden="false" customHeight="false" outlineLevel="0" collapsed="false">
      <c r="B42" s="52" t="n">
        <v>38</v>
      </c>
      <c r="C42" s="7"/>
      <c r="D42" s="53"/>
      <c r="E42" s="53"/>
      <c r="F42" s="53"/>
      <c r="G42" s="91"/>
      <c r="H42" s="92"/>
      <c r="I42" s="52"/>
      <c r="J42" s="7"/>
      <c r="K42" s="53"/>
      <c r="L42" s="51" t="str">
        <f aca="false">IF(OR(ChangeLog[[#This Row],[Title]]="",N(ChangeLog[[#This Row],[Raised]])=0,AND(ChangeLog[[#This Row],[Status]]&lt;&gt;"Submitted",ChangeLog[[#This Row],[Status]]&lt;&gt;"Under Review")),"",MAX(0,StatusDate-ChangeLog[[#This Row],[Raised]]))</f>
        <v/>
      </c>
      <c r="M42" s="52"/>
      <c r="N42" s="30" t="str">
        <f aca="false">IF(N(ChangeLog[[#This Row],[Task UID]])=0,"",IFERROR(INDEX(tsk_Name,MATCH(ChangeLog[[#This Row],[Task UID]],tsk_UID,0)),"UID "&amp;ChangeLog[[#This Row],[Task UID]]&amp;" not found"))</f>
        <v/>
      </c>
    </row>
    <row r="43" customFormat="false" ht="15" hidden="false" customHeight="false" outlineLevel="0" collapsed="false">
      <c r="B43" s="52" t="n">
        <v>39</v>
      </c>
      <c r="C43" s="7"/>
      <c r="D43" s="53"/>
      <c r="E43" s="53"/>
      <c r="F43" s="53"/>
      <c r="G43" s="91"/>
      <c r="H43" s="92"/>
      <c r="I43" s="52"/>
      <c r="J43" s="7"/>
      <c r="K43" s="53"/>
      <c r="L43" s="51" t="str">
        <f aca="false">IF(OR(ChangeLog[[#This Row],[Title]]="",N(ChangeLog[[#This Row],[Raised]])=0,AND(ChangeLog[[#This Row],[Status]]&lt;&gt;"Submitted",ChangeLog[[#This Row],[Status]]&lt;&gt;"Under Review")),"",MAX(0,StatusDate-ChangeLog[[#This Row],[Raised]]))</f>
        <v/>
      </c>
      <c r="M43" s="52"/>
      <c r="N43" s="30" t="str">
        <f aca="false">IF(N(ChangeLog[[#This Row],[Task UID]])=0,"",IFERROR(INDEX(tsk_Name,MATCH(ChangeLog[[#This Row],[Task UID]],tsk_UID,0)),"UID "&amp;ChangeLog[[#This Row],[Task UID]]&amp;" not found"))</f>
        <v/>
      </c>
    </row>
    <row r="44" customFormat="false" ht="15" hidden="false" customHeight="false" outlineLevel="0" collapsed="false">
      <c r="B44" s="52" t="n">
        <v>40</v>
      </c>
      <c r="C44" s="7"/>
      <c r="D44" s="53"/>
      <c r="E44" s="53"/>
      <c r="F44" s="53"/>
      <c r="G44" s="91"/>
      <c r="H44" s="92"/>
      <c r="I44" s="52"/>
      <c r="J44" s="7"/>
      <c r="K44" s="53"/>
      <c r="L44" s="51" t="str">
        <f aca="false">IF(OR(ChangeLog[[#This Row],[Title]]="",N(ChangeLog[[#This Row],[Raised]])=0,AND(ChangeLog[[#This Row],[Status]]&lt;&gt;"Submitted",ChangeLog[[#This Row],[Status]]&lt;&gt;"Under Review")),"",MAX(0,StatusDate-ChangeLog[[#This Row],[Raised]]))</f>
        <v/>
      </c>
      <c r="M44" s="52"/>
      <c r="N44" s="30" t="str">
        <f aca="false">IF(N(ChangeLog[[#This Row],[Task UID]])=0,"",IFERROR(INDEX(tsk_Name,MATCH(ChangeLog[[#This Row],[Task UID]],tsk_UID,0)),"UID "&amp;ChangeLog[[#This Row],[Task UID]]&amp;" not found"))</f>
        <v/>
      </c>
    </row>
    <row r="45" customFormat="false" ht="15" hidden="false" customHeight="false" outlineLevel="0" collapsed="false">
      <c r="B45" s="52" t="n">
        <v>41</v>
      </c>
      <c r="C45" s="7"/>
      <c r="D45" s="53"/>
      <c r="E45" s="53"/>
      <c r="F45" s="53"/>
      <c r="G45" s="91"/>
      <c r="H45" s="92"/>
      <c r="I45" s="52"/>
      <c r="J45" s="7"/>
      <c r="K45" s="53"/>
      <c r="L45" s="51" t="str">
        <f aca="false">IF(OR(ChangeLog[[#This Row],[Title]]="",N(ChangeLog[[#This Row],[Raised]])=0,AND(ChangeLog[[#This Row],[Status]]&lt;&gt;"Submitted",ChangeLog[[#This Row],[Status]]&lt;&gt;"Under Review")),"",MAX(0,StatusDate-ChangeLog[[#This Row],[Raised]]))</f>
        <v/>
      </c>
      <c r="M45" s="52"/>
      <c r="N45" s="30" t="str">
        <f aca="false">IF(N(ChangeLog[[#This Row],[Task UID]])=0,"",IFERROR(INDEX(tsk_Name,MATCH(ChangeLog[[#This Row],[Task UID]],tsk_UID,0)),"UID "&amp;ChangeLog[[#This Row],[Task UID]]&amp;" not found"))</f>
        <v/>
      </c>
    </row>
    <row r="46" customFormat="false" ht="15" hidden="false" customHeight="false" outlineLevel="0" collapsed="false">
      <c r="B46" s="52" t="n">
        <v>42</v>
      </c>
      <c r="C46" s="7"/>
      <c r="D46" s="53"/>
      <c r="E46" s="53"/>
      <c r="F46" s="53"/>
      <c r="G46" s="91"/>
      <c r="H46" s="92"/>
      <c r="I46" s="52"/>
      <c r="J46" s="7"/>
      <c r="K46" s="53"/>
      <c r="L46" s="51" t="str">
        <f aca="false">IF(OR(ChangeLog[[#This Row],[Title]]="",N(ChangeLog[[#This Row],[Raised]])=0,AND(ChangeLog[[#This Row],[Status]]&lt;&gt;"Submitted",ChangeLog[[#This Row],[Status]]&lt;&gt;"Under Review")),"",MAX(0,StatusDate-ChangeLog[[#This Row],[Raised]]))</f>
        <v/>
      </c>
      <c r="M46" s="52"/>
      <c r="N46" s="30" t="str">
        <f aca="false">IF(N(ChangeLog[[#This Row],[Task UID]])=0,"",IFERROR(INDEX(tsk_Name,MATCH(ChangeLog[[#This Row],[Task UID]],tsk_UID,0)),"UID "&amp;ChangeLog[[#This Row],[Task UID]]&amp;" not found"))</f>
        <v/>
      </c>
    </row>
    <row r="47" customFormat="false" ht="15" hidden="false" customHeight="false" outlineLevel="0" collapsed="false">
      <c r="B47" s="52" t="n">
        <v>43</v>
      </c>
      <c r="C47" s="7"/>
      <c r="D47" s="53"/>
      <c r="E47" s="53"/>
      <c r="F47" s="53"/>
      <c r="G47" s="91"/>
      <c r="H47" s="92"/>
      <c r="I47" s="52"/>
      <c r="J47" s="7"/>
      <c r="K47" s="53"/>
      <c r="L47" s="51" t="str">
        <f aca="false">IF(OR(ChangeLog[[#This Row],[Title]]="",N(ChangeLog[[#This Row],[Raised]])=0,AND(ChangeLog[[#This Row],[Status]]&lt;&gt;"Submitted",ChangeLog[[#This Row],[Status]]&lt;&gt;"Under Review")),"",MAX(0,StatusDate-ChangeLog[[#This Row],[Raised]]))</f>
        <v/>
      </c>
      <c r="M47" s="52"/>
      <c r="N47" s="30" t="str">
        <f aca="false">IF(N(ChangeLog[[#This Row],[Task UID]])=0,"",IFERROR(INDEX(tsk_Name,MATCH(ChangeLog[[#This Row],[Task UID]],tsk_UID,0)),"UID "&amp;ChangeLog[[#This Row],[Task UID]]&amp;" not found"))</f>
        <v/>
      </c>
    </row>
    <row r="48" customFormat="false" ht="15" hidden="false" customHeight="false" outlineLevel="0" collapsed="false">
      <c r="B48" s="52" t="n">
        <v>44</v>
      </c>
      <c r="C48" s="7"/>
      <c r="D48" s="53"/>
      <c r="E48" s="53"/>
      <c r="F48" s="53"/>
      <c r="G48" s="91"/>
      <c r="H48" s="92"/>
      <c r="I48" s="52"/>
      <c r="J48" s="7"/>
      <c r="K48" s="53"/>
      <c r="L48" s="51" t="str">
        <f aca="false">IF(OR(ChangeLog[[#This Row],[Title]]="",N(ChangeLog[[#This Row],[Raised]])=0,AND(ChangeLog[[#This Row],[Status]]&lt;&gt;"Submitted",ChangeLog[[#This Row],[Status]]&lt;&gt;"Under Review")),"",MAX(0,StatusDate-ChangeLog[[#This Row],[Raised]]))</f>
        <v/>
      </c>
      <c r="M48" s="52"/>
      <c r="N48" s="30" t="str">
        <f aca="false">IF(N(ChangeLog[[#This Row],[Task UID]])=0,"",IFERROR(INDEX(tsk_Name,MATCH(ChangeLog[[#This Row],[Task UID]],tsk_UID,0)),"UID "&amp;ChangeLog[[#This Row],[Task UID]]&amp;" not found"))</f>
        <v/>
      </c>
    </row>
    <row r="49" customFormat="false" ht="15" hidden="false" customHeight="false" outlineLevel="0" collapsed="false">
      <c r="B49" s="52" t="n">
        <v>45</v>
      </c>
      <c r="C49" s="7"/>
      <c r="D49" s="53"/>
      <c r="E49" s="53"/>
      <c r="F49" s="53"/>
      <c r="G49" s="91"/>
      <c r="H49" s="92"/>
      <c r="I49" s="52"/>
      <c r="J49" s="7"/>
      <c r="K49" s="53"/>
      <c r="L49" s="51" t="str">
        <f aca="false">IF(OR(ChangeLog[[#This Row],[Title]]="",N(ChangeLog[[#This Row],[Raised]])=0,AND(ChangeLog[[#This Row],[Status]]&lt;&gt;"Submitted",ChangeLog[[#This Row],[Status]]&lt;&gt;"Under Review")),"",MAX(0,StatusDate-ChangeLog[[#This Row],[Raised]]))</f>
        <v/>
      </c>
      <c r="M49" s="52"/>
      <c r="N49" s="30" t="str">
        <f aca="false">IF(N(ChangeLog[[#This Row],[Task UID]])=0,"",IFERROR(INDEX(tsk_Name,MATCH(ChangeLog[[#This Row],[Task UID]],tsk_UID,0)),"UID "&amp;ChangeLog[[#This Row],[Task UID]]&amp;" not found"))</f>
        <v/>
      </c>
    </row>
    <row r="50" customFormat="false" ht="15" hidden="false" customHeight="false" outlineLevel="0" collapsed="false">
      <c r="B50" s="52" t="n">
        <v>46</v>
      </c>
      <c r="C50" s="7"/>
      <c r="D50" s="53"/>
      <c r="E50" s="53"/>
      <c r="F50" s="53"/>
      <c r="G50" s="91"/>
      <c r="H50" s="92"/>
      <c r="I50" s="52"/>
      <c r="J50" s="7"/>
      <c r="K50" s="53"/>
      <c r="L50" s="51" t="str">
        <f aca="false">IF(OR(ChangeLog[[#This Row],[Title]]="",N(ChangeLog[[#This Row],[Raised]])=0,AND(ChangeLog[[#This Row],[Status]]&lt;&gt;"Submitted",ChangeLog[[#This Row],[Status]]&lt;&gt;"Under Review")),"",MAX(0,StatusDate-ChangeLog[[#This Row],[Raised]]))</f>
        <v/>
      </c>
      <c r="M50" s="52"/>
      <c r="N50" s="30" t="str">
        <f aca="false">IF(N(ChangeLog[[#This Row],[Task UID]])=0,"",IFERROR(INDEX(tsk_Name,MATCH(ChangeLog[[#This Row],[Task UID]],tsk_UID,0)),"UID "&amp;ChangeLog[[#This Row],[Task UID]]&amp;" not found"))</f>
        <v/>
      </c>
    </row>
    <row r="51" customFormat="false" ht="15" hidden="false" customHeight="false" outlineLevel="0" collapsed="false">
      <c r="B51" s="52" t="n">
        <v>47</v>
      </c>
      <c r="C51" s="7"/>
      <c r="D51" s="53"/>
      <c r="E51" s="53"/>
      <c r="F51" s="53"/>
      <c r="G51" s="91"/>
      <c r="H51" s="92"/>
      <c r="I51" s="52"/>
      <c r="J51" s="7"/>
      <c r="K51" s="53"/>
      <c r="L51" s="51" t="str">
        <f aca="false">IF(OR(ChangeLog[[#This Row],[Title]]="",N(ChangeLog[[#This Row],[Raised]])=0,AND(ChangeLog[[#This Row],[Status]]&lt;&gt;"Submitted",ChangeLog[[#This Row],[Status]]&lt;&gt;"Under Review")),"",MAX(0,StatusDate-ChangeLog[[#This Row],[Raised]]))</f>
        <v/>
      </c>
      <c r="M51" s="52"/>
      <c r="N51" s="30" t="str">
        <f aca="false">IF(N(ChangeLog[[#This Row],[Task UID]])=0,"",IFERROR(INDEX(tsk_Name,MATCH(ChangeLog[[#This Row],[Task UID]],tsk_UID,0)),"UID "&amp;ChangeLog[[#This Row],[Task UID]]&amp;" not found"))</f>
        <v/>
      </c>
    </row>
    <row r="52" customFormat="false" ht="15" hidden="false" customHeight="false" outlineLevel="0" collapsed="false">
      <c r="B52" s="52" t="n">
        <v>48</v>
      </c>
      <c r="C52" s="7"/>
      <c r="D52" s="53"/>
      <c r="E52" s="53"/>
      <c r="F52" s="53"/>
      <c r="G52" s="91"/>
      <c r="H52" s="92"/>
      <c r="I52" s="52"/>
      <c r="J52" s="7"/>
      <c r="K52" s="53"/>
      <c r="L52" s="51" t="str">
        <f aca="false">IF(OR(ChangeLog[[#This Row],[Title]]="",N(ChangeLog[[#This Row],[Raised]])=0,AND(ChangeLog[[#This Row],[Status]]&lt;&gt;"Submitted",ChangeLog[[#This Row],[Status]]&lt;&gt;"Under Review")),"",MAX(0,StatusDate-ChangeLog[[#This Row],[Raised]]))</f>
        <v/>
      </c>
      <c r="M52" s="52"/>
      <c r="N52" s="30" t="str">
        <f aca="false">IF(N(ChangeLog[[#This Row],[Task UID]])=0,"",IFERROR(INDEX(tsk_Name,MATCH(ChangeLog[[#This Row],[Task UID]],tsk_UID,0)),"UID "&amp;ChangeLog[[#This Row],[Task UID]]&amp;" not found"))</f>
        <v/>
      </c>
    </row>
    <row r="53" customFormat="false" ht="15" hidden="false" customHeight="false" outlineLevel="0" collapsed="false">
      <c r="B53" s="52" t="n">
        <v>49</v>
      </c>
      <c r="C53" s="7"/>
      <c r="D53" s="53"/>
      <c r="E53" s="53"/>
      <c r="F53" s="53"/>
      <c r="G53" s="91"/>
      <c r="H53" s="92"/>
      <c r="I53" s="52"/>
      <c r="J53" s="7"/>
      <c r="K53" s="53"/>
      <c r="L53" s="51" t="str">
        <f aca="false">IF(OR(ChangeLog[[#This Row],[Title]]="",N(ChangeLog[[#This Row],[Raised]])=0,AND(ChangeLog[[#This Row],[Status]]&lt;&gt;"Submitted",ChangeLog[[#This Row],[Status]]&lt;&gt;"Under Review")),"",MAX(0,StatusDate-ChangeLog[[#This Row],[Raised]]))</f>
        <v/>
      </c>
      <c r="M53" s="52"/>
      <c r="N53" s="30" t="str">
        <f aca="false">IF(N(ChangeLog[[#This Row],[Task UID]])=0,"",IFERROR(INDEX(tsk_Name,MATCH(ChangeLog[[#This Row],[Task UID]],tsk_UID,0)),"UID "&amp;ChangeLog[[#This Row],[Task UID]]&amp;" not found"))</f>
        <v/>
      </c>
    </row>
    <row r="54" customFormat="false" ht="15" hidden="false" customHeight="false" outlineLevel="0" collapsed="false">
      <c r="B54" s="52" t="n">
        <v>50</v>
      </c>
      <c r="C54" s="7"/>
      <c r="D54" s="53"/>
      <c r="E54" s="53"/>
      <c r="F54" s="53"/>
      <c r="G54" s="91"/>
      <c r="H54" s="92"/>
      <c r="I54" s="52"/>
      <c r="J54" s="7"/>
      <c r="K54" s="53"/>
      <c r="L54" s="51" t="str">
        <f aca="false">IF(OR(ChangeLog[[#This Row],[Title]]="",N(ChangeLog[[#This Row],[Raised]])=0,AND(ChangeLog[[#This Row],[Status]]&lt;&gt;"Submitted",ChangeLog[[#This Row],[Status]]&lt;&gt;"Under Review")),"",MAX(0,StatusDate-ChangeLog[[#This Row],[Raised]]))</f>
        <v/>
      </c>
      <c r="M54" s="52"/>
      <c r="N54" s="30" t="str">
        <f aca="false">IF(N(ChangeLog[[#This Row],[Task UID]])=0,"",IFERROR(INDEX(tsk_Name,MATCH(ChangeLog[[#This Row],[Task UID]],tsk_UID,0)),"UID "&amp;ChangeLog[[#This Row],[Task UID]]&amp;" not found"))</f>
        <v/>
      </c>
    </row>
    <row r="55" customFormat="false" ht="15" hidden="false" customHeight="false" outlineLevel="0" collapsed="false">
      <c r="B55" s="52" t="n">
        <v>51</v>
      </c>
      <c r="C55" s="7"/>
      <c r="D55" s="53"/>
      <c r="E55" s="53"/>
      <c r="F55" s="53"/>
      <c r="G55" s="91"/>
      <c r="H55" s="92"/>
      <c r="I55" s="52"/>
      <c r="J55" s="7"/>
      <c r="K55" s="53"/>
      <c r="L55" s="51" t="str">
        <f aca="false">IF(OR(ChangeLog[[#This Row],[Title]]="",N(ChangeLog[[#This Row],[Raised]])=0,AND(ChangeLog[[#This Row],[Status]]&lt;&gt;"Submitted",ChangeLog[[#This Row],[Status]]&lt;&gt;"Under Review")),"",MAX(0,StatusDate-ChangeLog[[#This Row],[Raised]]))</f>
        <v/>
      </c>
      <c r="M55" s="52"/>
      <c r="N55" s="30" t="str">
        <f aca="false">IF(N(ChangeLog[[#This Row],[Task UID]])=0,"",IFERROR(INDEX(tsk_Name,MATCH(ChangeLog[[#This Row],[Task UID]],tsk_UID,0)),"UID "&amp;ChangeLog[[#This Row],[Task UID]]&amp;" not found"))</f>
        <v/>
      </c>
    </row>
    <row r="56" customFormat="false" ht="15" hidden="false" customHeight="false" outlineLevel="0" collapsed="false">
      <c r="B56" s="52" t="n">
        <v>52</v>
      </c>
      <c r="C56" s="7"/>
      <c r="D56" s="53"/>
      <c r="E56" s="53"/>
      <c r="F56" s="53"/>
      <c r="G56" s="91"/>
      <c r="H56" s="92"/>
      <c r="I56" s="52"/>
      <c r="J56" s="7"/>
      <c r="K56" s="53"/>
      <c r="L56" s="51" t="str">
        <f aca="false">IF(OR(ChangeLog[[#This Row],[Title]]="",N(ChangeLog[[#This Row],[Raised]])=0,AND(ChangeLog[[#This Row],[Status]]&lt;&gt;"Submitted",ChangeLog[[#This Row],[Status]]&lt;&gt;"Under Review")),"",MAX(0,StatusDate-ChangeLog[[#This Row],[Raised]]))</f>
        <v/>
      </c>
      <c r="M56" s="52"/>
      <c r="N56" s="30" t="str">
        <f aca="false">IF(N(ChangeLog[[#This Row],[Task UID]])=0,"",IFERROR(INDEX(tsk_Name,MATCH(ChangeLog[[#This Row],[Task UID]],tsk_UID,0)),"UID "&amp;ChangeLog[[#This Row],[Task UID]]&amp;" not found"))</f>
        <v/>
      </c>
    </row>
    <row r="57" customFormat="false" ht="15" hidden="false" customHeight="false" outlineLevel="0" collapsed="false">
      <c r="B57" s="52" t="n">
        <v>53</v>
      </c>
      <c r="C57" s="7"/>
      <c r="D57" s="53"/>
      <c r="E57" s="53"/>
      <c r="F57" s="53"/>
      <c r="G57" s="91"/>
      <c r="H57" s="92"/>
      <c r="I57" s="52"/>
      <c r="J57" s="7"/>
      <c r="K57" s="53"/>
      <c r="L57" s="51" t="str">
        <f aca="false">IF(OR(ChangeLog[[#This Row],[Title]]="",N(ChangeLog[[#This Row],[Raised]])=0,AND(ChangeLog[[#This Row],[Status]]&lt;&gt;"Submitted",ChangeLog[[#This Row],[Status]]&lt;&gt;"Under Review")),"",MAX(0,StatusDate-ChangeLog[[#This Row],[Raised]]))</f>
        <v/>
      </c>
      <c r="M57" s="52"/>
      <c r="N57" s="30" t="str">
        <f aca="false">IF(N(ChangeLog[[#This Row],[Task UID]])=0,"",IFERROR(INDEX(tsk_Name,MATCH(ChangeLog[[#This Row],[Task UID]],tsk_UID,0)),"UID "&amp;ChangeLog[[#This Row],[Task UID]]&amp;" not found"))</f>
        <v/>
      </c>
    </row>
    <row r="58" customFormat="false" ht="15" hidden="false" customHeight="false" outlineLevel="0" collapsed="false">
      <c r="B58" s="52" t="n">
        <v>54</v>
      </c>
      <c r="C58" s="7"/>
      <c r="D58" s="53"/>
      <c r="E58" s="53"/>
      <c r="F58" s="53"/>
      <c r="G58" s="91"/>
      <c r="H58" s="92"/>
      <c r="I58" s="52"/>
      <c r="J58" s="7"/>
      <c r="K58" s="53"/>
      <c r="L58" s="51" t="str">
        <f aca="false">IF(OR(ChangeLog[[#This Row],[Title]]="",N(ChangeLog[[#This Row],[Raised]])=0,AND(ChangeLog[[#This Row],[Status]]&lt;&gt;"Submitted",ChangeLog[[#This Row],[Status]]&lt;&gt;"Under Review")),"",MAX(0,StatusDate-ChangeLog[[#This Row],[Raised]]))</f>
        <v/>
      </c>
      <c r="M58" s="52"/>
      <c r="N58" s="30" t="str">
        <f aca="false">IF(N(ChangeLog[[#This Row],[Task UID]])=0,"",IFERROR(INDEX(tsk_Name,MATCH(ChangeLog[[#This Row],[Task UID]],tsk_UID,0)),"UID "&amp;ChangeLog[[#This Row],[Task UID]]&amp;" not found"))</f>
        <v/>
      </c>
    </row>
    <row r="59" customFormat="false" ht="15" hidden="false" customHeight="false" outlineLevel="0" collapsed="false">
      <c r="B59" s="52" t="n">
        <v>55</v>
      </c>
      <c r="C59" s="7"/>
      <c r="D59" s="53"/>
      <c r="E59" s="53"/>
      <c r="F59" s="53"/>
      <c r="G59" s="91"/>
      <c r="H59" s="92"/>
      <c r="I59" s="52"/>
      <c r="J59" s="7"/>
      <c r="K59" s="53"/>
      <c r="L59" s="51" t="str">
        <f aca="false">IF(OR(ChangeLog[[#This Row],[Title]]="",N(ChangeLog[[#This Row],[Raised]])=0,AND(ChangeLog[[#This Row],[Status]]&lt;&gt;"Submitted",ChangeLog[[#This Row],[Status]]&lt;&gt;"Under Review")),"",MAX(0,StatusDate-ChangeLog[[#This Row],[Raised]]))</f>
        <v/>
      </c>
      <c r="M59" s="52"/>
      <c r="N59" s="30" t="str">
        <f aca="false">IF(N(ChangeLog[[#This Row],[Task UID]])=0,"",IFERROR(INDEX(tsk_Name,MATCH(ChangeLog[[#This Row],[Task UID]],tsk_UID,0)),"UID "&amp;ChangeLog[[#This Row],[Task UID]]&amp;" not found"))</f>
        <v/>
      </c>
    </row>
    <row r="60" customFormat="false" ht="15" hidden="false" customHeight="false" outlineLevel="0" collapsed="false">
      <c r="B60" s="52" t="n">
        <v>56</v>
      </c>
      <c r="C60" s="7"/>
      <c r="D60" s="53"/>
      <c r="E60" s="53"/>
      <c r="F60" s="53"/>
      <c r="G60" s="91"/>
      <c r="H60" s="92"/>
      <c r="I60" s="52"/>
      <c r="J60" s="7"/>
      <c r="K60" s="53"/>
      <c r="L60" s="51" t="str">
        <f aca="false">IF(OR(ChangeLog[[#This Row],[Title]]="",N(ChangeLog[[#This Row],[Raised]])=0,AND(ChangeLog[[#This Row],[Status]]&lt;&gt;"Submitted",ChangeLog[[#This Row],[Status]]&lt;&gt;"Under Review")),"",MAX(0,StatusDate-ChangeLog[[#This Row],[Raised]]))</f>
        <v/>
      </c>
      <c r="M60" s="52"/>
      <c r="N60" s="30" t="str">
        <f aca="false">IF(N(ChangeLog[[#This Row],[Task UID]])=0,"",IFERROR(INDEX(tsk_Name,MATCH(ChangeLog[[#This Row],[Task UID]],tsk_UID,0)),"UID "&amp;ChangeLog[[#This Row],[Task UID]]&amp;" not found"))</f>
        <v/>
      </c>
    </row>
    <row r="61" customFormat="false" ht="15" hidden="false" customHeight="false" outlineLevel="0" collapsed="false">
      <c r="B61" s="52" t="n">
        <v>57</v>
      </c>
      <c r="C61" s="7"/>
      <c r="D61" s="53"/>
      <c r="E61" s="53"/>
      <c r="F61" s="53"/>
      <c r="G61" s="91"/>
      <c r="H61" s="92"/>
      <c r="I61" s="52"/>
      <c r="J61" s="7"/>
      <c r="K61" s="53"/>
      <c r="L61" s="51" t="str">
        <f aca="false">IF(OR(ChangeLog[[#This Row],[Title]]="",N(ChangeLog[[#This Row],[Raised]])=0,AND(ChangeLog[[#This Row],[Status]]&lt;&gt;"Submitted",ChangeLog[[#This Row],[Status]]&lt;&gt;"Under Review")),"",MAX(0,StatusDate-ChangeLog[[#This Row],[Raised]]))</f>
        <v/>
      </c>
      <c r="M61" s="52"/>
      <c r="N61" s="30" t="str">
        <f aca="false">IF(N(ChangeLog[[#This Row],[Task UID]])=0,"",IFERROR(INDEX(tsk_Name,MATCH(ChangeLog[[#This Row],[Task UID]],tsk_UID,0)),"UID "&amp;ChangeLog[[#This Row],[Task UID]]&amp;" not found"))</f>
        <v/>
      </c>
    </row>
    <row r="62" customFormat="false" ht="15" hidden="false" customHeight="false" outlineLevel="0" collapsed="false">
      <c r="B62" s="52" t="n">
        <v>58</v>
      </c>
      <c r="C62" s="7"/>
      <c r="D62" s="53"/>
      <c r="E62" s="53"/>
      <c r="F62" s="53"/>
      <c r="G62" s="91"/>
      <c r="H62" s="92"/>
      <c r="I62" s="52"/>
      <c r="J62" s="7"/>
      <c r="K62" s="53"/>
      <c r="L62" s="51" t="str">
        <f aca="false">IF(OR(ChangeLog[[#This Row],[Title]]="",N(ChangeLog[[#This Row],[Raised]])=0,AND(ChangeLog[[#This Row],[Status]]&lt;&gt;"Submitted",ChangeLog[[#This Row],[Status]]&lt;&gt;"Under Review")),"",MAX(0,StatusDate-ChangeLog[[#This Row],[Raised]]))</f>
        <v/>
      </c>
      <c r="M62" s="52"/>
      <c r="N62" s="30" t="str">
        <f aca="false">IF(N(ChangeLog[[#This Row],[Task UID]])=0,"",IFERROR(INDEX(tsk_Name,MATCH(ChangeLog[[#This Row],[Task UID]],tsk_UID,0)),"UID "&amp;ChangeLog[[#This Row],[Task UID]]&amp;" not found"))</f>
        <v/>
      </c>
    </row>
    <row r="63" customFormat="false" ht="15" hidden="false" customHeight="false" outlineLevel="0" collapsed="false">
      <c r="B63" s="52" t="n">
        <v>59</v>
      </c>
      <c r="C63" s="7"/>
      <c r="D63" s="53"/>
      <c r="E63" s="53"/>
      <c r="F63" s="53"/>
      <c r="G63" s="91"/>
      <c r="H63" s="92"/>
      <c r="I63" s="52"/>
      <c r="J63" s="7"/>
      <c r="K63" s="53"/>
      <c r="L63" s="51" t="str">
        <f aca="false">IF(OR(ChangeLog[[#This Row],[Title]]="",N(ChangeLog[[#This Row],[Raised]])=0,AND(ChangeLog[[#This Row],[Status]]&lt;&gt;"Submitted",ChangeLog[[#This Row],[Status]]&lt;&gt;"Under Review")),"",MAX(0,StatusDate-ChangeLog[[#This Row],[Raised]]))</f>
        <v/>
      </c>
      <c r="M63" s="52"/>
      <c r="N63" s="30" t="str">
        <f aca="false">IF(N(ChangeLog[[#This Row],[Task UID]])=0,"",IFERROR(INDEX(tsk_Name,MATCH(ChangeLog[[#This Row],[Task UID]],tsk_UID,0)),"UID "&amp;ChangeLog[[#This Row],[Task UID]]&amp;" not found"))</f>
        <v/>
      </c>
    </row>
    <row r="64" customFormat="false" ht="15" hidden="false" customHeight="false" outlineLevel="0" collapsed="false">
      <c r="B64" s="52" t="n">
        <v>60</v>
      </c>
      <c r="C64" s="7"/>
      <c r="D64" s="53"/>
      <c r="E64" s="53"/>
      <c r="F64" s="53"/>
      <c r="G64" s="91"/>
      <c r="H64" s="92"/>
      <c r="I64" s="52"/>
      <c r="J64" s="7"/>
      <c r="K64" s="53"/>
      <c r="L64" s="51" t="str">
        <f aca="false">IF(OR(ChangeLog[[#This Row],[Title]]="",N(ChangeLog[[#This Row],[Raised]])=0,AND(ChangeLog[[#This Row],[Status]]&lt;&gt;"Submitted",ChangeLog[[#This Row],[Status]]&lt;&gt;"Under Review")),"",MAX(0,StatusDate-ChangeLog[[#This Row],[Raised]]))</f>
        <v/>
      </c>
      <c r="M64" s="52"/>
      <c r="N64" s="30" t="str">
        <f aca="false">IF(N(ChangeLog[[#This Row],[Task UID]])=0,"",IFERROR(INDEX(tsk_Name,MATCH(ChangeLog[[#This Row],[Task UID]],tsk_UID,0)),"UID "&amp;ChangeLog[[#This Row],[Task UID]]&amp;" not found"))</f>
        <v/>
      </c>
    </row>
    <row r="65" customFormat="false" ht="15" hidden="false" customHeight="false" outlineLevel="0" collapsed="false">
      <c r="B65" s="52" t="n">
        <v>61</v>
      </c>
      <c r="C65" s="7"/>
      <c r="D65" s="53"/>
      <c r="E65" s="53"/>
      <c r="F65" s="53"/>
      <c r="G65" s="91"/>
      <c r="H65" s="92"/>
      <c r="I65" s="52"/>
      <c r="J65" s="7"/>
      <c r="K65" s="53"/>
      <c r="L65" s="51" t="str">
        <f aca="false">IF(OR(ChangeLog[[#This Row],[Title]]="",N(ChangeLog[[#This Row],[Raised]])=0,AND(ChangeLog[[#This Row],[Status]]&lt;&gt;"Submitted",ChangeLog[[#This Row],[Status]]&lt;&gt;"Under Review")),"",MAX(0,StatusDate-ChangeLog[[#This Row],[Raised]]))</f>
        <v/>
      </c>
      <c r="M65" s="52"/>
      <c r="N65" s="30" t="str">
        <f aca="false">IF(N(ChangeLog[[#This Row],[Task UID]])=0,"",IFERROR(INDEX(tsk_Name,MATCH(ChangeLog[[#This Row],[Task UID]],tsk_UID,0)),"UID "&amp;ChangeLog[[#This Row],[Task UID]]&amp;" not found"))</f>
        <v/>
      </c>
    </row>
    <row r="66" customFormat="false" ht="15" hidden="false" customHeight="false" outlineLevel="0" collapsed="false">
      <c r="B66" s="52" t="n">
        <v>62</v>
      </c>
      <c r="C66" s="7"/>
      <c r="D66" s="53"/>
      <c r="E66" s="53"/>
      <c r="F66" s="53"/>
      <c r="G66" s="91"/>
      <c r="H66" s="92"/>
      <c r="I66" s="52"/>
      <c r="J66" s="7"/>
      <c r="K66" s="53"/>
      <c r="L66" s="51" t="str">
        <f aca="false">IF(OR(ChangeLog[[#This Row],[Title]]="",N(ChangeLog[[#This Row],[Raised]])=0,AND(ChangeLog[[#This Row],[Status]]&lt;&gt;"Submitted",ChangeLog[[#This Row],[Status]]&lt;&gt;"Under Review")),"",MAX(0,StatusDate-ChangeLog[[#This Row],[Raised]]))</f>
        <v/>
      </c>
      <c r="M66" s="52"/>
      <c r="N66" s="30" t="str">
        <f aca="false">IF(N(ChangeLog[[#This Row],[Task UID]])=0,"",IFERROR(INDEX(tsk_Name,MATCH(ChangeLog[[#This Row],[Task UID]],tsk_UID,0)),"UID "&amp;ChangeLog[[#This Row],[Task UID]]&amp;" not found"))</f>
        <v/>
      </c>
    </row>
    <row r="67" customFormat="false" ht="15" hidden="false" customHeight="false" outlineLevel="0" collapsed="false">
      <c r="B67" s="52" t="n">
        <v>63</v>
      </c>
      <c r="C67" s="7"/>
      <c r="D67" s="53"/>
      <c r="E67" s="53"/>
      <c r="F67" s="53"/>
      <c r="G67" s="91"/>
      <c r="H67" s="92"/>
      <c r="I67" s="52"/>
      <c r="J67" s="7"/>
      <c r="K67" s="53"/>
      <c r="L67" s="51" t="str">
        <f aca="false">IF(OR(ChangeLog[[#This Row],[Title]]="",N(ChangeLog[[#This Row],[Raised]])=0,AND(ChangeLog[[#This Row],[Status]]&lt;&gt;"Submitted",ChangeLog[[#This Row],[Status]]&lt;&gt;"Under Review")),"",MAX(0,StatusDate-ChangeLog[[#This Row],[Raised]]))</f>
        <v/>
      </c>
      <c r="M67" s="52"/>
      <c r="N67" s="30" t="str">
        <f aca="false">IF(N(ChangeLog[[#This Row],[Task UID]])=0,"",IFERROR(INDEX(tsk_Name,MATCH(ChangeLog[[#This Row],[Task UID]],tsk_UID,0)),"UID "&amp;ChangeLog[[#This Row],[Task UID]]&amp;" not found"))</f>
        <v/>
      </c>
    </row>
    <row r="68" customFormat="false" ht="15" hidden="false" customHeight="false" outlineLevel="0" collapsed="false">
      <c r="B68" s="52" t="n">
        <v>64</v>
      </c>
      <c r="C68" s="7"/>
      <c r="D68" s="53"/>
      <c r="E68" s="53"/>
      <c r="F68" s="53"/>
      <c r="G68" s="91"/>
      <c r="H68" s="92"/>
      <c r="I68" s="52"/>
      <c r="J68" s="7"/>
      <c r="K68" s="53"/>
      <c r="L68" s="51" t="str">
        <f aca="false">IF(OR(ChangeLog[[#This Row],[Title]]="",N(ChangeLog[[#This Row],[Raised]])=0,AND(ChangeLog[[#This Row],[Status]]&lt;&gt;"Submitted",ChangeLog[[#This Row],[Status]]&lt;&gt;"Under Review")),"",MAX(0,StatusDate-ChangeLog[[#This Row],[Raised]]))</f>
        <v/>
      </c>
      <c r="M68" s="52"/>
      <c r="N68" s="30" t="str">
        <f aca="false">IF(N(ChangeLog[[#This Row],[Task UID]])=0,"",IFERROR(INDEX(tsk_Name,MATCH(ChangeLog[[#This Row],[Task UID]],tsk_UID,0)),"UID "&amp;ChangeLog[[#This Row],[Task UID]]&amp;" not found"))</f>
        <v/>
      </c>
    </row>
    <row r="69" customFormat="false" ht="15" hidden="false" customHeight="false" outlineLevel="0" collapsed="false">
      <c r="B69" s="52" t="n">
        <v>65</v>
      </c>
      <c r="C69" s="7"/>
      <c r="D69" s="53"/>
      <c r="E69" s="53"/>
      <c r="F69" s="53"/>
      <c r="G69" s="91"/>
      <c r="H69" s="92"/>
      <c r="I69" s="52"/>
      <c r="J69" s="7"/>
      <c r="K69" s="53"/>
      <c r="L69" s="51" t="str">
        <f aca="false">IF(OR(ChangeLog[[#This Row],[Title]]="",N(ChangeLog[[#This Row],[Raised]])=0,AND(ChangeLog[[#This Row],[Status]]&lt;&gt;"Submitted",ChangeLog[[#This Row],[Status]]&lt;&gt;"Under Review")),"",MAX(0,StatusDate-ChangeLog[[#This Row],[Raised]]))</f>
        <v/>
      </c>
      <c r="M69" s="52"/>
      <c r="N69" s="30" t="str">
        <f aca="false">IF(N(ChangeLog[[#This Row],[Task UID]])=0,"",IFERROR(INDEX(tsk_Name,MATCH(ChangeLog[[#This Row],[Task UID]],tsk_UID,0)),"UID "&amp;ChangeLog[[#This Row],[Task UID]]&amp;" not found"))</f>
        <v/>
      </c>
    </row>
    <row r="70" customFormat="false" ht="15" hidden="false" customHeight="false" outlineLevel="0" collapsed="false">
      <c r="B70" s="52" t="n">
        <v>66</v>
      </c>
      <c r="C70" s="7"/>
      <c r="D70" s="53"/>
      <c r="E70" s="53"/>
      <c r="F70" s="53"/>
      <c r="G70" s="91"/>
      <c r="H70" s="92"/>
      <c r="I70" s="52"/>
      <c r="J70" s="7"/>
      <c r="K70" s="53"/>
      <c r="L70" s="51" t="str">
        <f aca="false">IF(OR(ChangeLog[[#This Row],[Title]]="",N(ChangeLog[[#This Row],[Raised]])=0,AND(ChangeLog[[#This Row],[Status]]&lt;&gt;"Submitted",ChangeLog[[#This Row],[Status]]&lt;&gt;"Under Review")),"",MAX(0,StatusDate-ChangeLog[[#This Row],[Raised]]))</f>
        <v/>
      </c>
      <c r="M70" s="52"/>
      <c r="N70" s="30" t="str">
        <f aca="false">IF(N(ChangeLog[[#This Row],[Task UID]])=0,"",IFERROR(INDEX(tsk_Name,MATCH(ChangeLog[[#This Row],[Task UID]],tsk_UID,0)),"UID "&amp;ChangeLog[[#This Row],[Task UID]]&amp;" not found"))</f>
        <v/>
      </c>
    </row>
    <row r="71" customFormat="false" ht="15" hidden="false" customHeight="false" outlineLevel="0" collapsed="false">
      <c r="B71" s="52" t="n">
        <v>67</v>
      </c>
      <c r="C71" s="7"/>
      <c r="D71" s="53"/>
      <c r="E71" s="53"/>
      <c r="F71" s="53"/>
      <c r="G71" s="91"/>
      <c r="H71" s="92"/>
      <c r="I71" s="52"/>
      <c r="J71" s="7"/>
      <c r="K71" s="53"/>
      <c r="L71" s="51" t="str">
        <f aca="false">IF(OR(ChangeLog[[#This Row],[Title]]="",N(ChangeLog[[#This Row],[Raised]])=0,AND(ChangeLog[[#This Row],[Status]]&lt;&gt;"Submitted",ChangeLog[[#This Row],[Status]]&lt;&gt;"Under Review")),"",MAX(0,StatusDate-ChangeLog[[#This Row],[Raised]]))</f>
        <v/>
      </c>
      <c r="M71" s="52"/>
      <c r="N71" s="30" t="str">
        <f aca="false">IF(N(ChangeLog[[#This Row],[Task UID]])=0,"",IFERROR(INDEX(tsk_Name,MATCH(ChangeLog[[#This Row],[Task UID]],tsk_UID,0)),"UID "&amp;ChangeLog[[#This Row],[Task UID]]&amp;" not found"))</f>
        <v/>
      </c>
    </row>
    <row r="72" customFormat="false" ht="15" hidden="false" customHeight="false" outlineLevel="0" collapsed="false">
      <c r="B72" s="52" t="n">
        <v>68</v>
      </c>
      <c r="C72" s="7"/>
      <c r="D72" s="53"/>
      <c r="E72" s="53"/>
      <c r="F72" s="53"/>
      <c r="G72" s="91"/>
      <c r="H72" s="92"/>
      <c r="I72" s="52"/>
      <c r="J72" s="7"/>
      <c r="K72" s="53"/>
      <c r="L72" s="51" t="str">
        <f aca="false">IF(OR(ChangeLog[[#This Row],[Title]]="",N(ChangeLog[[#This Row],[Raised]])=0,AND(ChangeLog[[#This Row],[Status]]&lt;&gt;"Submitted",ChangeLog[[#This Row],[Status]]&lt;&gt;"Under Review")),"",MAX(0,StatusDate-ChangeLog[[#This Row],[Raised]]))</f>
        <v/>
      </c>
      <c r="M72" s="52"/>
      <c r="N72" s="30" t="str">
        <f aca="false">IF(N(ChangeLog[[#This Row],[Task UID]])=0,"",IFERROR(INDEX(tsk_Name,MATCH(ChangeLog[[#This Row],[Task UID]],tsk_UID,0)),"UID "&amp;ChangeLog[[#This Row],[Task UID]]&amp;" not found"))</f>
        <v/>
      </c>
    </row>
    <row r="73" customFormat="false" ht="15" hidden="false" customHeight="false" outlineLevel="0" collapsed="false">
      <c r="B73" s="52" t="n">
        <v>69</v>
      </c>
      <c r="C73" s="7"/>
      <c r="D73" s="53"/>
      <c r="E73" s="53"/>
      <c r="F73" s="53"/>
      <c r="G73" s="91"/>
      <c r="H73" s="92"/>
      <c r="I73" s="52"/>
      <c r="J73" s="7"/>
      <c r="K73" s="53"/>
      <c r="L73" s="51" t="str">
        <f aca="false">IF(OR(ChangeLog[[#This Row],[Title]]="",N(ChangeLog[[#This Row],[Raised]])=0,AND(ChangeLog[[#This Row],[Status]]&lt;&gt;"Submitted",ChangeLog[[#This Row],[Status]]&lt;&gt;"Under Review")),"",MAX(0,StatusDate-ChangeLog[[#This Row],[Raised]]))</f>
        <v/>
      </c>
      <c r="M73" s="52"/>
      <c r="N73" s="30" t="str">
        <f aca="false">IF(N(ChangeLog[[#This Row],[Task UID]])=0,"",IFERROR(INDEX(tsk_Name,MATCH(ChangeLog[[#This Row],[Task UID]],tsk_UID,0)),"UID "&amp;ChangeLog[[#This Row],[Task UID]]&amp;" not found"))</f>
        <v/>
      </c>
    </row>
    <row r="74" customFormat="false" ht="15" hidden="false" customHeight="false" outlineLevel="0" collapsed="false">
      <c r="B74" s="52" t="n">
        <v>70</v>
      </c>
      <c r="C74" s="7"/>
      <c r="D74" s="53"/>
      <c r="E74" s="53"/>
      <c r="F74" s="53"/>
      <c r="G74" s="91"/>
      <c r="H74" s="92"/>
      <c r="I74" s="52"/>
      <c r="J74" s="7"/>
      <c r="K74" s="53"/>
      <c r="L74" s="51" t="str">
        <f aca="false">IF(OR(ChangeLog[[#This Row],[Title]]="",N(ChangeLog[[#This Row],[Raised]])=0,AND(ChangeLog[[#This Row],[Status]]&lt;&gt;"Submitted",ChangeLog[[#This Row],[Status]]&lt;&gt;"Under Review")),"",MAX(0,StatusDate-ChangeLog[[#This Row],[Raised]]))</f>
        <v/>
      </c>
      <c r="M74" s="52"/>
      <c r="N74" s="30" t="str">
        <f aca="false">IF(N(ChangeLog[[#This Row],[Task UID]])=0,"",IFERROR(INDEX(tsk_Name,MATCH(ChangeLog[[#This Row],[Task UID]],tsk_UID,0)),"UID "&amp;ChangeLog[[#This Row],[Task UID]]&amp;" not found"))</f>
        <v/>
      </c>
    </row>
    <row r="75" customFormat="false" ht="15" hidden="false" customHeight="false" outlineLevel="0" collapsed="false">
      <c r="B75" s="52" t="n">
        <v>71</v>
      </c>
      <c r="C75" s="7"/>
      <c r="D75" s="53"/>
      <c r="E75" s="53"/>
      <c r="F75" s="53"/>
      <c r="G75" s="91"/>
      <c r="H75" s="92"/>
      <c r="I75" s="52"/>
      <c r="J75" s="7"/>
      <c r="K75" s="53"/>
      <c r="L75" s="51" t="str">
        <f aca="false">IF(OR(ChangeLog[[#This Row],[Title]]="",N(ChangeLog[[#This Row],[Raised]])=0,AND(ChangeLog[[#This Row],[Status]]&lt;&gt;"Submitted",ChangeLog[[#This Row],[Status]]&lt;&gt;"Under Review")),"",MAX(0,StatusDate-ChangeLog[[#This Row],[Raised]]))</f>
        <v/>
      </c>
      <c r="M75" s="52"/>
      <c r="N75" s="30" t="str">
        <f aca="false">IF(N(ChangeLog[[#This Row],[Task UID]])=0,"",IFERROR(INDEX(tsk_Name,MATCH(ChangeLog[[#This Row],[Task UID]],tsk_UID,0)),"UID "&amp;ChangeLog[[#This Row],[Task UID]]&amp;" not found"))</f>
        <v/>
      </c>
    </row>
    <row r="76" customFormat="false" ht="15" hidden="false" customHeight="false" outlineLevel="0" collapsed="false">
      <c r="B76" s="52" t="n">
        <v>72</v>
      </c>
      <c r="C76" s="7"/>
      <c r="D76" s="53"/>
      <c r="E76" s="53"/>
      <c r="F76" s="53"/>
      <c r="G76" s="91"/>
      <c r="H76" s="92"/>
      <c r="I76" s="52"/>
      <c r="J76" s="7"/>
      <c r="K76" s="53"/>
      <c r="L76" s="51" t="str">
        <f aca="false">IF(OR(ChangeLog[[#This Row],[Title]]="",N(ChangeLog[[#This Row],[Raised]])=0,AND(ChangeLog[[#This Row],[Status]]&lt;&gt;"Submitted",ChangeLog[[#This Row],[Status]]&lt;&gt;"Under Review")),"",MAX(0,StatusDate-ChangeLog[[#This Row],[Raised]]))</f>
        <v/>
      </c>
      <c r="M76" s="52"/>
      <c r="N76" s="30" t="str">
        <f aca="false">IF(N(ChangeLog[[#This Row],[Task UID]])=0,"",IFERROR(INDEX(tsk_Name,MATCH(ChangeLog[[#This Row],[Task UID]],tsk_UID,0)),"UID "&amp;ChangeLog[[#This Row],[Task UID]]&amp;" not found"))</f>
        <v/>
      </c>
    </row>
    <row r="77" customFormat="false" ht="15" hidden="false" customHeight="false" outlineLevel="0" collapsed="false">
      <c r="B77" s="52" t="n">
        <v>73</v>
      </c>
      <c r="C77" s="7"/>
      <c r="D77" s="53"/>
      <c r="E77" s="53"/>
      <c r="F77" s="53"/>
      <c r="G77" s="91"/>
      <c r="H77" s="92"/>
      <c r="I77" s="52"/>
      <c r="J77" s="7"/>
      <c r="K77" s="53"/>
      <c r="L77" s="51" t="str">
        <f aca="false">IF(OR(ChangeLog[[#This Row],[Title]]="",N(ChangeLog[[#This Row],[Raised]])=0,AND(ChangeLog[[#This Row],[Status]]&lt;&gt;"Submitted",ChangeLog[[#This Row],[Status]]&lt;&gt;"Under Review")),"",MAX(0,StatusDate-ChangeLog[[#This Row],[Raised]]))</f>
        <v/>
      </c>
      <c r="M77" s="52"/>
      <c r="N77" s="30" t="str">
        <f aca="false">IF(N(ChangeLog[[#This Row],[Task UID]])=0,"",IFERROR(INDEX(tsk_Name,MATCH(ChangeLog[[#This Row],[Task UID]],tsk_UID,0)),"UID "&amp;ChangeLog[[#This Row],[Task UID]]&amp;" not found"))</f>
        <v/>
      </c>
    </row>
    <row r="78" customFormat="false" ht="15" hidden="false" customHeight="false" outlineLevel="0" collapsed="false">
      <c r="B78" s="52" t="n">
        <v>74</v>
      </c>
      <c r="C78" s="7"/>
      <c r="D78" s="53"/>
      <c r="E78" s="53"/>
      <c r="F78" s="53"/>
      <c r="G78" s="91"/>
      <c r="H78" s="92"/>
      <c r="I78" s="52"/>
      <c r="J78" s="7"/>
      <c r="K78" s="53"/>
      <c r="L78" s="51" t="str">
        <f aca="false">IF(OR(ChangeLog[[#This Row],[Title]]="",N(ChangeLog[[#This Row],[Raised]])=0,AND(ChangeLog[[#This Row],[Status]]&lt;&gt;"Submitted",ChangeLog[[#This Row],[Status]]&lt;&gt;"Under Review")),"",MAX(0,StatusDate-ChangeLog[[#This Row],[Raised]]))</f>
        <v/>
      </c>
      <c r="M78" s="52"/>
      <c r="N78" s="30" t="str">
        <f aca="false">IF(N(ChangeLog[[#This Row],[Task UID]])=0,"",IFERROR(INDEX(tsk_Name,MATCH(ChangeLog[[#This Row],[Task UID]],tsk_UID,0)),"UID "&amp;ChangeLog[[#This Row],[Task UID]]&amp;" not found"))</f>
        <v/>
      </c>
    </row>
    <row r="79" customFormat="false" ht="15" hidden="false" customHeight="false" outlineLevel="0" collapsed="false">
      <c r="B79" s="52" t="n">
        <v>75</v>
      </c>
      <c r="C79" s="7"/>
      <c r="D79" s="53"/>
      <c r="E79" s="53"/>
      <c r="F79" s="53"/>
      <c r="G79" s="91"/>
      <c r="H79" s="92"/>
      <c r="I79" s="52"/>
      <c r="J79" s="7"/>
      <c r="K79" s="53"/>
      <c r="L79" s="51" t="str">
        <f aca="false">IF(OR(ChangeLog[[#This Row],[Title]]="",N(ChangeLog[[#This Row],[Raised]])=0,AND(ChangeLog[[#This Row],[Status]]&lt;&gt;"Submitted",ChangeLog[[#This Row],[Status]]&lt;&gt;"Under Review")),"",MAX(0,StatusDate-ChangeLog[[#This Row],[Raised]]))</f>
        <v/>
      </c>
      <c r="M79" s="52"/>
      <c r="N79" s="30" t="str">
        <f aca="false">IF(N(ChangeLog[[#This Row],[Task UID]])=0,"",IFERROR(INDEX(tsk_Name,MATCH(ChangeLog[[#This Row],[Task UID]],tsk_UID,0)),"UID "&amp;ChangeLog[[#This Row],[Task UID]]&amp;" not found"))</f>
        <v/>
      </c>
    </row>
    <row r="80" customFormat="false" ht="15" hidden="false" customHeight="false" outlineLevel="0" collapsed="false">
      <c r="B80" s="52" t="n">
        <v>76</v>
      </c>
      <c r="C80" s="7"/>
      <c r="D80" s="53"/>
      <c r="E80" s="53"/>
      <c r="F80" s="53"/>
      <c r="G80" s="91"/>
      <c r="H80" s="92"/>
      <c r="I80" s="52"/>
      <c r="J80" s="7"/>
      <c r="K80" s="53"/>
      <c r="L80" s="51" t="str">
        <f aca="false">IF(OR(ChangeLog[[#This Row],[Title]]="",N(ChangeLog[[#This Row],[Raised]])=0,AND(ChangeLog[[#This Row],[Status]]&lt;&gt;"Submitted",ChangeLog[[#This Row],[Status]]&lt;&gt;"Under Review")),"",MAX(0,StatusDate-ChangeLog[[#This Row],[Raised]]))</f>
        <v/>
      </c>
      <c r="M80" s="52"/>
      <c r="N80" s="30" t="str">
        <f aca="false">IF(N(ChangeLog[[#This Row],[Task UID]])=0,"",IFERROR(INDEX(tsk_Name,MATCH(ChangeLog[[#This Row],[Task UID]],tsk_UID,0)),"UID "&amp;ChangeLog[[#This Row],[Task UID]]&amp;" not found"))</f>
        <v/>
      </c>
    </row>
    <row r="81" customFormat="false" ht="15" hidden="false" customHeight="false" outlineLevel="0" collapsed="false">
      <c r="B81" s="52" t="n">
        <v>77</v>
      </c>
      <c r="C81" s="7"/>
      <c r="D81" s="53"/>
      <c r="E81" s="53"/>
      <c r="F81" s="53"/>
      <c r="G81" s="91"/>
      <c r="H81" s="92"/>
      <c r="I81" s="52"/>
      <c r="J81" s="7"/>
      <c r="K81" s="53"/>
      <c r="L81" s="51" t="str">
        <f aca="false">IF(OR(ChangeLog[[#This Row],[Title]]="",N(ChangeLog[[#This Row],[Raised]])=0,AND(ChangeLog[[#This Row],[Status]]&lt;&gt;"Submitted",ChangeLog[[#This Row],[Status]]&lt;&gt;"Under Review")),"",MAX(0,StatusDate-ChangeLog[[#This Row],[Raised]]))</f>
        <v/>
      </c>
      <c r="M81" s="52"/>
      <c r="N81" s="30" t="str">
        <f aca="false">IF(N(ChangeLog[[#This Row],[Task UID]])=0,"",IFERROR(INDEX(tsk_Name,MATCH(ChangeLog[[#This Row],[Task UID]],tsk_UID,0)),"UID "&amp;ChangeLog[[#This Row],[Task UID]]&amp;" not found"))</f>
        <v/>
      </c>
    </row>
    <row r="82" customFormat="false" ht="15" hidden="false" customHeight="false" outlineLevel="0" collapsed="false">
      <c r="B82" s="52" t="n">
        <v>78</v>
      </c>
      <c r="C82" s="7"/>
      <c r="D82" s="53"/>
      <c r="E82" s="53"/>
      <c r="F82" s="53"/>
      <c r="G82" s="91"/>
      <c r="H82" s="92"/>
      <c r="I82" s="52"/>
      <c r="J82" s="7"/>
      <c r="K82" s="53"/>
      <c r="L82" s="51" t="str">
        <f aca="false">IF(OR(ChangeLog[[#This Row],[Title]]="",N(ChangeLog[[#This Row],[Raised]])=0,AND(ChangeLog[[#This Row],[Status]]&lt;&gt;"Submitted",ChangeLog[[#This Row],[Status]]&lt;&gt;"Under Review")),"",MAX(0,StatusDate-ChangeLog[[#This Row],[Raised]]))</f>
        <v/>
      </c>
      <c r="M82" s="52"/>
      <c r="N82" s="30" t="str">
        <f aca="false">IF(N(ChangeLog[[#This Row],[Task UID]])=0,"",IFERROR(INDEX(tsk_Name,MATCH(ChangeLog[[#This Row],[Task UID]],tsk_UID,0)),"UID "&amp;ChangeLog[[#This Row],[Task UID]]&amp;" not found"))</f>
        <v/>
      </c>
    </row>
    <row r="83" customFormat="false" ht="15" hidden="false" customHeight="false" outlineLevel="0" collapsed="false">
      <c r="B83" s="52" t="n">
        <v>79</v>
      </c>
      <c r="C83" s="7"/>
      <c r="D83" s="53"/>
      <c r="E83" s="53"/>
      <c r="F83" s="53"/>
      <c r="G83" s="91"/>
      <c r="H83" s="92"/>
      <c r="I83" s="52"/>
      <c r="J83" s="7"/>
      <c r="K83" s="53"/>
      <c r="L83" s="51" t="str">
        <f aca="false">IF(OR(ChangeLog[[#This Row],[Title]]="",N(ChangeLog[[#This Row],[Raised]])=0,AND(ChangeLog[[#This Row],[Status]]&lt;&gt;"Submitted",ChangeLog[[#This Row],[Status]]&lt;&gt;"Under Review")),"",MAX(0,StatusDate-ChangeLog[[#This Row],[Raised]]))</f>
        <v/>
      </c>
      <c r="M83" s="52"/>
      <c r="N83" s="30" t="str">
        <f aca="false">IF(N(ChangeLog[[#This Row],[Task UID]])=0,"",IFERROR(INDEX(tsk_Name,MATCH(ChangeLog[[#This Row],[Task UID]],tsk_UID,0)),"UID "&amp;ChangeLog[[#This Row],[Task UID]]&amp;" not found"))</f>
        <v/>
      </c>
    </row>
    <row r="84" customFormat="false" ht="15" hidden="false" customHeight="false" outlineLevel="0" collapsed="false">
      <c r="B84" s="52" t="n">
        <v>80</v>
      </c>
      <c r="C84" s="7"/>
      <c r="D84" s="53"/>
      <c r="E84" s="53"/>
      <c r="F84" s="53"/>
      <c r="G84" s="91"/>
      <c r="H84" s="92"/>
      <c r="I84" s="52"/>
      <c r="J84" s="7"/>
      <c r="K84" s="53"/>
      <c r="L84" s="51" t="str">
        <f aca="false">IF(OR(ChangeLog[[#This Row],[Title]]="",N(ChangeLog[[#This Row],[Raised]])=0,AND(ChangeLog[[#This Row],[Status]]&lt;&gt;"Submitted",ChangeLog[[#This Row],[Status]]&lt;&gt;"Under Review")),"",MAX(0,StatusDate-ChangeLog[[#This Row],[Raised]]))</f>
        <v/>
      </c>
      <c r="M84" s="52"/>
      <c r="N84" s="30" t="str">
        <f aca="false">IF(N(ChangeLog[[#This Row],[Task UID]])=0,"",IFERROR(INDEX(tsk_Name,MATCH(ChangeLog[[#This Row],[Task UID]],tsk_UID,0)),"UID "&amp;ChangeLog[[#This Row],[Task UID]]&amp;" not found"))</f>
        <v/>
      </c>
    </row>
    <row r="85" customFormat="false" ht="15" hidden="false" customHeight="false" outlineLevel="0" collapsed="false">
      <c r="B85" s="52" t="n">
        <v>81</v>
      </c>
      <c r="C85" s="7"/>
      <c r="D85" s="53"/>
      <c r="E85" s="53"/>
      <c r="F85" s="53"/>
      <c r="G85" s="91"/>
      <c r="H85" s="92"/>
      <c r="I85" s="52"/>
      <c r="J85" s="7"/>
      <c r="K85" s="53"/>
      <c r="L85" s="51" t="str">
        <f aca="false">IF(OR(ChangeLog[[#This Row],[Title]]="",N(ChangeLog[[#This Row],[Raised]])=0,AND(ChangeLog[[#This Row],[Status]]&lt;&gt;"Submitted",ChangeLog[[#This Row],[Status]]&lt;&gt;"Under Review")),"",MAX(0,StatusDate-ChangeLog[[#This Row],[Raised]]))</f>
        <v/>
      </c>
      <c r="M85" s="52"/>
      <c r="N85" s="30" t="str">
        <f aca="false">IF(N(ChangeLog[[#This Row],[Task UID]])=0,"",IFERROR(INDEX(tsk_Name,MATCH(ChangeLog[[#This Row],[Task UID]],tsk_UID,0)),"UID "&amp;ChangeLog[[#This Row],[Task UID]]&amp;" not found"))</f>
        <v/>
      </c>
    </row>
    <row r="86" customFormat="false" ht="15" hidden="false" customHeight="false" outlineLevel="0" collapsed="false">
      <c r="B86" s="52" t="n">
        <v>82</v>
      </c>
      <c r="C86" s="7"/>
      <c r="D86" s="53"/>
      <c r="E86" s="53"/>
      <c r="F86" s="53"/>
      <c r="G86" s="91"/>
      <c r="H86" s="92"/>
      <c r="I86" s="52"/>
      <c r="J86" s="7"/>
      <c r="K86" s="53"/>
      <c r="L86" s="51" t="str">
        <f aca="false">IF(OR(ChangeLog[[#This Row],[Title]]="",N(ChangeLog[[#This Row],[Raised]])=0,AND(ChangeLog[[#This Row],[Status]]&lt;&gt;"Submitted",ChangeLog[[#This Row],[Status]]&lt;&gt;"Under Review")),"",MAX(0,StatusDate-ChangeLog[[#This Row],[Raised]]))</f>
        <v/>
      </c>
      <c r="M86" s="52"/>
      <c r="N86" s="30" t="str">
        <f aca="false">IF(N(ChangeLog[[#This Row],[Task UID]])=0,"",IFERROR(INDEX(tsk_Name,MATCH(ChangeLog[[#This Row],[Task UID]],tsk_UID,0)),"UID "&amp;ChangeLog[[#This Row],[Task UID]]&amp;" not found"))</f>
        <v/>
      </c>
    </row>
    <row r="87" customFormat="false" ht="15" hidden="false" customHeight="false" outlineLevel="0" collapsed="false">
      <c r="B87" s="52" t="n">
        <v>83</v>
      </c>
      <c r="C87" s="7"/>
      <c r="D87" s="53"/>
      <c r="E87" s="53"/>
      <c r="F87" s="53"/>
      <c r="G87" s="91"/>
      <c r="H87" s="92"/>
      <c r="I87" s="52"/>
      <c r="J87" s="7"/>
      <c r="K87" s="53"/>
      <c r="L87" s="51" t="str">
        <f aca="false">IF(OR(ChangeLog[[#This Row],[Title]]="",N(ChangeLog[[#This Row],[Raised]])=0,AND(ChangeLog[[#This Row],[Status]]&lt;&gt;"Submitted",ChangeLog[[#This Row],[Status]]&lt;&gt;"Under Review")),"",MAX(0,StatusDate-ChangeLog[[#This Row],[Raised]]))</f>
        <v/>
      </c>
      <c r="M87" s="52"/>
      <c r="N87" s="30" t="str">
        <f aca="false">IF(N(ChangeLog[[#This Row],[Task UID]])=0,"",IFERROR(INDEX(tsk_Name,MATCH(ChangeLog[[#This Row],[Task UID]],tsk_UID,0)),"UID "&amp;ChangeLog[[#This Row],[Task UID]]&amp;" not found"))</f>
        <v/>
      </c>
    </row>
    <row r="88" customFormat="false" ht="15" hidden="false" customHeight="false" outlineLevel="0" collapsed="false">
      <c r="B88" s="52" t="n">
        <v>84</v>
      </c>
      <c r="C88" s="7"/>
      <c r="D88" s="53"/>
      <c r="E88" s="53"/>
      <c r="F88" s="53"/>
      <c r="G88" s="91"/>
      <c r="H88" s="92"/>
      <c r="I88" s="52"/>
      <c r="J88" s="7"/>
      <c r="K88" s="53"/>
      <c r="L88" s="51" t="str">
        <f aca="false">IF(OR(ChangeLog[[#This Row],[Title]]="",N(ChangeLog[[#This Row],[Raised]])=0,AND(ChangeLog[[#This Row],[Status]]&lt;&gt;"Submitted",ChangeLog[[#This Row],[Status]]&lt;&gt;"Under Review")),"",MAX(0,StatusDate-ChangeLog[[#This Row],[Raised]]))</f>
        <v/>
      </c>
      <c r="M88" s="52"/>
      <c r="N88" s="30" t="str">
        <f aca="false">IF(N(ChangeLog[[#This Row],[Task UID]])=0,"",IFERROR(INDEX(tsk_Name,MATCH(ChangeLog[[#This Row],[Task UID]],tsk_UID,0)),"UID "&amp;ChangeLog[[#This Row],[Task UID]]&amp;" not found"))</f>
        <v/>
      </c>
    </row>
    <row r="89" customFormat="false" ht="15" hidden="false" customHeight="false" outlineLevel="0" collapsed="false">
      <c r="B89" s="52" t="n">
        <v>85</v>
      </c>
      <c r="C89" s="7"/>
      <c r="D89" s="53"/>
      <c r="E89" s="53"/>
      <c r="F89" s="53"/>
      <c r="G89" s="91"/>
      <c r="H89" s="92"/>
      <c r="I89" s="52"/>
      <c r="J89" s="7"/>
      <c r="K89" s="53"/>
      <c r="L89" s="51" t="str">
        <f aca="false">IF(OR(ChangeLog[[#This Row],[Title]]="",N(ChangeLog[[#This Row],[Raised]])=0,AND(ChangeLog[[#This Row],[Status]]&lt;&gt;"Submitted",ChangeLog[[#This Row],[Status]]&lt;&gt;"Under Review")),"",MAX(0,StatusDate-ChangeLog[[#This Row],[Raised]]))</f>
        <v/>
      </c>
      <c r="M89" s="52"/>
      <c r="N89" s="30" t="str">
        <f aca="false">IF(N(ChangeLog[[#This Row],[Task UID]])=0,"",IFERROR(INDEX(tsk_Name,MATCH(ChangeLog[[#This Row],[Task UID]],tsk_UID,0)),"UID "&amp;ChangeLog[[#This Row],[Task UID]]&amp;" not found"))</f>
        <v/>
      </c>
    </row>
    <row r="90" customFormat="false" ht="15" hidden="false" customHeight="false" outlineLevel="0" collapsed="false">
      <c r="B90" s="52" t="n">
        <v>86</v>
      </c>
      <c r="C90" s="7"/>
      <c r="D90" s="53"/>
      <c r="E90" s="53"/>
      <c r="F90" s="53"/>
      <c r="G90" s="91"/>
      <c r="H90" s="92"/>
      <c r="I90" s="52"/>
      <c r="J90" s="7"/>
      <c r="K90" s="53"/>
      <c r="L90" s="51" t="str">
        <f aca="false">IF(OR(ChangeLog[[#This Row],[Title]]="",N(ChangeLog[[#This Row],[Raised]])=0,AND(ChangeLog[[#This Row],[Status]]&lt;&gt;"Submitted",ChangeLog[[#This Row],[Status]]&lt;&gt;"Under Review")),"",MAX(0,StatusDate-ChangeLog[[#This Row],[Raised]]))</f>
        <v/>
      </c>
      <c r="M90" s="52"/>
      <c r="N90" s="30" t="str">
        <f aca="false">IF(N(ChangeLog[[#This Row],[Task UID]])=0,"",IFERROR(INDEX(tsk_Name,MATCH(ChangeLog[[#This Row],[Task UID]],tsk_UID,0)),"UID "&amp;ChangeLog[[#This Row],[Task UID]]&amp;" not found"))</f>
        <v/>
      </c>
    </row>
    <row r="91" customFormat="false" ht="15" hidden="false" customHeight="false" outlineLevel="0" collapsed="false">
      <c r="B91" s="52" t="n">
        <v>87</v>
      </c>
      <c r="C91" s="7"/>
      <c r="D91" s="53"/>
      <c r="E91" s="53"/>
      <c r="F91" s="53"/>
      <c r="G91" s="91"/>
      <c r="H91" s="92"/>
      <c r="I91" s="52"/>
      <c r="J91" s="7"/>
      <c r="K91" s="53"/>
      <c r="L91" s="51" t="str">
        <f aca="false">IF(OR(ChangeLog[[#This Row],[Title]]="",N(ChangeLog[[#This Row],[Raised]])=0,AND(ChangeLog[[#This Row],[Status]]&lt;&gt;"Submitted",ChangeLog[[#This Row],[Status]]&lt;&gt;"Under Review")),"",MAX(0,StatusDate-ChangeLog[[#This Row],[Raised]]))</f>
        <v/>
      </c>
      <c r="M91" s="52"/>
      <c r="N91" s="30" t="str">
        <f aca="false">IF(N(ChangeLog[[#This Row],[Task UID]])=0,"",IFERROR(INDEX(tsk_Name,MATCH(ChangeLog[[#This Row],[Task UID]],tsk_UID,0)),"UID "&amp;ChangeLog[[#This Row],[Task UID]]&amp;" not found"))</f>
        <v/>
      </c>
    </row>
    <row r="92" customFormat="false" ht="15" hidden="false" customHeight="false" outlineLevel="0" collapsed="false">
      <c r="B92" s="52" t="n">
        <v>88</v>
      </c>
      <c r="C92" s="7"/>
      <c r="D92" s="53"/>
      <c r="E92" s="53"/>
      <c r="F92" s="53"/>
      <c r="G92" s="91"/>
      <c r="H92" s="92"/>
      <c r="I92" s="52"/>
      <c r="J92" s="7"/>
      <c r="K92" s="53"/>
      <c r="L92" s="51" t="str">
        <f aca="false">IF(OR(ChangeLog[[#This Row],[Title]]="",N(ChangeLog[[#This Row],[Raised]])=0,AND(ChangeLog[[#This Row],[Status]]&lt;&gt;"Submitted",ChangeLog[[#This Row],[Status]]&lt;&gt;"Under Review")),"",MAX(0,StatusDate-ChangeLog[[#This Row],[Raised]]))</f>
        <v/>
      </c>
      <c r="M92" s="52"/>
      <c r="N92" s="30" t="str">
        <f aca="false">IF(N(ChangeLog[[#This Row],[Task UID]])=0,"",IFERROR(INDEX(tsk_Name,MATCH(ChangeLog[[#This Row],[Task UID]],tsk_UID,0)),"UID "&amp;ChangeLog[[#This Row],[Task UID]]&amp;" not found"))</f>
        <v/>
      </c>
    </row>
    <row r="93" customFormat="false" ht="15" hidden="false" customHeight="false" outlineLevel="0" collapsed="false">
      <c r="B93" s="52" t="n">
        <v>89</v>
      </c>
      <c r="C93" s="7"/>
      <c r="D93" s="53"/>
      <c r="E93" s="53"/>
      <c r="F93" s="53"/>
      <c r="G93" s="91"/>
      <c r="H93" s="92"/>
      <c r="I93" s="52"/>
      <c r="J93" s="7"/>
      <c r="K93" s="53"/>
      <c r="L93" s="51" t="str">
        <f aca="false">IF(OR(ChangeLog[[#This Row],[Title]]="",N(ChangeLog[[#This Row],[Raised]])=0,AND(ChangeLog[[#This Row],[Status]]&lt;&gt;"Submitted",ChangeLog[[#This Row],[Status]]&lt;&gt;"Under Review")),"",MAX(0,StatusDate-ChangeLog[[#This Row],[Raised]]))</f>
        <v/>
      </c>
      <c r="M93" s="52"/>
      <c r="N93" s="30" t="str">
        <f aca="false">IF(N(ChangeLog[[#This Row],[Task UID]])=0,"",IFERROR(INDEX(tsk_Name,MATCH(ChangeLog[[#This Row],[Task UID]],tsk_UID,0)),"UID "&amp;ChangeLog[[#This Row],[Task UID]]&amp;" not found"))</f>
        <v/>
      </c>
    </row>
    <row r="94" customFormat="false" ht="15" hidden="false" customHeight="false" outlineLevel="0" collapsed="false">
      <c r="B94" s="52" t="n">
        <v>90</v>
      </c>
      <c r="C94" s="7"/>
      <c r="D94" s="53"/>
      <c r="E94" s="53"/>
      <c r="F94" s="53"/>
      <c r="G94" s="91"/>
      <c r="H94" s="92"/>
      <c r="I94" s="52"/>
      <c r="J94" s="7"/>
      <c r="K94" s="53"/>
      <c r="L94" s="51" t="str">
        <f aca="false">IF(OR(ChangeLog[[#This Row],[Title]]="",N(ChangeLog[[#This Row],[Raised]])=0,AND(ChangeLog[[#This Row],[Status]]&lt;&gt;"Submitted",ChangeLog[[#This Row],[Status]]&lt;&gt;"Under Review")),"",MAX(0,StatusDate-ChangeLog[[#This Row],[Raised]]))</f>
        <v/>
      </c>
      <c r="M94" s="52"/>
      <c r="N94" s="30" t="str">
        <f aca="false">IF(N(ChangeLog[[#This Row],[Task UID]])=0,"",IFERROR(INDEX(tsk_Name,MATCH(ChangeLog[[#This Row],[Task UID]],tsk_UID,0)),"UID "&amp;ChangeLog[[#This Row],[Task UID]]&amp;" not found"))</f>
        <v/>
      </c>
    </row>
    <row r="95" customFormat="false" ht="15" hidden="false" customHeight="false" outlineLevel="0" collapsed="false">
      <c r="B95" s="52" t="n">
        <v>91</v>
      </c>
      <c r="C95" s="7"/>
      <c r="D95" s="53"/>
      <c r="E95" s="53"/>
      <c r="F95" s="53"/>
      <c r="G95" s="91"/>
      <c r="H95" s="92"/>
      <c r="I95" s="52"/>
      <c r="J95" s="7"/>
      <c r="K95" s="53"/>
      <c r="L95" s="51" t="str">
        <f aca="false">IF(OR(ChangeLog[[#This Row],[Title]]="",N(ChangeLog[[#This Row],[Raised]])=0,AND(ChangeLog[[#This Row],[Status]]&lt;&gt;"Submitted",ChangeLog[[#This Row],[Status]]&lt;&gt;"Under Review")),"",MAX(0,StatusDate-ChangeLog[[#This Row],[Raised]]))</f>
        <v/>
      </c>
      <c r="M95" s="52"/>
      <c r="N95" s="30" t="str">
        <f aca="false">IF(N(ChangeLog[[#This Row],[Task UID]])=0,"",IFERROR(INDEX(tsk_Name,MATCH(ChangeLog[[#This Row],[Task UID]],tsk_UID,0)),"UID "&amp;ChangeLog[[#This Row],[Task UID]]&amp;" not found"))</f>
        <v/>
      </c>
    </row>
    <row r="96" customFormat="false" ht="15" hidden="false" customHeight="false" outlineLevel="0" collapsed="false">
      <c r="B96" s="52" t="n">
        <v>92</v>
      </c>
      <c r="C96" s="7"/>
      <c r="D96" s="53"/>
      <c r="E96" s="53"/>
      <c r="F96" s="53"/>
      <c r="G96" s="91"/>
      <c r="H96" s="92"/>
      <c r="I96" s="52"/>
      <c r="J96" s="7"/>
      <c r="K96" s="53"/>
      <c r="L96" s="51" t="str">
        <f aca="false">IF(OR(ChangeLog[[#This Row],[Title]]="",N(ChangeLog[[#This Row],[Raised]])=0,AND(ChangeLog[[#This Row],[Status]]&lt;&gt;"Submitted",ChangeLog[[#This Row],[Status]]&lt;&gt;"Under Review")),"",MAX(0,StatusDate-ChangeLog[[#This Row],[Raised]]))</f>
        <v/>
      </c>
      <c r="M96" s="52"/>
      <c r="N96" s="30" t="str">
        <f aca="false">IF(N(ChangeLog[[#This Row],[Task UID]])=0,"",IFERROR(INDEX(tsk_Name,MATCH(ChangeLog[[#This Row],[Task UID]],tsk_UID,0)),"UID "&amp;ChangeLog[[#This Row],[Task UID]]&amp;" not found"))</f>
        <v/>
      </c>
    </row>
    <row r="97" customFormat="false" ht="15" hidden="false" customHeight="false" outlineLevel="0" collapsed="false">
      <c r="B97" s="52" t="n">
        <v>93</v>
      </c>
      <c r="C97" s="7"/>
      <c r="D97" s="53"/>
      <c r="E97" s="53"/>
      <c r="F97" s="53"/>
      <c r="G97" s="91"/>
      <c r="H97" s="92"/>
      <c r="I97" s="52"/>
      <c r="J97" s="7"/>
      <c r="K97" s="53"/>
      <c r="L97" s="51" t="str">
        <f aca="false">IF(OR(ChangeLog[[#This Row],[Title]]="",N(ChangeLog[[#This Row],[Raised]])=0,AND(ChangeLog[[#This Row],[Status]]&lt;&gt;"Submitted",ChangeLog[[#This Row],[Status]]&lt;&gt;"Under Review")),"",MAX(0,StatusDate-ChangeLog[[#This Row],[Raised]]))</f>
        <v/>
      </c>
      <c r="M97" s="52"/>
      <c r="N97" s="30" t="str">
        <f aca="false">IF(N(ChangeLog[[#This Row],[Task UID]])=0,"",IFERROR(INDEX(tsk_Name,MATCH(ChangeLog[[#This Row],[Task UID]],tsk_UID,0)),"UID "&amp;ChangeLog[[#This Row],[Task UID]]&amp;" not found"))</f>
        <v/>
      </c>
    </row>
    <row r="98" customFormat="false" ht="15" hidden="false" customHeight="false" outlineLevel="0" collapsed="false">
      <c r="B98" s="52" t="n">
        <v>94</v>
      </c>
      <c r="C98" s="7"/>
      <c r="D98" s="53"/>
      <c r="E98" s="53"/>
      <c r="F98" s="53"/>
      <c r="G98" s="91"/>
      <c r="H98" s="92"/>
      <c r="I98" s="52"/>
      <c r="J98" s="7"/>
      <c r="K98" s="53"/>
      <c r="L98" s="51" t="str">
        <f aca="false">IF(OR(ChangeLog[[#This Row],[Title]]="",N(ChangeLog[[#This Row],[Raised]])=0,AND(ChangeLog[[#This Row],[Status]]&lt;&gt;"Submitted",ChangeLog[[#This Row],[Status]]&lt;&gt;"Under Review")),"",MAX(0,StatusDate-ChangeLog[[#This Row],[Raised]]))</f>
        <v/>
      </c>
      <c r="M98" s="52"/>
      <c r="N98" s="30" t="str">
        <f aca="false">IF(N(ChangeLog[[#This Row],[Task UID]])=0,"",IFERROR(INDEX(tsk_Name,MATCH(ChangeLog[[#This Row],[Task UID]],tsk_UID,0)),"UID "&amp;ChangeLog[[#This Row],[Task UID]]&amp;" not found"))</f>
        <v/>
      </c>
    </row>
    <row r="99" customFormat="false" ht="15" hidden="false" customHeight="false" outlineLevel="0" collapsed="false">
      <c r="B99" s="52" t="n">
        <v>95</v>
      </c>
      <c r="C99" s="7"/>
      <c r="D99" s="53"/>
      <c r="E99" s="53"/>
      <c r="F99" s="53"/>
      <c r="G99" s="91"/>
      <c r="H99" s="92"/>
      <c r="I99" s="52"/>
      <c r="J99" s="7"/>
      <c r="K99" s="53"/>
      <c r="L99" s="51" t="str">
        <f aca="false">IF(OR(ChangeLog[[#This Row],[Title]]="",N(ChangeLog[[#This Row],[Raised]])=0,AND(ChangeLog[[#This Row],[Status]]&lt;&gt;"Submitted",ChangeLog[[#This Row],[Status]]&lt;&gt;"Under Review")),"",MAX(0,StatusDate-ChangeLog[[#This Row],[Raised]]))</f>
        <v/>
      </c>
      <c r="M99" s="52"/>
      <c r="N99" s="30" t="str">
        <f aca="false">IF(N(ChangeLog[[#This Row],[Task UID]])=0,"",IFERROR(INDEX(tsk_Name,MATCH(ChangeLog[[#This Row],[Task UID]],tsk_UID,0)),"UID "&amp;ChangeLog[[#This Row],[Task UID]]&amp;" not found"))</f>
        <v/>
      </c>
    </row>
    <row r="100" customFormat="false" ht="15" hidden="false" customHeight="false" outlineLevel="0" collapsed="false">
      <c r="B100" s="52" t="n">
        <v>96</v>
      </c>
      <c r="C100" s="7"/>
      <c r="D100" s="53"/>
      <c r="E100" s="53"/>
      <c r="F100" s="53"/>
      <c r="G100" s="91"/>
      <c r="H100" s="92"/>
      <c r="I100" s="52"/>
      <c r="J100" s="7"/>
      <c r="K100" s="53"/>
      <c r="L100" s="51" t="str">
        <f aca="false">IF(OR(ChangeLog[[#This Row],[Title]]="",N(ChangeLog[[#This Row],[Raised]])=0,AND(ChangeLog[[#This Row],[Status]]&lt;&gt;"Submitted",ChangeLog[[#This Row],[Status]]&lt;&gt;"Under Review")),"",MAX(0,StatusDate-ChangeLog[[#This Row],[Raised]]))</f>
        <v/>
      </c>
      <c r="M100" s="52"/>
      <c r="N100" s="30" t="str">
        <f aca="false">IF(N(ChangeLog[[#This Row],[Task UID]])=0,"",IFERROR(INDEX(tsk_Name,MATCH(ChangeLog[[#This Row],[Task UID]],tsk_UID,0)),"UID "&amp;ChangeLog[[#This Row],[Task UID]]&amp;" not found"))</f>
        <v/>
      </c>
    </row>
    <row r="101" customFormat="false" ht="15" hidden="false" customHeight="false" outlineLevel="0" collapsed="false">
      <c r="B101" s="52" t="n">
        <v>97</v>
      </c>
      <c r="C101" s="7"/>
      <c r="D101" s="53"/>
      <c r="E101" s="53"/>
      <c r="F101" s="53"/>
      <c r="G101" s="91"/>
      <c r="H101" s="92"/>
      <c r="I101" s="52"/>
      <c r="J101" s="7"/>
      <c r="K101" s="53"/>
      <c r="L101" s="51" t="str">
        <f aca="false">IF(OR(ChangeLog[[#This Row],[Title]]="",N(ChangeLog[[#This Row],[Raised]])=0,AND(ChangeLog[[#This Row],[Status]]&lt;&gt;"Submitted",ChangeLog[[#This Row],[Status]]&lt;&gt;"Under Review")),"",MAX(0,StatusDate-ChangeLog[[#This Row],[Raised]]))</f>
        <v/>
      </c>
      <c r="M101" s="52"/>
      <c r="N101" s="30" t="str">
        <f aca="false">IF(N(ChangeLog[[#This Row],[Task UID]])=0,"",IFERROR(INDEX(tsk_Name,MATCH(ChangeLog[[#This Row],[Task UID]],tsk_UID,0)),"UID "&amp;ChangeLog[[#This Row],[Task UID]]&amp;" not found"))</f>
        <v/>
      </c>
    </row>
    <row r="102" customFormat="false" ht="15" hidden="false" customHeight="false" outlineLevel="0" collapsed="false">
      <c r="B102" s="52" t="n">
        <v>98</v>
      </c>
      <c r="C102" s="7"/>
      <c r="D102" s="53"/>
      <c r="E102" s="53"/>
      <c r="F102" s="53"/>
      <c r="G102" s="91"/>
      <c r="H102" s="92"/>
      <c r="I102" s="52"/>
      <c r="J102" s="7"/>
      <c r="K102" s="53"/>
      <c r="L102" s="51" t="str">
        <f aca="false">IF(OR(ChangeLog[[#This Row],[Title]]="",N(ChangeLog[[#This Row],[Raised]])=0,AND(ChangeLog[[#This Row],[Status]]&lt;&gt;"Submitted",ChangeLog[[#This Row],[Status]]&lt;&gt;"Under Review")),"",MAX(0,StatusDate-ChangeLog[[#This Row],[Raised]]))</f>
        <v/>
      </c>
      <c r="M102" s="52"/>
      <c r="N102" s="30" t="str">
        <f aca="false">IF(N(ChangeLog[[#This Row],[Task UID]])=0,"",IFERROR(INDEX(tsk_Name,MATCH(ChangeLog[[#This Row],[Task UID]],tsk_UID,0)),"UID "&amp;ChangeLog[[#This Row],[Task UID]]&amp;" not found"))</f>
        <v/>
      </c>
    </row>
    <row r="103" customFormat="false" ht="15" hidden="false" customHeight="false" outlineLevel="0" collapsed="false">
      <c r="B103" s="52" t="n">
        <v>99</v>
      </c>
      <c r="C103" s="7"/>
      <c r="D103" s="53"/>
      <c r="E103" s="53"/>
      <c r="F103" s="53"/>
      <c r="G103" s="91"/>
      <c r="H103" s="92"/>
      <c r="I103" s="52"/>
      <c r="J103" s="7"/>
      <c r="K103" s="53"/>
      <c r="L103" s="51" t="str">
        <f aca="false">IF(OR(ChangeLog[[#This Row],[Title]]="",N(ChangeLog[[#This Row],[Raised]])=0,AND(ChangeLog[[#This Row],[Status]]&lt;&gt;"Submitted",ChangeLog[[#This Row],[Status]]&lt;&gt;"Under Review")),"",MAX(0,StatusDate-ChangeLog[[#This Row],[Raised]]))</f>
        <v/>
      </c>
      <c r="M103" s="52"/>
      <c r="N103" s="30" t="str">
        <f aca="false">IF(N(ChangeLog[[#This Row],[Task UID]])=0,"",IFERROR(INDEX(tsk_Name,MATCH(ChangeLog[[#This Row],[Task UID]],tsk_UID,0)),"UID "&amp;ChangeLog[[#This Row],[Task UID]]&amp;" not found"))</f>
        <v/>
      </c>
    </row>
    <row r="104" customFormat="false" ht="15" hidden="false" customHeight="false" outlineLevel="0" collapsed="false">
      <c r="B104" s="52" t="n">
        <v>100</v>
      </c>
      <c r="C104" s="7"/>
      <c r="D104" s="53"/>
      <c r="E104" s="53"/>
      <c r="F104" s="53"/>
      <c r="G104" s="91"/>
      <c r="H104" s="92"/>
      <c r="I104" s="52"/>
      <c r="J104" s="7"/>
      <c r="K104" s="53"/>
      <c r="L104" s="51" t="str">
        <f aca="false">IF(OR(ChangeLog[[#This Row],[Title]]="",N(ChangeLog[[#This Row],[Raised]])=0,AND(ChangeLog[[#This Row],[Status]]&lt;&gt;"Submitted",ChangeLog[[#This Row],[Status]]&lt;&gt;"Under Review")),"",MAX(0,StatusDate-ChangeLog[[#This Row],[Raised]]))</f>
        <v/>
      </c>
      <c r="M104" s="52"/>
      <c r="N104" s="30"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3">
      <formula>I5="Approved"</formula>
    </cfRule>
    <cfRule type="expression" priority="3" aboveAverage="0" equalAverage="0" bottom="0" percent="0" rank="0" text="" dxfId="13">
      <formula>I5="Implemented"</formula>
    </cfRule>
    <cfRule type="expression" priority="4" aboveAverage="0" equalAverage="0" bottom="0" percent="0" rank="0" text="" dxfId="36">
      <formula>I5="Rejected"</formula>
    </cfRule>
    <cfRule type="expression" priority="5" aboveAverage="0" equalAverage="0" bottom="0" percent="0" rank="0" text="" dxfId="35">
      <formula>I5="Submitted"</formula>
    </cfRule>
    <cfRule type="expression" priority="6" aboveAverage="0" equalAverage="0" bottom="0" percent="0" rank="0" text="" dxfId="35">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32" t="s">
        <v>331</v>
      </c>
    </row>
    <row r="2" customFormat="false" ht="15" hidden="false" customHeight="false" outlineLevel="0" collapsed="false">
      <c r="A2" s="2" t="s">
        <v>332</v>
      </c>
    </row>
    <row r="4" customFormat="false" ht="23.85" hidden="false" customHeight="false" outlineLevel="0" collapsed="false">
      <c r="B4" s="15" t="s">
        <v>333</v>
      </c>
      <c r="C4" s="15" t="s">
        <v>247</v>
      </c>
      <c r="D4" s="15" t="s">
        <v>155</v>
      </c>
      <c r="E4" s="15" t="s">
        <v>158</v>
      </c>
      <c r="F4" s="15" t="s">
        <v>334</v>
      </c>
      <c r="G4" s="15" t="s">
        <v>335</v>
      </c>
      <c r="H4" s="15" t="s">
        <v>336</v>
      </c>
      <c r="I4" s="15" t="s">
        <v>249</v>
      </c>
      <c r="J4" s="15" t="s">
        <v>250</v>
      </c>
      <c r="K4" s="15" t="s">
        <v>251</v>
      </c>
      <c r="L4" s="15" t="s">
        <v>252</v>
      </c>
      <c r="M4" s="15" t="s">
        <v>253</v>
      </c>
      <c r="N4" s="15" t="s">
        <v>337</v>
      </c>
      <c r="O4" s="15" t="s">
        <v>338</v>
      </c>
      <c r="P4" s="15" t="s">
        <v>339</v>
      </c>
      <c r="Q4" s="15" t="s">
        <v>340</v>
      </c>
      <c r="R4" s="15" t="s">
        <v>341</v>
      </c>
      <c r="S4" s="15" t="s">
        <v>342</v>
      </c>
      <c r="T4" s="15" t="s">
        <v>174</v>
      </c>
    </row>
    <row r="5" customFormat="false" ht="15" hidden="false" customHeight="false" outlineLevel="0" collapsed="false">
      <c r="B5" s="65" t="n">
        <f aca="false">StatusDate</f>
        <v>1</v>
      </c>
      <c r="C5" s="65" t="n">
        <f aca="false">ProjectFinish</f>
        <v>0</v>
      </c>
      <c r="D5" s="65" t="n">
        <f aca="false">PlannedFinish</f>
        <v>0</v>
      </c>
      <c r="E5" s="41" t="n">
        <f aca="false">FinishVarianceDays</f>
        <v>-1</v>
      </c>
      <c r="F5" s="40" t="n">
        <f aca="false">evm_PctEarned</f>
        <v>0</v>
      </c>
      <c r="G5" s="40" t="n">
        <f aca="false">evm_PctPlanned</f>
        <v>0</v>
      </c>
      <c r="H5" s="66" t="n">
        <f aca="false">evm_BAC</f>
        <v>0</v>
      </c>
      <c r="I5" s="66" t="n">
        <f aca="false">evm_PV</f>
        <v>0</v>
      </c>
      <c r="J5" s="66" t="n">
        <f aca="false">evm_EV</f>
        <v>0</v>
      </c>
      <c r="K5" s="66" t="n">
        <f aca="false">evm_AC</f>
        <v>0</v>
      </c>
      <c r="L5" s="67" t="str">
        <f aca="false">evm_SPI</f>
        <v/>
      </c>
      <c r="M5" s="67" t="str">
        <f aca="false">evm_CPI</f>
        <v/>
      </c>
      <c r="N5" s="66" t="n">
        <f aca="false">evm_EAC</f>
        <v>0</v>
      </c>
      <c r="O5" s="70" t="n">
        <f aca="false">agl_Done</f>
        <v>0</v>
      </c>
      <c r="P5" s="70" t="n">
        <f aca="false">TotalPoints</f>
        <v>0</v>
      </c>
      <c r="Q5" s="68" t="n">
        <f aca="false">COUNTIFS(raid_Type,"Risk",raid_Status,"&lt;&gt;Closed")</f>
        <v>0</v>
      </c>
      <c r="R5" s="68" t="n">
        <f aca="false">COUNTIFS(raid_Type,"Issue",raid_Status,"&lt;&gt;Closed")</f>
        <v>0</v>
      </c>
      <c r="S5" s="68" t="n">
        <f aca="false">COUNTIF(chg_Status,"Submitted")+COUNTIF(chg_Status,"Under Review")</f>
        <v>0</v>
      </c>
      <c r="T5" s="93" t="str">
        <f aca="false">ProjectRAG</f>
        <v>Green</v>
      </c>
    </row>
    <row r="7" customFormat="false" ht="15" hidden="false" customHeight="false" outlineLevel="0" collapsed="false">
      <c r="B7" s="36" t="s">
        <v>343</v>
      </c>
    </row>
    <row r="8" customFormat="false" ht="23.85" hidden="false" customHeight="false" outlineLevel="0" collapsed="false">
      <c r="B8" s="50" t="s">
        <v>333</v>
      </c>
      <c r="C8" s="50" t="s">
        <v>247</v>
      </c>
      <c r="D8" s="50" t="s">
        <v>155</v>
      </c>
      <c r="E8" s="50" t="s">
        <v>158</v>
      </c>
      <c r="F8" s="50" t="s">
        <v>334</v>
      </c>
      <c r="G8" s="50" t="s">
        <v>335</v>
      </c>
      <c r="H8" s="50" t="s">
        <v>336</v>
      </c>
      <c r="I8" s="50" t="s">
        <v>249</v>
      </c>
      <c r="J8" s="50" t="s">
        <v>250</v>
      </c>
      <c r="K8" s="50" t="s">
        <v>251</v>
      </c>
      <c r="L8" s="50" t="s">
        <v>252</v>
      </c>
      <c r="M8" s="50" t="s">
        <v>253</v>
      </c>
      <c r="N8" s="50" t="s">
        <v>337</v>
      </c>
      <c r="O8" s="50" t="s">
        <v>338</v>
      </c>
      <c r="P8" s="50" t="s">
        <v>339</v>
      </c>
      <c r="Q8" s="50" t="s">
        <v>340</v>
      </c>
      <c r="R8" s="50" t="s">
        <v>341</v>
      </c>
      <c r="S8" s="50" t="s">
        <v>342</v>
      </c>
      <c r="T8" s="50" t="s">
        <v>174</v>
      </c>
    </row>
    <row r="9" customFormat="false" ht="15" hidden="false" customHeight="false" outlineLevel="0" collapsed="false">
      <c r="B9" s="94"/>
      <c r="C9" s="94"/>
      <c r="D9" s="94"/>
      <c r="E9" s="91"/>
      <c r="F9" s="95"/>
      <c r="G9" s="95"/>
      <c r="H9" s="96"/>
      <c r="I9" s="96"/>
      <c r="J9" s="96"/>
      <c r="K9" s="96"/>
      <c r="L9" s="97"/>
      <c r="M9" s="97"/>
      <c r="N9" s="96"/>
      <c r="O9" s="98"/>
      <c r="P9" s="98"/>
      <c r="Q9" s="99"/>
      <c r="R9" s="99"/>
      <c r="S9" s="99"/>
      <c r="T9" s="100"/>
    </row>
    <row r="10" customFormat="false" ht="15" hidden="false" customHeight="false" outlineLevel="0" collapsed="false">
      <c r="B10" s="94"/>
      <c r="C10" s="94"/>
      <c r="D10" s="94"/>
      <c r="E10" s="91"/>
      <c r="F10" s="95"/>
      <c r="G10" s="95"/>
      <c r="H10" s="96"/>
      <c r="I10" s="96"/>
      <c r="J10" s="96"/>
      <c r="K10" s="96"/>
      <c r="L10" s="97"/>
      <c r="M10" s="97"/>
      <c r="N10" s="96"/>
      <c r="O10" s="98"/>
      <c r="P10" s="98"/>
      <c r="Q10" s="99"/>
      <c r="R10" s="99"/>
      <c r="S10" s="99"/>
      <c r="T10" s="100"/>
    </row>
    <row r="11" customFormat="false" ht="15" hidden="false" customHeight="false" outlineLevel="0" collapsed="false">
      <c r="B11" s="94"/>
      <c r="C11" s="94"/>
      <c r="D11" s="94"/>
      <c r="E11" s="91"/>
      <c r="F11" s="95"/>
      <c r="G11" s="95"/>
      <c r="H11" s="96"/>
      <c r="I11" s="96"/>
      <c r="J11" s="96"/>
      <c r="K11" s="96"/>
      <c r="L11" s="97"/>
      <c r="M11" s="97"/>
      <c r="N11" s="96"/>
      <c r="O11" s="98"/>
      <c r="P11" s="98"/>
      <c r="Q11" s="99"/>
      <c r="R11" s="99"/>
      <c r="S11" s="99"/>
      <c r="T11" s="100"/>
    </row>
    <row r="12" customFormat="false" ht="15" hidden="false" customHeight="false" outlineLevel="0" collapsed="false">
      <c r="B12" s="94"/>
      <c r="C12" s="94"/>
      <c r="D12" s="94"/>
      <c r="E12" s="91"/>
      <c r="F12" s="95"/>
      <c r="G12" s="95"/>
      <c r="H12" s="96"/>
      <c r="I12" s="96"/>
      <c r="J12" s="96"/>
      <c r="K12" s="96"/>
      <c r="L12" s="97"/>
      <c r="M12" s="97"/>
      <c r="N12" s="96"/>
      <c r="O12" s="98"/>
      <c r="P12" s="98"/>
      <c r="Q12" s="99"/>
      <c r="R12" s="99"/>
      <c r="S12" s="99"/>
      <c r="T12" s="100"/>
    </row>
    <row r="13" customFormat="false" ht="15" hidden="false" customHeight="false" outlineLevel="0" collapsed="false">
      <c r="B13" s="94"/>
      <c r="C13" s="94"/>
      <c r="D13" s="94"/>
      <c r="E13" s="91"/>
      <c r="F13" s="95"/>
      <c r="G13" s="95"/>
      <c r="H13" s="96"/>
      <c r="I13" s="96"/>
      <c r="J13" s="96"/>
      <c r="K13" s="96"/>
      <c r="L13" s="97"/>
      <c r="M13" s="97"/>
      <c r="N13" s="96"/>
      <c r="O13" s="98"/>
      <c r="P13" s="98"/>
      <c r="Q13" s="99"/>
      <c r="R13" s="99"/>
      <c r="S13" s="99"/>
      <c r="T13" s="100"/>
    </row>
    <row r="14" customFormat="false" ht="15" hidden="false" customHeight="false" outlineLevel="0" collapsed="false">
      <c r="B14" s="94"/>
      <c r="C14" s="94"/>
      <c r="D14" s="94"/>
      <c r="E14" s="91"/>
      <c r="F14" s="95"/>
      <c r="G14" s="95"/>
      <c r="H14" s="96"/>
      <c r="I14" s="96"/>
      <c r="J14" s="96"/>
      <c r="K14" s="96"/>
      <c r="L14" s="97"/>
      <c r="M14" s="97"/>
      <c r="N14" s="96"/>
      <c r="O14" s="98"/>
      <c r="P14" s="98"/>
      <c r="Q14" s="99"/>
      <c r="R14" s="99"/>
      <c r="S14" s="99"/>
      <c r="T14" s="100"/>
    </row>
    <row r="15" customFormat="false" ht="15" hidden="false" customHeight="false" outlineLevel="0" collapsed="false">
      <c r="B15" s="94"/>
      <c r="C15" s="94"/>
      <c r="D15" s="94"/>
      <c r="E15" s="91"/>
      <c r="F15" s="95"/>
      <c r="G15" s="95"/>
      <c r="H15" s="96"/>
      <c r="I15" s="96"/>
      <c r="J15" s="96"/>
      <c r="K15" s="96"/>
      <c r="L15" s="97"/>
      <c r="M15" s="97"/>
      <c r="N15" s="96"/>
      <c r="O15" s="98"/>
      <c r="P15" s="98"/>
      <c r="Q15" s="99"/>
      <c r="R15" s="99"/>
      <c r="S15" s="99"/>
      <c r="T15" s="100"/>
    </row>
    <row r="16" customFormat="false" ht="15" hidden="false" customHeight="false" outlineLevel="0" collapsed="false">
      <c r="B16" s="94"/>
      <c r="C16" s="94"/>
      <c r="D16" s="94"/>
      <c r="E16" s="91"/>
      <c r="F16" s="95"/>
      <c r="G16" s="95"/>
      <c r="H16" s="96"/>
      <c r="I16" s="96"/>
      <c r="J16" s="96"/>
      <c r="K16" s="96"/>
      <c r="L16" s="97"/>
      <c r="M16" s="97"/>
      <c r="N16" s="96"/>
      <c r="O16" s="98"/>
      <c r="P16" s="98"/>
      <c r="Q16" s="99"/>
      <c r="R16" s="99"/>
      <c r="S16" s="99"/>
      <c r="T16" s="100"/>
    </row>
    <row r="17" customFormat="false" ht="15" hidden="false" customHeight="false" outlineLevel="0" collapsed="false">
      <c r="B17" s="94"/>
      <c r="C17" s="94"/>
      <c r="D17" s="94"/>
      <c r="E17" s="91"/>
      <c r="F17" s="95"/>
      <c r="G17" s="95"/>
      <c r="H17" s="96"/>
      <c r="I17" s="96"/>
      <c r="J17" s="96"/>
      <c r="K17" s="96"/>
      <c r="L17" s="97"/>
      <c r="M17" s="97"/>
      <c r="N17" s="96"/>
      <c r="O17" s="98"/>
      <c r="P17" s="98"/>
      <c r="Q17" s="99"/>
      <c r="R17" s="99"/>
      <c r="S17" s="99"/>
      <c r="T17" s="100"/>
    </row>
    <row r="18" customFormat="false" ht="15" hidden="false" customHeight="false" outlineLevel="0" collapsed="false">
      <c r="B18" s="94"/>
      <c r="C18" s="94"/>
      <c r="D18" s="94"/>
      <c r="E18" s="91"/>
      <c r="F18" s="95"/>
      <c r="G18" s="95"/>
      <c r="H18" s="96"/>
      <c r="I18" s="96"/>
      <c r="J18" s="96"/>
      <c r="K18" s="96"/>
      <c r="L18" s="97"/>
      <c r="M18" s="97"/>
      <c r="N18" s="96"/>
      <c r="O18" s="98"/>
      <c r="P18" s="98"/>
      <c r="Q18" s="99"/>
      <c r="R18" s="99"/>
      <c r="S18" s="99"/>
      <c r="T18" s="100"/>
    </row>
    <row r="19" customFormat="false" ht="15" hidden="false" customHeight="false" outlineLevel="0" collapsed="false">
      <c r="B19" s="94"/>
      <c r="C19" s="94"/>
      <c r="D19" s="94"/>
      <c r="E19" s="91"/>
      <c r="F19" s="95"/>
      <c r="G19" s="95"/>
      <c r="H19" s="96"/>
      <c r="I19" s="96"/>
      <c r="J19" s="96"/>
      <c r="K19" s="96"/>
      <c r="L19" s="97"/>
      <c r="M19" s="97"/>
      <c r="N19" s="96"/>
      <c r="O19" s="98"/>
      <c r="P19" s="98"/>
      <c r="Q19" s="99"/>
      <c r="R19" s="99"/>
      <c r="S19" s="99"/>
      <c r="T19" s="100"/>
    </row>
    <row r="20" customFormat="false" ht="15" hidden="false" customHeight="false" outlineLevel="0" collapsed="false">
      <c r="B20" s="94"/>
      <c r="C20" s="94"/>
      <c r="D20" s="94"/>
      <c r="E20" s="91"/>
      <c r="F20" s="95"/>
      <c r="G20" s="95"/>
      <c r="H20" s="96"/>
      <c r="I20" s="96"/>
      <c r="J20" s="96"/>
      <c r="K20" s="96"/>
      <c r="L20" s="97"/>
      <c r="M20" s="97"/>
      <c r="N20" s="96"/>
      <c r="O20" s="98"/>
      <c r="P20" s="98"/>
      <c r="Q20" s="99"/>
      <c r="R20" s="99"/>
      <c r="S20" s="99"/>
      <c r="T20" s="100"/>
    </row>
    <row r="21" customFormat="false" ht="15" hidden="false" customHeight="false" outlineLevel="0" collapsed="false">
      <c r="B21" s="94"/>
      <c r="C21" s="94"/>
      <c r="D21" s="94"/>
      <c r="E21" s="91"/>
      <c r="F21" s="95"/>
      <c r="G21" s="95"/>
      <c r="H21" s="96"/>
      <c r="I21" s="96"/>
      <c r="J21" s="96"/>
      <c r="K21" s="96"/>
      <c r="L21" s="97"/>
      <c r="M21" s="97"/>
      <c r="N21" s="96"/>
      <c r="O21" s="98"/>
      <c r="P21" s="98"/>
      <c r="Q21" s="99"/>
      <c r="R21" s="99"/>
      <c r="S21" s="99"/>
      <c r="T21" s="100"/>
    </row>
    <row r="22" customFormat="false" ht="15" hidden="false" customHeight="false" outlineLevel="0" collapsed="false">
      <c r="B22" s="94"/>
      <c r="C22" s="94"/>
      <c r="D22" s="94"/>
      <c r="E22" s="91"/>
      <c r="F22" s="95"/>
      <c r="G22" s="95"/>
      <c r="H22" s="96"/>
      <c r="I22" s="96"/>
      <c r="J22" s="96"/>
      <c r="K22" s="96"/>
      <c r="L22" s="97"/>
      <c r="M22" s="97"/>
      <c r="N22" s="96"/>
      <c r="O22" s="98"/>
      <c r="P22" s="98"/>
      <c r="Q22" s="99"/>
      <c r="R22" s="99"/>
      <c r="S22" s="99"/>
      <c r="T22" s="100"/>
    </row>
    <row r="23" customFormat="false" ht="15" hidden="false" customHeight="false" outlineLevel="0" collapsed="false">
      <c r="B23" s="94"/>
      <c r="C23" s="94"/>
      <c r="D23" s="94"/>
      <c r="E23" s="91"/>
      <c r="F23" s="95"/>
      <c r="G23" s="95"/>
      <c r="H23" s="96"/>
      <c r="I23" s="96"/>
      <c r="J23" s="96"/>
      <c r="K23" s="96"/>
      <c r="L23" s="97"/>
      <c r="M23" s="97"/>
      <c r="N23" s="96"/>
      <c r="O23" s="98"/>
      <c r="P23" s="98"/>
      <c r="Q23" s="99"/>
      <c r="R23" s="99"/>
      <c r="S23" s="99"/>
      <c r="T23" s="100"/>
    </row>
    <row r="24" customFormat="false" ht="15" hidden="false" customHeight="false" outlineLevel="0" collapsed="false">
      <c r="B24" s="94"/>
      <c r="C24" s="94"/>
      <c r="D24" s="94"/>
      <c r="E24" s="91"/>
      <c r="F24" s="95"/>
      <c r="G24" s="95"/>
      <c r="H24" s="96"/>
      <c r="I24" s="96"/>
      <c r="J24" s="96"/>
      <c r="K24" s="96"/>
      <c r="L24" s="97"/>
      <c r="M24" s="97"/>
      <c r="N24" s="96"/>
      <c r="O24" s="98"/>
      <c r="P24" s="98"/>
      <c r="Q24" s="99"/>
      <c r="R24" s="99"/>
      <c r="S24" s="99"/>
      <c r="T24" s="100"/>
    </row>
    <row r="25" customFormat="false" ht="15" hidden="false" customHeight="false" outlineLevel="0" collapsed="false">
      <c r="B25" s="94"/>
      <c r="C25" s="94"/>
      <c r="D25" s="94"/>
      <c r="E25" s="91"/>
      <c r="F25" s="95"/>
      <c r="G25" s="95"/>
      <c r="H25" s="96"/>
      <c r="I25" s="96"/>
      <c r="J25" s="96"/>
      <c r="K25" s="96"/>
      <c r="L25" s="97"/>
      <c r="M25" s="97"/>
      <c r="N25" s="96"/>
      <c r="O25" s="98"/>
      <c r="P25" s="98"/>
      <c r="Q25" s="99"/>
      <c r="R25" s="99"/>
      <c r="S25" s="99"/>
      <c r="T25" s="100"/>
    </row>
    <row r="26" customFormat="false" ht="15" hidden="false" customHeight="false" outlineLevel="0" collapsed="false">
      <c r="B26" s="94"/>
      <c r="C26" s="94"/>
      <c r="D26" s="94"/>
      <c r="E26" s="91"/>
      <c r="F26" s="95"/>
      <c r="G26" s="95"/>
      <c r="H26" s="96"/>
      <c r="I26" s="96"/>
      <c r="J26" s="96"/>
      <c r="K26" s="96"/>
      <c r="L26" s="97"/>
      <c r="M26" s="97"/>
      <c r="N26" s="96"/>
      <c r="O26" s="98"/>
      <c r="P26" s="98"/>
      <c r="Q26" s="99"/>
      <c r="R26" s="99"/>
      <c r="S26" s="99"/>
      <c r="T26" s="100"/>
    </row>
    <row r="27" customFormat="false" ht="15" hidden="false" customHeight="false" outlineLevel="0" collapsed="false">
      <c r="B27" s="94"/>
      <c r="C27" s="94"/>
      <c r="D27" s="94"/>
      <c r="E27" s="91"/>
      <c r="F27" s="95"/>
      <c r="G27" s="95"/>
      <c r="H27" s="96"/>
      <c r="I27" s="96"/>
      <c r="J27" s="96"/>
      <c r="K27" s="96"/>
      <c r="L27" s="97"/>
      <c r="M27" s="97"/>
      <c r="N27" s="96"/>
      <c r="O27" s="98"/>
      <c r="P27" s="98"/>
      <c r="Q27" s="99"/>
      <c r="R27" s="99"/>
      <c r="S27" s="99"/>
      <c r="T27" s="100"/>
    </row>
    <row r="28" customFormat="false" ht="15" hidden="false" customHeight="false" outlineLevel="0" collapsed="false">
      <c r="B28" s="94"/>
      <c r="C28" s="94"/>
      <c r="D28" s="94"/>
      <c r="E28" s="91"/>
      <c r="F28" s="95"/>
      <c r="G28" s="95"/>
      <c r="H28" s="96"/>
      <c r="I28" s="96"/>
      <c r="J28" s="96"/>
      <c r="K28" s="96"/>
      <c r="L28" s="97"/>
      <c r="M28" s="97"/>
      <c r="N28" s="96"/>
      <c r="O28" s="98"/>
      <c r="P28" s="98"/>
      <c r="Q28" s="99"/>
      <c r="R28" s="99"/>
      <c r="S28" s="99"/>
      <c r="T28" s="100"/>
    </row>
    <row r="29" customFormat="false" ht="15" hidden="false" customHeight="false" outlineLevel="0" collapsed="false">
      <c r="B29" s="94"/>
      <c r="C29" s="94"/>
      <c r="D29" s="94"/>
      <c r="E29" s="91"/>
      <c r="F29" s="95"/>
      <c r="G29" s="95"/>
      <c r="H29" s="96"/>
      <c r="I29" s="96"/>
      <c r="J29" s="96"/>
      <c r="K29" s="96"/>
      <c r="L29" s="97"/>
      <c r="M29" s="97"/>
      <c r="N29" s="96"/>
      <c r="O29" s="98"/>
      <c r="P29" s="98"/>
      <c r="Q29" s="99"/>
      <c r="R29" s="99"/>
      <c r="S29" s="99"/>
      <c r="T29" s="100"/>
    </row>
    <row r="30" customFormat="false" ht="15" hidden="false" customHeight="false" outlineLevel="0" collapsed="false">
      <c r="B30" s="94"/>
      <c r="C30" s="94"/>
      <c r="D30" s="94"/>
      <c r="E30" s="91"/>
      <c r="F30" s="95"/>
      <c r="G30" s="95"/>
      <c r="H30" s="96"/>
      <c r="I30" s="96"/>
      <c r="J30" s="96"/>
      <c r="K30" s="96"/>
      <c r="L30" s="97"/>
      <c r="M30" s="97"/>
      <c r="N30" s="96"/>
      <c r="O30" s="98"/>
      <c r="P30" s="98"/>
      <c r="Q30" s="99"/>
      <c r="R30" s="99"/>
      <c r="S30" s="99"/>
      <c r="T30" s="100"/>
    </row>
    <row r="31" customFormat="false" ht="15" hidden="false" customHeight="false" outlineLevel="0" collapsed="false">
      <c r="B31" s="94"/>
      <c r="C31" s="94"/>
      <c r="D31" s="94"/>
      <c r="E31" s="91"/>
      <c r="F31" s="95"/>
      <c r="G31" s="95"/>
      <c r="H31" s="96"/>
      <c r="I31" s="96"/>
      <c r="J31" s="96"/>
      <c r="K31" s="96"/>
      <c r="L31" s="97"/>
      <c r="M31" s="97"/>
      <c r="N31" s="96"/>
      <c r="O31" s="98"/>
      <c r="P31" s="98"/>
      <c r="Q31" s="99"/>
      <c r="R31" s="99"/>
      <c r="S31" s="99"/>
      <c r="T31" s="100"/>
    </row>
    <row r="32" customFormat="false" ht="15" hidden="false" customHeight="false" outlineLevel="0" collapsed="false">
      <c r="B32" s="94"/>
      <c r="C32" s="94"/>
      <c r="D32" s="94"/>
      <c r="E32" s="91"/>
      <c r="F32" s="95"/>
      <c r="G32" s="95"/>
      <c r="H32" s="96"/>
      <c r="I32" s="96"/>
      <c r="J32" s="96"/>
      <c r="K32" s="96"/>
      <c r="L32" s="97"/>
      <c r="M32" s="97"/>
      <c r="N32" s="96"/>
      <c r="O32" s="98"/>
      <c r="P32" s="98"/>
      <c r="Q32" s="99"/>
      <c r="R32" s="99"/>
      <c r="S32" s="99"/>
      <c r="T32" s="100"/>
    </row>
    <row r="33" customFormat="false" ht="15" hidden="false" customHeight="false" outlineLevel="0" collapsed="false">
      <c r="B33" s="94"/>
      <c r="C33" s="94"/>
      <c r="D33" s="94"/>
      <c r="E33" s="91"/>
      <c r="F33" s="95"/>
      <c r="G33" s="95"/>
      <c r="H33" s="96"/>
      <c r="I33" s="96"/>
      <c r="J33" s="96"/>
      <c r="K33" s="96"/>
      <c r="L33" s="97"/>
      <c r="M33" s="97"/>
      <c r="N33" s="96"/>
      <c r="O33" s="98"/>
      <c r="P33" s="98"/>
      <c r="Q33" s="99"/>
      <c r="R33" s="99"/>
      <c r="S33" s="99"/>
      <c r="T33" s="100"/>
    </row>
    <row r="34" customFormat="false" ht="15" hidden="false" customHeight="false" outlineLevel="0" collapsed="false">
      <c r="B34" s="94"/>
      <c r="C34" s="94"/>
      <c r="D34" s="94"/>
      <c r="E34" s="91"/>
      <c r="F34" s="95"/>
      <c r="G34" s="95"/>
      <c r="H34" s="96"/>
      <c r="I34" s="96"/>
      <c r="J34" s="96"/>
      <c r="K34" s="96"/>
      <c r="L34" s="97"/>
      <c r="M34" s="97"/>
      <c r="N34" s="96"/>
      <c r="O34" s="98"/>
      <c r="P34" s="98"/>
      <c r="Q34" s="99"/>
      <c r="R34" s="99"/>
      <c r="S34" s="99"/>
      <c r="T34" s="100"/>
    </row>
    <row r="35" customFormat="false" ht="15" hidden="false" customHeight="false" outlineLevel="0" collapsed="false">
      <c r="B35" s="94"/>
      <c r="C35" s="94"/>
      <c r="D35" s="94"/>
      <c r="E35" s="91"/>
      <c r="F35" s="95"/>
      <c r="G35" s="95"/>
      <c r="H35" s="96"/>
      <c r="I35" s="96"/>
      <c r="J35" s="96"/>
      <c r="K35" s="96"/>
      <c r="L35" s="97"/>
      <c r="M35" s="97"/>
      <c r="N35" s="96"/>
      <c r="O35" s="98"/>
      <c r="P35" s="98"/>
      <c r="Q35" s="99"/>
      <c r="R35" s="99"/>
      <c r="S35" s="99"/>
      <c r="T35" s="100"/>
    </row>
    <row r="36" customFormat="false" ht="15" hidden="false" customHeight="false" outlineLevel="0" collapsed="false">
      <c r="B36" s="94"/>
      <c r="C36" s="94"/>
      <c r="D36" s="94"/>
      <c r="E36" s="91"/>
      <c r="F36" s="95"/>
      <c r="G36" s="95"/>
      <c r="H36" s="96"/>
      <c r="I36" s="96"/>
      <c r="J36" s="96"/>
      <c r="K36" s="96"/>
      <c r="L36" s="97"/>
      <c r="M36" s="97"/>
      <c r="N36" s="96"/>
      <c r="O36" s="98"/>
      <c r="P36" s="98"/>
      <c r="Q36" s="99"/>
      <c r="R36" s="99"/>
      <c r="S36" s="99"/>
      <c r="T36" s="100"/>
    </row>
    <row r="37" customFormat="false" ht="15" hidden="false" customHeight="false" outlineLevel="0" collapsed="false">
      <c r="B37" s="94"/>
      <c r="C37" s="94"/>
      <c r="D37" s="94"/>
      <c r="E37" s="91"/>
      <c r="F37" s="95"/>
      <c r="G37" s="95"/>
      <c r="H37" s="96"/>
      <c r="I37" s="96"/>
      <c r="J37" s="96"/>
      <c r="K37" s="96"/>
      <c r="L37" s="97"/>
      <c r="M37" s="97"/>
      <c r="N37" s="96"/>
      <c r="O37" s="98"/>
      <c r="P37" s="98"/>
      <c r="Q37" s="99"/>
      <c r="R37" s="99"/>
      <c r="S37" s="99"/>
      <c r="T37" s="100"/>
    </row>
    <row r="38" customFormat="false" ht="15" hidden="false" customHeight="false" outlineLevel="0" collapsed="false">
      <c r="B38" s="94"/>
      <c r="C38" s="94"/>
      <c r="D38" s="94"/>
      <c r="E38" s="91"/>
      <c r="F38" s="95"/>
      <c r="G38" s="95"/>
      <c r="H38" s="96"/>
      <c r="I38" s="96"/>
      <c r="J38" s="96"/>
      <c r="K38" s="96"/>
      <c r="L38" s="97"/>
      <c r="M38" s="97"/>
      <c r="N38" s="96"/>
      <c r="O38" s="98"/>
      <c r="P38" s="98"/>
      <c r="Q38" s="99"/>
      <c r="R38" s="99"/>
      <c r="S38" s="99"/>
      <c r="T38" s="100"/>
    </row>
    <row r="39" customFormat="false" ht="15" hidden="false" customHeight="false" outlineLevel="0" collapsed="false">
      <c r="B39" s="94"/>
      <c r="C39" s="94"/>
      <c r="D39" s="94"/>
      <c r="E39" s="91"/>
      <c r="F39" s="95"/>
      <c r="G39" s="95"/>
      <c r="H39" s="96"/>
      <c r="I39" s="96"/>
      <c r="J39" s="96"/>
      <c r="K39" s="96"/>
      <c r="L39" s="97"/>
      <c r="M39" s="97"/>
      <c r="N39" s="96"/>
      <c r="O39" s="98"/>
      <c r="P39" s="98"/>
      <c r="Q39" s="99"/>
      <c r="R39" s="99"/>
      <c r="S39" s="99"/>
      <c r="T39" s="100"/>
    </row>
    <row r="40" customFormat="false" ht="15" hidden="false" customHeight="false" outlineLevel="0" collapsed="false">
      <c r="B40" s="94"/>
      <c r="C40" s="94"/>
      <c r="D40" s="94"/>
      <c r="E40" s="91"/>
      <c r="F40" s="95"/>
      <c r="G40" s="95"/>
      <c r="H40" s="96"/>
      <c r="I40" s="96"/>
      <c r="J40" s="96"/>
      <c r="K40" s="96"/>
      <c r="L40" s="97"/>
      <c r="M40" s="97"/>
      <c r="N40" s="96"/>
      <c r="O40" s="98"/>
      <c r="P40" s="98"/>
      <c r="Q40" s="99"/>
      <c r="R40" s="99"/>
      <c r="S40" s="99"/>
      <c r="T40" s="100"/>
    </row>
    <row r="41" customFormat="false" ht="15" hidden="false" customHeight="false" outlineLevel="0" collapsed="false">
      <c r="B41" s="94"/>
      <c r="C41" s="94"/>
      <c r="D41" s="94"/>
      <c r="E41" s="91"/>
      <c r="F41" s="95"/>
      <c r="G41" s="95"/>
      <c r="H41" s="96"/>
      <c r="I41" s="96"/>
      <c r="J41" s="96"/>
      <c r="K41" s="96"/>
      <c r="L41" s="97"/>
      <c r="M41" s="97"/>
      <c r="N41" s="96"/>
      <c r="O41" s="98"/>
      <c r="P41" s="98"/>
      <c r="Q41" s="99"/>
      <c r="R41" s="99"/>
      <c r="S41" s="99"/>
      <c r="T41" s="100"/>
    </row>
    <row r="42" customFormat="false" ht="15" hidden="false" customHeight="false" outlineLevel="0" collapsed="false">
      <c r="B42" s="94"/>
      <c r="C42" s="94"/>
      <c r="D42" s="94"/>
      <c r="E42" s="91"/>
      <c r="F42" s="95"/>
      <c r="G42" s="95"/>
      <c r="H42" s="96"/>
      <c r="I42" s="96"/>
      <c r="J42" s="96"/>
      <c r="K42" s="96"/>
      <c r="L42" s="97"/>
      <c r="M42" s="97"/>
      <c r="N42" s="96"/>
      <c r="O42" s="98"/>
      <c r="P42" s="98"/>
      <c r="Q42" s="99"/>
      <c r="R42" s="99"/>
      <c r="S42" s="99"/>
      <c r="T42" s="100"/>
    </row>
    <row r="43" customFormat="false" ht="15" hidden="false" customHeight="false" outlineLevel="0" collapsed="false">
      <c r="B43" s="94"/>
      <c r="C43" s="94"/>
      <c r="D43" s="94"/>
      <c r="E43" s="91"/>
      <c r="F43" s="95"/>
      <c r="G43" s="95"/>
      <c r="H43" s="96"/>
      <c r="I43" s="96"/>
      <c r="J43" s="96"/>
      <c r="K43" s="96"/>
      <c r="L43" s="97"/>
      <c r="M43" s="97"/>
      <c r="N43" s="96"/>
      <c r="O43" s="98"/>
      <c r="P43" s="98"/>
      <c r="Q43" s="99"/>
      <c r="R43" s="99"/>
      <c r="S43" s="99"/>
      <c r="T43" s="100"/>
    </row>
    <row r="44" customFormat="false" ht="15" hidden="false" customHeight="false" outlineLevel="0" collapsed="false">
      <c r="B44" s="94"/>
      <c r="C44" s="94"/>
      <c r="D44" s="94"/>
      <c r="E44" s="91"/>
      <c r="F44" s="95"/>
      <c r="G44" s="95"/>
      <c r="H44" s="96"/>
      <c r="I44" s="96"/>
      <c r="J44" s="96"/>
      <c r="K44" s="96"/>
      <c r="L44" s="97"/>
      <c r="M44" s="97"/>
      <c r="N44" s="96"/>
      <c r="O44" s="98"/>
      <c r="P44" s="98"/>
      <c r="Q44" s="99"/>
      <c r="R44" s="99"/>
      <c r="S44" s="99"/>
      <c r="T44" s="100"/>
    </row>
    <row r="45" customFormat="false" ht="15" hidden="false" customHeight="false" outlineLevel="0" collapsed="false">
      <c r="B45" s="94"/>
      <c r="C45" s="94"/>
      <c r="D45" s="94"/>
      <c r="E45" s="91"/>
      <c r="F45" s="95"/>
      <c r="G45" s="95"/>
      <c r="H45" s="96"/>
      <c r="I45" s="96"/>
      <c r="J45" s="96"/>
      <c r="K45" s="96"/>
      <c r="L45" s="97"/>
      <c r="M45" s="97"/>
      <c r="N45" s="96"/>
      <c r="O45" s="98"/>
      <c r="P45" s="98"/>
      <c r="Q45" s="99"/>
      <c r="R45" s="99"/>
      <c r="S45" s="99"/>
      <c r="T45" s="100"/>
    </row>
    <row r="46" customFormat="false" ht="15" hidden="false" customHeight="false" outlineLevel="0" collapsed="false">
      <c r="B46" s="94"/>
      <c r="C46" s="94"/>
      <c r="D46" s="94"/>
      <c r="E46" s="91"/>
      <c r="F46" s="95"/>
      <c r="G46" s="95"/>
      <c r="H46" s="96"/>
      <c r="I46" s="96"/>
      <c r="J46" s="96"/>
      <c r="K46" s="96"/>
      <c r="L46" s="97"/>
      <c r="M46" s="97"/>
      <c r="N46" s="96"/>
      <c r="O46" s="98"/>
      <c r="P46" s="98"/>
      <c r="Q46" s="99"/>
      <c r="R46" s="99"/>
      <c r="S46" s="99"/>
      <c r="T46" s="100"/>
    </row>
    <row r="47" customFormat="false" ht="15" hidden="false" customHeight="false" outlineLevel="0" collapsed="false">
      <c r="B47" s="94"/>
      <c r="C47" s="94"/>
      <c r="D47" s="94"/>
      <c r="E47" s="91"/>
      <c r="F47" s="95"/>
      <c r="G47" s="95"/>
      <c r="H47" s="96"/>
      <c r="I47" s="96"/>
      <c r="J47" s="96"/>
      <c r="K47" s="96"/>
      <c r="L47" s="97"/>
      <c r="M47" s="97"/>
      <c r="N47" s="96"/>
      <c r="O47" s="98"/>
      <c r="P47" s="98"/>
      <c r="Q47" s="99"/>
      <c r="R47" s="99"/>
      <c r="S47" s="99"/>
      <c r="T47" s="100"/>
    </row>
    <row r="48" customFormat="false" ht="15" hidden="false" customHeight="false" outlineLevel="0" collapsed="false">
      <c r="B48" s="94"/>
      <c r="C48" s="94"/>
      <c r="D48" s="94"/>
      <c r="E48" s="91"/>
      <c r="F48" s="95"/>
      <c r="G48" s="95"/>
      <c r="H48" s="96"/>
      <c r="I48" s="96"/>
      <c r="J48" s="96"/>
      <c r="K48" s="96"/>
      <c r="L48" s="97"/>
      <c r="M48" s="97"/>
      <c r="N48" s="96"/>
      <c r="O48" s="98"/>
      <c r="P48" s="98"/>
      <c r="Q48" s="99"/>
      <c r="R48" s="99"/>
      <c r="S48" s="99"/>
      <c r="T48" s="100"/>
    </row>
    <row r="49" customFormat="false" ht="15" hidden="false" customHeight="false" outlineLevel="0" collapsed="false">
      <c r="B49" s="94"/>
      <c r="C49" s="94"/>
      <c r="D49" s="94"/>
      <c r="E49" s="91"/>
      <c r="F49" s="95"/>
      <c r="G49" s="95"/>
      <c r="H49" s="96"/>
      <c r="I49" s="96"/>
      <c r="J49" s="96"/>
      <c r="K49" s="96"/>
      <c r="L49" s="97"/>
      <c r="M49" s="97"/>
      <c r="N49" s="96"/>
      <c r="O49" s="98"/>
      <c r="P49" s="98"/>
      <c r="Q49" s="99"/>
      <c r="R49" s="99"/>
      <c r="S49" s="99"/>
      <c r="T49" s="100"/>
    </row>
    <row r="50" customFormat="false" ht="15" hidden="false" customHeight="false" outlineLevel="0" collapsed="false">
      <c r="B50" s="94"/>
      <c r="C50" s="94"/>
      <c r="D50" s="94"/>
      <c r="E50" s="91"/>
      <c r="F50" s="95"/>
      <c r="G50" s="95"/>
      <c r="H50" s="96"/>
      <c r="I50" s="96"/>
      <c r="J50" s="96"/>
      <c r="K50" s="96"/>
      <c r="L50" s="97"/>
      <c r="M50" s="97"/>
      <c r="N50" s="96"/>
      <c r="O50" s="98"/>
      <c r="P50" s="98"/>
      <c r="Q50" s="99"/>
      <c r="R50" s="99"/>
      <c r="S50" s="99"/>
      <c r="T50" s="100"/>
    </row>
    <row r="51" customFormat="false" ht="15" hidden="false" customHeight="false" outlineLevel="0" collapsed="false">
      <c r="B51" s="94"/>
      <c r="C51" s="94"/>
      <c r="D51" s="94"/>
      <c r="E51" s="91"/>
      <c r="F51" s="95"/>
      <c r="G51" s="95"/>
      <c r="H51" s="96"/>
      <c r="I51" s="96"/>
      <c r="J51" s="96"/>
      <c r="K51" s="96"/>
      <c r="L51" s="97"/>
      <c r="M51" s="97"/>
      <c r="N51" s="96"/>
      <c r="O51" s="98"/>
      <c r="P51" s="98"/>
      <c r="Q51" s="99"/>
      <c r="R51" s="99"/>
      <c r="S51" s="99"/>
      <c r="T51" s="100"/>
    </row>
    <row r="52" customFormat="false" ht="15" hidden="false" customHeight="false" outlineLevel="0" collapsed="false">
      <c r="B52" s="94"/>
      <c r="C52" s="94"/>
      <c r="D52" s="94"/>
      <c r="E52" s="91"/>
      <c r="F52" s="95"/>
      <c r="G52" s="95"/>
      <c r="H52" s="96"/>
      <c r="I52" s="96"/>
      <c r="J52" s="96"/>
      <c r="K52" s="96"/>
      <c r="L52" s="97"/>
      <c r="M52" s="97"/>
      <c r="N52" s="96"/>
      <c r="O52" s="98"/>
      <c r="P52" s="98"/>
      <c r="Q52" s="99"/>
      <c r="R52" s="99"/>
      <c r="S52" s="99"/>
      <c r="T52" s="100"/>
    </row>
    <row r="53" customFormat="false" ht="15" hidden="false" customHeight="false" outlineLevel="0" collapsed="false">
      <c r="B53" s="94"/>
      <c r="C53" s="94"/>
      <c r="D53" s="94"/>
      <c r="E53" s="91"/>
      <c r="F53" s="95"/>
      <c r="G53" s="95"/>
      <c r="H53" s="96"/>
      <c r="I53" s="96"/>
      <c r="J53" s="96"/>
      <c r="K53" s="96"/>
      <c r="L53" s="97"/>
      <c r="M53" s="97"/>
      <c r="N53" s="96"/>
      <c r="O53" s="98"/>
      <c r="P53" s="98"/>
      <c r="Q53" s="99"/>
      <c r="R53" s="99"/>
      <c r="S53" s="99"/>
      <c r="T53" s="100"/>
    </row>
    <row r="54" customFormat="false" ht="15" hidden="false" customHeight="false" outlineLevel="0" collapsed="false">
      <c r="B54" s="94"/>
      <c r="C54" s="94"/>
      <c r="D54" s="94"/>
      <c r="E54" s="91"/>
      <c r="F54" s="95"/>
      <c r="G54" s="95"/>
      <c r="H54" s="96"/>
      <c r="I54" s="96"/>
      <c r="J54" s="96"/>
      <c r="K54" s="96"/>
      <c r="L54" s="97"/>
      <c r="M54" s="97"/>
      <c r="N54" s="96"/>
      <c r="O54" s="98"/>
      <c r="P54" s="98"/>
      <c r="Q54" s="99"/>
      <c r="R54" s="99"/>
      <c r="S54" s="99"/>
      <c r="T54" s="100"/>
    </row>
    <row r="55" customFormat="false" ht="15" hidden="false" customHeight="false" outlineLevel="0" collapsed="false">
      <c r="B55" s="94"/>
      <c r="C55" s="94"/>
      <c r="D55" s="94"/>
      <c r="E55" s="91"/>
      <c r="F55" s="95"/>
      <c r="G55" s="95"/>
      <c r="H55" s="96"/>
      <c r="I55" s="96"/>
      <c r="J55" s="96"/>
      <c r="K55" s="96"/>
      <c r="L55" s="97"/>
      <c r="M55" s="97"/>
      <c r="N55" s="96"/>
      <c r="O55" s="98"/>
      <c r="P55" s="98"/>
      <c r="Q55" s="99"/>
      <c r="R55" s="99"/>
      <c r="S55" s="99"/>
      <c r="T55" s="100"/>
    </row>
    <row r="56" customFormat="false" ht="15" hidden="false" customHeight="false" outlineLevel="0" collapsed="false">
      <c r="B56" s="94"/>
      <c r="C56" s="94"/>
      <c r="D56" s="94"/>
      <c r="E56" s="91"/>
      <c r="F56" s="95"/>
      <c r="G56" s="95"/>
      <c r="H56" s="96"/>
      <c r="I56" s="96"/>
      <c r="J56" s="96"/>
      <c r="K56" s="96"/>
      <c r="L56" s="97"/>
      <c r="M56" s="97"/>
      <c r="N56" s="96"/>
      <c r="O56" s="98"/>
      <c r="P56" s="98"/>
      <c r="Q56" s="99"/>
      <c r="R56" s="99"/>
      <c r="S56" s="99"/>
      <c r="T56" s="100"/>
    </row>
    <row r="57" customFormat="false" ht="15" hidden="false" customHeight="false" outlineLevel="0" collapsed="false">
      <c r="B57" s="94"/>
      <c r="C57" s="94"/>
      <c r="D57" s="94"/>
      <c r="E57" s="91"/>
      <c r="F57" s="95"/>
      <c r="G57" s="95"/>
      <c r="H57" s="96"/>
      <c r="I57" s="96"/>
      <c r="J57" s="96"/>
      <c r="K57" s="96"/>
      <c r="L57" s="97"/>
      <c r="M57" s="97"/>
      <c r="N57" s="96"/>
      <c r="O57" s="98"/>
      <c r="P57" s="98"/>
      <c r="Q57" s="99"/>
      <c r="R57" s="99"/>
      <c r="S57" s="99"/>
      <c r="T57" s="100"/>
    </row>
    <row r="58" customFormat="false" ht="15" hidden="false" customHeight="false" outlineLevel="0" collapsed="false">
      <c r="B58" s="94"/>
      <c r="C58" s="94"/>
      <c r="D58" s="94"/>
      <c r="E58" s="91"/>
      <c r="F58" s="95"/>
      <c r="G58" s="95"/>
      <c r="H58" s="96"/>
      <c r="I58" s="96"/>
      <c r="J58" s="96"/>
      <c r="K58" s="96"/>
      <c r="L58" s="97"/>
      <c r="M58" s="97"/>
      <c r="N58" s="96"/>
      <c r="O58" s="98"/>
      <c r="P58" s="98"/>
      <c r="Q58" s="99"/>
      <c r="R58" s="99"/>
      <c r="S58" s="99"/>
      <c r="T58" s="100"/>
    </row>
    <row r="59" customFormat="false" ht="15" hidden="false" customHeight="false" outlineLevel="0" collapsed="false">
      <c r="B59" s="94"/>
      <c r="C59" s="94"/>
      <c r="D59" s="94"/>
      <c r="E59" s="91"/>
      <c r="F59" s="95"/>
      <c r="G59" s="95"/>
      <c r="H59" s="96"/>
      <c r="I59" s="96"/>
      <c r="J59" s="96"/>
      <c r="K59" s="96"/>
      <c r="L59" s="97"/>
      <c r="M59" s="97"/>
      <c r="N59" s="96"/>
      <c r="O59" s="98"/>
      <c r="P59" s="98"/>
      <c r="Q59" s="99"/>
      <c r="R59" s="99"/>
      <c r="S59" s="99"/>
      <c r="T59" s="100"/>
    </row>
    <row r="60" customFormat="false" ht="15" hidden="false" customHeight="false" outlineLevel="0" collapsed="false">
      <c r="B60" s="94"/>
      <c r="C60" s="94"/>
      <c r="D60" s="94"/>
      <c r="E60" s="91"/>
      <c r="F60" s="95"/>
      <c r="G60" s="95"/>
      <c r="H60" s="96"/>
      <c r="I60" s="96"/>
      <c r="J60" s="96"/>
      <c r="K60" s="96"/>
      <c r="L60" s="97"/>
      <c r="M60" s="97"/>
      <c r="N60" s="96"/>
      <c r="O60" s="98"/>
      <c r="P60" s="98"/>
      <c r="Q60" s="99"/>
      <c r="R60" s="99"/>
      <c r="S60" s="99"/>
      <c r="T60" s="100"/>
    </row>
    <row r="61" customFormat="false" ht="15" hidden="false" customHeight="false" outlineLevel="0" collapsed="false">
      <c r="B61" s="94"/>
      <c r="C61" s="94"/>
      <c r="D61" s="94"/>
      <c r="E61" s="91"/>
      <c r="F61" s="95"/>
      <c r="G61" s="95"/>
      <c r="H61" s="96"/>
      <c r="I61" s="96"/>
      <c r="J61" s="96"/>
      <c r="K61" s="96"/>
      <c r="L61" s="97"/>
      <c r="M61" s="97"/>
      <c r="N61" s="96"/>
      <c r="O61" s="98"/>
      <c r="P61" s="98"/>
      <c r="Q61" s="99"/>
      <c r="R61" s="99"/>
      <c r="S61" s="99"/>
      <c r="T61" s="100"/>
    </row>
    <row r="62" customFormat="false" ht="15" hidden="false" customHeight="false" outlineLevel="0" collapsed="false">
      <c r="B62" s="94"/>
      <c r="C62" s="94"/>
      <c r="D62" s="94"/>
      <c r="E62" s="91"/>
      <c r="F62" s="95"/>
      <c r="G62" s="95"/>
      <c r="H62" s="96"/>
      <c r="I62" s="96"/>
      <c r="J62" s="96"/>
      <c r="K62" s="96"/>
      <c r="L62" s="97"/>
      <c r="M62" s="97"/>
      <c r="N62" s="96"/>
      <c r="O62" s="98"/>
      <c r="P62" s="98"/>
      <c r="Q62" s="99"/>
      <c r="R62" s="99"/>
      <c r="S62" s="99"/>
      <c r="T62" s="100"/>
    </row>
    <row r="63" customFormat="false" ht="15" hidden="false" customHeight="false" outlineLevel="0" collapsed="false">
      <c r="B63" s="94"/>
      <c r="C63" s="94"/>
      <c r="D63" s="94"/>
      <c r="E63" s="91"/>
      <c r="F63" s="95"/>
      <c r="G63" s="95"/>
      <c r="H63" s="96"/>
      <c r="I63" s="96"/>
      <c r="J63" s="96"/>
      <c r="K63" s="96"/>
      <c r="L63" s="97"/>
      <c r="M63" s="97"/>
      <c r="N63" s="96"/>
      <c r="O63" s="98"/>
      <c r="P63" s="98"/>
      <c r="Q63" s="99"/>
      <c r="R63" s="99"/>
      <c r="S63" s="99"/>
      <c r="T63" s="100"/>
    </row>
    <row r="64" customFormat="false" ht="15" hidden="false" customHeight="false" outlineLevel="0" collapsed="false">
      <c r="B64" s="94"/>
      <c r="C64" s="94"/>
      <c r="D64" s="94"/>
      <c r="E64" s="91"/>
      <c r="F64" s="95"/>
      <c r="G64" s="95"/>
      <c r="H64" s="96"/>
      <c r="I64" s="96"/>
      <c r="J64" s="96"/>
      <c r="K64" s="96"/>
      <c r="L64" s="97"/>
      <c r="M64" s="97"/>
      <c r="N64" s="96"/>
      <c r="O64" s="98"/>
      <c r="P64" s="98"/>
      <c r="Q64" s="99"/>
      <c r="R64" s="99"/>
      <c r="S64" s="99"/>
      <c r="T64" s="100"/>
    </row>
    <row r="65" customFormat="false" ht="15" hidden="false" customHeight="false" outlineLevel="0" collapsed="false">
      <c r="B65" s="94"/>
      <c r="C65" s="94"/>
      <c r="D65" s="94"/>
      <c r="E65" s="91"/>
      <c r="F65" s="95"/>
      <c r="G65" s="95"/>
      <c r="H65" s="96"/>
      <c r="I65" s="96"/>
      <c r="J65" s="96"/>
      <c r="K65" s="96"/>
      <c r="L65" s="97"/>
      <c r="M65" s="97"/>
      <c r="N65" s="96"/>
      <c r="O65" s="98"/>
      <c r="P65" s="98"/>
      <c r="Q65" s="99"/>
      <c r="R65" s="99"/>
      <c r="S65" s="99"/>
      <c r="T65" s="100"/>
    </row>
    <row r="66" customFormat="false" ht="15" hidden="false" customHeight="false" outlineLevel="0" collapsed="false">
      <c r="B66" s="94"/>
      <c r="C66" s="94"/>
      <c r="D66" s="94"/>
      <c r="E66" s="91"/>
      <c r="F66" s="95"/>
      <c r="G66" s="95"/>
      <c r="H66" s="96"/>
      <c r="I66" s="96"/>
      <c r="J66" s="96"/>
      <c r="K66" s="96"/>
      <c r="L66" s="97"/>
      <c r="M66" s="97"/>
      <c r="N66" s="96"/>
      <c r="O66" s="98"/>
      <c r="P66" s="98"/>
      <c r="Q66" s="99"/>
      <c r="R66" s="99"/>
      <c r="S66" s="99"/>
      <c r="T66" s="100"/>
    </row>
    <row r="67" customFormat="false" ht="15" hidden="false" customHeight="false" outlineLevel="0" collapsed="false">
      <c r="B67" s="94"/>
      <c r="C67" s="94"/>
      <c r="D67" s="94"/>
      <c r="E67" s="91"/>
      <c r="F67" s="95"/>
      <c r="G67" s="95"/>
      <c r="H67" s="96"/>
      <c r="I67" s="96"/>
      <c r="J67" s="96"/>
      <c r="K67" s="96"/>
      <c r="L67" s="97"/>
      <c r="M67" s="97"/>
      <c r="N67" s="96"/>
      <c r="O67" s="98"/>
      <c r="P67" s="98"/>
      <c r="Q67" s="99"/>
      <c r="R67" s="99"/>
      <c r="S67" s="99"/>
      <c r="T67" s="100"/>
    </row>
    <row r="68" customFormat="false" ht="15" hidden="false" customHeight="false" outlineLevel="0" collapsed="false">
      <c r="B68" s="94"/>
      <c r="C68" s="94"/>
      <c r="D68" s="94"/>
      <c r="E68" s="91"/>
      <c r="F68" s="95"/>
      <c r="G68" s="95"/>
      <c r="H68" s="96"/>
      <c r="I68" s="96"/>
      <c r="J68" s="96"/>
      <c r="K68" s="96"/>
      <c r="L68" s="97"/>
      <c r="M68" s="97"/>
      <c r="N68" s="96"/>
      <c r="O68" s="98"/>
      <c r="P68" s="98"/>
      <c r="Q68" s="99"/>
      <c r="R68" s="99"/>
      <c r="S68" s="99"/>
      <c r="T68" s="10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32" t="s">
        <v>344</v>
      </c>
    </row>
    <row r="2" customFormat="false" ht="15" hidden="false" customHeight="false" outlineLevel="0" collapsed="false">
      <c r="A2" s="2" t="s">
        <v>345</v>
      </c>
    </row>
    <row r="4" customFormat="false" ht="15" hidden="false" customHeight="false" outlineLevel="0" collapsed="false">
      <c r="B4" s="15" t="s">
        <v>346</v>
      </c>
      <c r="C4" s="15" t="s">
        <v>119</v>
      </c>
      <c r="D4" s="15" t="s">
        <v>347</v>
      </c>
      <c r="E4" s="15" t="s">
        <v>240</v>
      </c>
    </row>
    <row r="5" customFormat="false" ht="15" hidden="false" customHeight="false" outlineLevel="0" collapsed="false">
      <c r="B5" s="83" t="s">
        <v>348</v>
      </c>
      <c r="C5" s="31" t="n">
        <f aca="false">MAX(1,N(ProjectStartDate))</f>
        <v>1</v>
      </c>
      <c r="D5" s="101" t="s">
        <v>349</v>
      </c>
      <c r="E5" s="2" t="s">
        <v>350</v>
      </c>
    </row>
    <row r="6" customFormat="false" ht="15" hidden="false" customHeight="false" outlineLevel="0" collapsed="false">
      <c r="B6" s="83" t="s">
        <v>351</v>
      </c>
      <c r="C6" s="31" t="n">
        <f aca="false">IF(N(StatusDateInput)&gt;0,StatusDateInput,ProjectStart)</f>
        <v>1</v>
      </c>
      <c r="D6" s="101" t="s">
        <v>352</v>
      </c>
      <c r="E6" s="2" t="s">
        <v>353</v>
      </c>
    </row>
    <row r="7" customFormat="false" ht="15" hidden="false" customHeight="false" outlineLevel="0" collapsed="false">
      <c r="B7" s="83" t="s">
        <v>354</v>
      </c>
      <c r="C7" s="31" t="n">
        <f aca="false">WORKDAY.INTL(StatusDate-1,1,WorkWeek,Holidays)</f>
        <v>2</v>
      </c>
      <c r="D7" s="101" t="s">
        <v>355</v>
      </c>
      <c r="E7" s="2"/>
    </row>
    <row r="8" customFormat="false" ht="15" hidden="false" customHeight="false" outlineLevel="0" collapsed="false">
      <c r="B8" s="83" t="s">
        <v>356</v>
      </c>
      <c r="C8" s="6" t="s">
        <v>357</v>
      </c>
      <c r="D8" s="101" t="s">
        <v>358</v>
      </c>
      <c r="E8" s="2" t="s">
        <v>359</v>
      </c>
    </row>
    <row r="9" customFormat="false" ht="15" hidden="false" customHeight="false" outlineLevel="0" collapsed="false">
      <c r="B9" s="83" t="s">
        <v>360</v>
      </c>
      <c r="C9" s="102" t="n">
        <v>1</v>
      </c>
      <c r="D9" s="101" t="s">
        <v>361</v>
      </c>
      <c r="E9" s="2" t="s">
        <v>362</v>
      </c>
    </row>
    <row r="10" customFormat="false" ht="15" hidden="false" customHeight="false" outlineLevel="0" collapsed="false">
      <c r="B10" s="83" t="s">
        <v>363</v>
      </c>
      <c r="C10" s="6" t="s">
        <v>357</v>
      </c>
      <c r="D10" s="101" t="s">
        <v>364</v>
      </c>
      <c r="E10" s="2" t="s">
        <v>365</v>
      </c>
    </row>
    <row r="11" customFormat="false" ht="15" hidden="false" customHeight="false" outlineLevel="0" collapsed="false">
      <c r="B11" s="83" t="s">
        <v>366</v>
      </c>
      <c r="C11" s="6" t="s">
        <v>357</v>
      </c>
      <c r="D11" s="101" t="s">
        <v>367</v>
      </c>
      <c r="E11" s="2"/>
    </row>
    <row r="12" customFormat="false" ht="15" hidden="false" customHeight="false" outlineLevel="0" collapsed="false">
      <c r="B12" s="83" t="s">
        <v>368</v>
      </c>
      <c r="C12" s="6" t="s">
        <v>357</v>
      </c>
      <c r="D12" s="101" t="s">
        <v>369</v>
      </c>
      <c r="E12" s="2"/>
    </row>
    <row r="13" customFormat="false" ht="15" hidden="false" customHeight="false" outlineLevel="0" collapsed="false">
      <c r="B13" s="83" t="s">
        <v>370</v>
      </c>
      <c r="C13" s="6" t="s">
        <v>357</v>
      </c>
      <c r="D13" s="101" t="s">
        <v>371</v>
      </c>
      <c r="E13" s="2"/>
    </row>
    <row r="14" customFormat="false" ht="15" hidden="false" customHeight="false" outlineLevel="0" collapsed="false">
      <c r="B14" s="83" t="s">
        <v>372</v>
      </c>
      <c r="C14" s="6" t="s">
        <v>357</v>
      </c>
      <c r="D14" s="101" t="s">
        <v>373</v>
      </c>
      <c r="E14" s="2"/>
    </row>
    <row r="15" customFormat="false" ht="15" hidden="false" customHeight="false" outlineLevel="0" collapsed="false">
      <c r="B15" s="83" t="s">
        <v>374</v>
      </c>
      <c r="C15" s="6" t="s">
        <v>375</v>
      </c>
      <c r="D15" s="101" t="s">
        <v>376</v>
      </c>
      <c r="E15" s="2"/>
    </row>
    <row r="16" customFormat="false" ht="15" hidden="false" customHeight="false" outlineLevel="0" collapsed="false">
      <c r="B16" s="83" t="s">
        <v>377</v>
      </c>
      <c r="C16" s="6" t="s">
        <v>375</v>
      </c>
      <c r="D16" s="101" t="s">
        <v>378</v>
      </c>
      <c r="E16" s="2"/>
    </row>
    <row r="17" customFormat="false" ht="15" hidden="false" customHeight="false" outlineLevel="0" collapsed="false">
      <c r="B17" s="83" t="s">
        <v>379</v>
      </c>
      <c r="C17" s="103" t="str">
        <f aca="false">IF(WorkingWeek="Mon-Fri","0000011",IF(WorkingWeek="Sun-Thu","0000110",IF(WorkingWeek="Mon-Sat","0000001",IF(WorkMon="Yes","0","1")&amp;IF(WorkTue="Yes","0","1")&amp;IF(WorkWed="Yes","0","1")&amp;IF(WorkThu="Yes","0","1")&amp;IF(WorkFri="Yes","0","1")&amp;IF(WorkSat="Yes","0","1")&amp;IF(WorkSun="Yes","0","1"))))</f>
        <v>0000011</v>
      </c>
      <c r="D17" s="101" t="s">
        <v>380</v>
      </c>
      <c r="E17" s="2" t="s">
        <v>381</v>
      </c>
    </row>
    <row r="18" customFormat="false" ht="15" hidden="false" customHeight="false" outlineLevel="0" collapsed="false">
      <c r="B18" s="83" t="s">
        <v>382</v>
      </c>
      <c r="C18" s="7" t="n">
        <f aca="false">ProjectStart-WEEKDAY(ProjectStart,3)</f>
        <v>-5</v>
      </c>
      <c r="D18" s="101" t="s">
        <v>383</v>
      </c>
      <c r="E18" s="2" t="s">
        <v>384</v>
      </c>
    </row>
    <row r="19" customFormat="false" ht="15" hidden="false" customHeight="false" outlineLevel="0" collapsed="false">
      <c r="B19" s="83" t="s">
        <v>385</v>
      </c>
      <c r="C19" s="104" t="n">
        <v>1</v>
      </c>
      <c r="D19" s="101" t="s">
        <v>386</v>
      </c>
      <c r="E19" s="2" t="s">
        <v>387</v>
      </c>
    </row>
    <row r="20" customFormat="false" ht="15" hidden="false" customHeight="false" outlineLevel="0" collapsed="false">
      <c r="B20" s="83" t="s">
        <v>388</v>
      </c>
      <c r="C20" s="104" t="n">
        <v>9</v>
      </c>
      <c r="D20" s="101" t="s">
        <v>389</v>
      </c>
      <c r="E20" s="2" t="s">
        <v>390</v>
      </c>
    </row>
    <row r="21" customFormat="false" ht="15" hidden="false" customHeight="false" outlineLevel="0" collapsed="false">
      <c r="B21" s="83" t="s">
        <v>391</v>
      </c>
      <c r="C21" s="105" t="n">
        <f aca="false">DATE(YEAR(ProjectStart),MONTH(ProjectStart),1)</f>
        <v>-29</v>
      </c>
      <c r="D21" s="101" t="s">
        <v>392</v>
      </c>
      <c r="E21" s="2" t="s">
        <v>393</v>
      </c>
    </row>
    <row r="22" customFormat="false" ht="15" hidden="false" customHeight="false" outlineLevel="0" collapsed="false">
      <c r="B22" s="83" t="s">
        <v>394</v>
      </c>
      <c r="C22" s="7" t="n">
        <f aca="false">ProjectStart</f>
        <v>1</v>
      </c>
      <c r="D22" s="101" t="s">
        <v>395</v>
      </c>
      <c r="E22" s="2" t="s">
        <v>396</v>
      </c>
    </row>
    <row r="23" customFormat="false" ht="15" hidden="false" customHeight="false" outlineLevel="0" collapsed="false">
      <c r="B23" s="83" t="s">
        <v>397</v>
      </c>
      <c r="C23" s="104" t="n">
        <v>14</v>
      </c>
      <c r="D23" s="101" t="s">
        <v>398</v>
      </c>
      <c r="E23" s="2" t="s">
        <v>399</v>
      </c>
    </row>
    <row r="24" customFormat="false" ht="15" hidden="false" customHeight="false" outlineLevel="0" collapsed="false">
      <c r="B24" s="83" t="s">
        <v>400</v>
      </c>
      <c r="C24" s="104" t="n">
        <v>12</v>
      </c>
      <c r="D24" s="101" t="s">
        <v>401</v>
      </c>
      <c r="E24" s="2" t="s">
        <v>402</v>
      </c>
    </row>
    <row r="25" customFormat="false" ht="15" hidden="false" customHeight="false" outlineLevel="0" collapsed="false">
      <c r="B25" s="83" t="s">
        <v>403</v>
      </c>
      <c r="C25" s="6" t="s">
        <v>404</v>
      </c>
      <c r="D25" s="101" t="s">
        <v>405</v>
      </c>
      <c r="E25" s="2" t="s">
        <v>406</v>
      </c>
    </row>
    <row r="26" customFormat="false" ht="15" hidden="false" customHeight="false" outlineLevel="0" collapsed="false">
      <c r="B26" s="83" t="s">
        <v>407</v>
      </c>
      <c r="C26" s="31" t="n">
        <f aca="false">INDEX(spr_End,SprintCount)</f>
        <v>168</v>
      </c>
      <c r="D26" s="101" t="s">
        <v>408</v>
      </c>
      <c r="E26" s="2"/>
    </row>
    <row r="27" customFormat="false" ht="15" hidden="false" customHeight="false" outlineLevel="0" collapsed="false">
      <c r="B27" s="83" t="s">
        <v>409</v>
      </c>
      <c r="C27" s="103" t="str">
        <f aca="false">IF(OR(StatusDate&lt;Sprint1Start,StatusDate&gt;SprintLastEnd),"",INDEX(spr_Name,MATCH(StatusDate,spr_Start,1)))</f>
        <v>Sprint 1</v>
      </c>
      <c r="D27" s="101" t="s">
        <v>410</v>
      </c>
      <c r="E27" s="2" t="s">
        <v>411</v>
      </c>
    </row>
    <row r="28" customFormat="false" ht="15" hidden="false" customHeight="false" outlineLevel="0" collapsed="false">
      <c r="B28" s="83" t="s">
        <v>412</v>
      </c>
      <c r="C28" s="31" t="n">
        <f aca="false">IF(CurrentSprint="","",INDEX(spr_Start,MATCH(CurrentSprint,spr_Name,0)))</f>
        <v>1</v>
      </c>
      <c r="D28" s="101" t="s">
        <v>413</v>
      </c>
      <c r="E28" s="2"/>
    </row>
    <row r="29" customFormat="false" ht="15" hidden="false" customHeight="false" outlineLevel="0" collapsed="false">
      <c r="B29" s="83" t="s">
        <v>414</v>
      </c>
      <c r="C29" s="31" t="n">
        <f aca="false">IF(CurrentSprint="","",INDEX(spr_End,MATCH(CurrentSprint,spr_Name,0)))</f>
        <v>14</v>
      </c>
      <c r="D29" s="101" t="s">
        <v>415</v>
      </c>
      <c r="E29" s="2"/>
    </row>
    <row r="30" customFormat="false" ht="15" hidden="false" customHeight="false" outlineLevel="0" collapsed="false">
      <c r="B30" s="83" t="s">
        <v>416</v>
      </c>
      <c r="C30" s="89" t="n">
        <f aca="false">SUM(tsk_LeafPoints)</f>
        <v>0</v>
      </c>
      <c r="D30" s="101" t="s">
        <v>417</v>
      </c>
      <c r="E30" s="2" t="s">
        <v>418</v>
      </c>
    </row>
    <row r="31" customFormat="false" ht="15" hidden="false" customHeight="false" outlineLevel="0" collapsed="false">
      <c r="B31" s="83" t="s">
        <v>419</v>
      </c>
      <c r="C31" s="104" t="n">
        <v>0</v>
      </c>
      <c r="D31" s="101" t="s">
        <v>420</v>
      </c>
      <c r="E31" s="2" t="s">
        <v>421</v>
      </c>
    </row>
    <row r="32" customFormat="false" ht="15" hidden="false" customHeight="false" outlineLevel="0" collapsed="false">
      <c r="B32" s="83" t="s">
        <v>422</v>
      </c>
      <c r="C32" s="31" t="n">
        <f aca="false">MAX(tsk_LeafFcstFinish)</f>
        <v>0</v>
      </c>
      <c r="D32" s="101" t="s">
        <v>423</v>
      </c>
      <c r="E32" s="2" t="s">
        <v>424</v>
      </c>
    </row>
    <row r="33" customFormat="false" ht="15" hidden="false" customHeight="false" outlineLevel="0" collapsed="false">
      <c r="B33" s="83" t="s">
        <v>425</v>
      </c>
      <c r="C33" s="31" t="n">
        <f aca="false">MAX(tsk_PlanFinish)</f>
        <v>0</v>
      </c>
      <c r="D33" s="101" t="s">
        <v>426</v>
      </c>
      <c r="E33" s="2" t="s">
        <v>427</v>
      </c>
    </row>
    <row r="34" customFormat="false" ht="15" hidden="false" customHeight="false" outlineLevel="0" collapsed="false">
      <c r="B34" s="83" t="s">
        <v>428</v>
      </c>
      <c r="C34" s="106" t="n">
        <f aca="false">IF(ProjectFinish&gt;=PlannedFinish,NETWORKDAYS.INTL(PlannedFinish,ProjectFinish,WorkWeek,Holidays)-1,1-NETWORKDAYS.INTL(ProjectFinish,PlannedFinish,WorkWeek,Holidays))</f>
        <v>-1</v>
      </c>
      <c r="D34" s="101" t="s">
        <v>429</v>
      </c>
      <c r="E34" s="2" t="s">
        <v>430</v>
      </c>
    </row>
    <row r="35" customFormat="false" ht="15" hidden="false" customHeight="false" outlineLevel="0" collapsed="false">
      <c r="B35" s="83" t="s">
        <v>431</v>
      </c>
      <c r="C35" s="104" t="n">
        <v>10</v>
      </c>
      <c r="D35" s="101" t="s">
        <v>432</v>
      </c>
      <c r="E35" s="2" t="s">
        <v>433</v>
      </c>
    </row>
    <row r="36" customFormat="false" ht="15" hidden="false" customHeight="false" outlineLevel="0" collapsed="false">
      <c r="B36" s="83" t="s">
        <v>434</v>
      </c>
      <c r="C36" s="31" t="n">
        <f aca="false">WORKDAY.INTL(StatusDate-1,LookaheadDays,WorkWeek,Holidays)</f>
        <v>13</v>
      </c>
      <c r="D36" s="101" t="s">
        <v>435</v>
      </c>
      <c r="E36" s="2"/>
    </row>
    <row r="37" customFormat="false" ht="15" hidden="false" customHeight="false" outlineLevel="0" collapsed="false">
      <c r="B37" s="83" t="s">
        <v>436</v>
      </c>
      <c r="C37" s="104" t="n">
        <v>3</v>
      </c>
      <c r="D37" s="101" t="s">
        <v>437</v>
      </c>
      <c r="E37" s="2" t="s">
        <v>438</v>
      </c>
    </row>
    <row r="38" customFormat="false" ht="15" hidden="false" customHeight="false" outlineLevel="0" collapsed="false">
      <c r="B38" s="83" t="s">
        <v>439</v>
      </c>
      <c r="C38" s="104" t="n">
        <v>10</v>
      </c>
      <c r="D38" s="101" t="s">
        <v>440</v>
      </c>
      <c r="E38" s="2"/>
    </row>
    <row r="39" customFormat="false" ht="15" hidden="false" customHeight="false" outlineLevel="0" collapsed="false">
      <c r="B39" s="83" t="s">
        <v>441</v>
      </c>
      <c r="C39" s="107" t="n">
        <v>0.95</v>
      </c>
      <c r="D39" s="101" t="s">
        <v>442</v>
      </c>
      <c r="E39" s="2" t="s">
        <v>443</v>
      </c>
    </row>
    <row r="40" customFormat="false" ht="15" hidden="false" customHeight="false" outlineLevel="0" collapsed="false">
      <c r="B40" s="83" t="s">
        <v>444</v>
      </c>
      <c r="C40" s="107" t="n">
        <v>0.85</v>
      </c>
      <c r="D40" s="101" t="s">
        <v>445</v>
      </c>
      <c r="E40" s="2"/>
    </row>
    <row r="41" customFormat="false" ht="15" hidden="false" customHeight="false" outlineLevel="0" collapsed="false">
      <c r="B41" s="83" t="s">
        <v>446</v>
      </c>
      <c r="C41" s="104" t="n">
        <v>15</v>
      </c>
      <c r="D41" s="101" t="s">
        <v>447</v>
      </c>
      <c r="E41" s="2" t="s">
        <v>448</v>
      </c>
    </row>
    <row r="42" customFormat="false" ht="15" hidden="false" customHeight="false" outlineLevel="0" collapsed="false">
      <c r="B42" s="83" t="s">
        <v>449</v>
      </c>
      <c r="C42" s="104" t="n">
        <v>8</v>
      </c>
      <c r="D42" s="101" t="s">
        <v>450</v>
      </c>
      <c r="E42" s="2"/>
    </row>
    <row r="43" customFormat="false" ht="15" hidden="false" customHeight="false" outlineLevel="0" collapsed="false">
      <c r="B43" s="83" t="s">
        <v>451</v>
      </c>
      <c r="C43" s="7" t="n">
        <f aca="false">MAX(2,StatusDate-WEEKDAY(StatusDate,3)-14)</f>
        <v>2</v>
      </c>
      <c r="D43" s="101" t="s">
        <v>452</v>
      </c>
      <c r="E43" s="2" t="s">
        <v>453</v>
      </c>
    </row>
    <row r="44" customFormat="false" ht="15" hidden="false" customHeight="false" outlineLevel="0" collapsed="false">
      <c r="B44" s="83" t="s">
        <v>454</v>
      </c>
      <c r="C44" s="108" t="n">
        <f aca="false">MAX(tsk_UID)+1</f>
        <v>201</v>
      </c>
      <c r="D44" s="101" t="s">
        <v>455</v>
      </c>
      <c r="E44" s="2" t="s">
        <v>456</v>
      </c>
    </row>
  </sheetData>
  <dataValidations count="4">
    <dataValidation allowBlank="false" errorStyle="stop" operator="between" showDropDown="false" showErrorMessage="false" showInputMessage="false" sqref="C8 C10:C16" type="list">
      <formula1>L_YesNo</formula1>
      <formula2>0</formula2>
    </dataValidation>
    <dataValidation allowBlank="false" errorStyle="stop" operator="between" showDropDown="false" showErrorMessage="false" showInputMessage="false" sqref="C19" type="list">
      <formula1>L_Period</formula1>
      <formula2>0</formula2>
    </dataValidation>
    <dataValidation allowBlank="false" errorStyle="stop" operator="between" showDropDown="false" showErrorMessage="false" showInputMessage="false" sqref="C20" type="whole">
      <formula1>1</formula1>
      <formula2>9</formula2>
    </dataValidation>
    <dataValidation allowBlank="false" errorStyle="stop" operator="between" showDropDown="false" showErrorMessage="false" showInputMessage="false" sqref="C24"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EW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2"/>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9"/>
    <col collapsed="false" customWidth="true" hidden="false" outlineLevel="0" max="7" min="7" style="0" width="7"/>
    <col collapsed="false" customWidth="true" hidden="false" outlineLevel="0" max="9" min="8" style="0" width="6"/>
    <col collapsed="false" customWidth="true" hidden="false" outlineLevel="0" max="10" min="10" style="0" width="7"/>
    <col collapsed="false" customWidth="true" hidden="false" outlineLevel="0" max="12" min="11" style="0" width="6"/>
    <col collapsed="false" customWidth="true" hidden="false" outlineLevel="0" max="13" min="13" style="0" width="7"/>
    <col collapsed="false" customWidth="true" hidden="false" outlineLevel="0" max="15" min="14" style="0" width="6"/>
    <col collapsed="false" customWidth="true" hidden="false" outlineLevel="0" max="16" min="16" style="0" width="7"/>
    <col collapsed="false" customWidth="true" hidden="false" outlineLevel="0" max="18" min="17" style="0" width="6"/>
    <col collapsed="false" customWidth="true" hidden="false" outlineLevel="0" max="19" min="19" style="0" width="16"/>
    <col collapsed="false" customWidth="true" hidden="false" outlineLevel="0" max="20" min="20" style="0" width="7"/>
    <col collapsed="false" customWidth="true" hidden="false" outlineLevel="0" max="21" min="21" style="0" width="9"/>
    <col collapsed="false" customWidth="true" hidden="false" outlineLevel="0" max="23" min="22" style="0" width="15"/>
    <col collapsed="false" customWidth="true" hidden="false" outlineLevel="0" max="24" min="24" style="0" width="40"/>
    <col collapsed="false" customWidth="true" hidden="false" outlineLevel="0" max="26" min="25" style="0" width="15"/>
    <col collapsed="false" customWidth="true" hidden="false" outlineLevel="0" max="27" min="27" style="0" width="12"/>
    <col collapsed="false" customWidth="true" hidden="false" outlineLevel="0" max="28" min="28" style="0" width="8"/>
    <col collapsed="false" customWidth="true" hidden="false" outlineLevel="0" max="29" min="29" style="0" width="34"/>
    <col collapsed="false" customWidth="true" hidden="false" outlineLevel="0" max="30" min="30" style="0" width="6"/>
    <col collapsed="false" customWidth="true" hidden="false" outlineLevel="0" max="31" min="31" style="0" width="15"/>
    <col collapsed="false" customWidth="true" hidden="true" outlineLevel="1" max="32" min="32" style="0" width="8"/>
    <col collapsed="false" customWidth="true" hidden="true" outlineLevel="1" max="33" min="33" style="0" width="20"/>
    <col collapsed="false" customWidth="true" hidden="true" outlineLevel="1" max="34" min="34" style="0" width="15"/>
    <col collapsed="false" customWidth="true" hidden="false" outlineLevel="0" max="35" min="35" style="0" width="8"/>
    <col collapsed="false" customWidth="true" hidden="true" outlineLevel="1" max="37" min="36" style="0" width="15"/>
    <col collapsed="false" customWidth="true" hidden="true" outlineLevel="1" max="38" min="38" style="0" width="8"/>
    <col collapsed="false" customWidth="true" hidden="true" outlineLevel="1" max="40" min="39" style="0" width="15"/>
    <col collapsed="false" customWidth="true" hidden="true" outlineLevel="1" max="42" min="41" style="0" width="8"/>
    <col collapsed="false" customWidth="true" hidden="true" outlineLevel="1" max="43" min="43" style="0" width="12"/>
    <col collapsed="false" customWidth="true" hidden="true" outlineLevel="1" max="44" min="44" style="0" width="24"/>
    <col collapsed="false" customWidth="true" hidden="true" outlineLevel="1" max="45" min="45" style="0" width="9"/>
    <col collapsed="false" customWidth="true" hidden="true" outlineLevel="1" max="46" min="46" style="0" width="14"/>
    <col collapsed="false" customWidth="true" hidden="false" outlineLevel="0" max="47" min="47" style="0" width="9"/>
    <col collapsed="false" customWidth="true" hidden="true" outlineLevel="1" max="48" min="48" style="0" width="22"/>
    <col collapsed="false" customWidth="true" hidden="true" outlineLevel="1" max="49" min="49" style="0" width="9"/>
    <col collapsed="false" customWidth="true" hidden="true" outlineLevel="1" max="51" min="50" style="0" width="11"/>
    <col collapsed="false" customWidth="true" hidden="false" outlineLevel="0" max="52" min="52" style="0" width="10"/>
    <col collapsed="false" customWidth="true" hidden="true" outlineLevel="1" max="53" min="53" style="0" width="11"/>
    <col collapsed="false" customWidth="true" hidden="true" outlineLevel="1" max="54" min="54" style="0" width="8"/>
    <col collapsed="false" customWidth="true" hidden="false" outlineLevel="0" max="55" min="55" style="0" width="9"/>
    <col collapsed="false" customWidth="true" hidden="true" outlineLevel="1" max="56" min="56" style="0" width="9"/>
    <col collapsed="false" customWidth="true" hidden="true" outlineLevel="1" max="57" min="57" style="0" width="11"/>
    <col collapsed="false" customWidth="true" hidden="true" outlineLevel="1" max="59" min="58" style="0" width="15"/>
    <col collapsed="false" customWidth="true" hidden="true" outlineLevel="1" max="61" min="60" style="0" width="9"/>
    <col collapsed="false" customWidth="true" hidden="true" outlineLevel="1" max="62" min="62" style="0" width="11"/>
    <col collapsed="false" customWidth="true" hidden="true" outlineLevel="1" max="64" min="63" style="0" width="15"/>
    <col collapsed="false" customWidth="true" hidden="true" outlineLevel="1" max="66" min="65" style="0" width="9"/>
    <col collapsed="false" customWidth="true" hidden="true" outlineLevel="1" max="67" min="67" style="0" width="11"/>
    <col collapsed="false" customWidth="true" hidden="false" outlineLevel="0" max="68" min="68" style="0" width="11"/>
    <col collapsed="false" customWidth="true" hidden="true" outlineLevel="1" max="71" min="69" style="0" width="11"/>
    <col collapsed="false" customWidth="true" hidden="true" outlineLevel="2" max="153" min="72" style="0" width="11"/>
  </cols>
  <sheetData>
    <row r="1" customFormat="false" ht="19.7" hidden="false" customHeight="false" outlineLevel="0" collapsed="false">
      <c r="A1" s="32" t="str">
        <f aca="false">ProjectName&amp;"  -  Task Entry"</f>
        <v>New Project  -  Task Entry</v>
      </c>
    </row>
    <row r="2" customFormat="false" ht="15" hidden="false" customHeight="false" outlineLevel="0" collapsed="false">
      <c r="A2" s="2" t="s">
        <v>457</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458</v>
      </c>
      <c r="AE4" s="36" t="s">
        <v>459</v>
      </c>
      <c r="AI4" s="36" t="s">
        <v>460</v>
      </c>
      <c r="AU4" s="36" t="s">
        <v>461</v>
      </c>
      <c r="AZ4" s="36" t="s">
        <v>462</v>
      </c>
      <c r="BC4" s="36" t="s">
        <v>463</v>
      </c>
      <c r="BP4" s="36" t="s">
        <v>464</v>
      </c>
      <c r="BT4" s="36" t="s">
        <v>465</v>
      </c>
    </row>
    <row r="5" customFormat="false" ht="42" hidden="false" customHeight="true" outlineLevel="0" collapsed="false">
      <c r="A5" s="15" t="s">
        <v>466</v>
      </c>
      <c r="B5" s="50" t="s">
        <v>467</v>
      </c>
      <c r="C5" s="15" t="s">
        <v>152</v>
      </c>
      <c r="D5" s="50" t="s">
        <v>468</v>
      </c>
      <c r="E5" s="50" t="s">
        <v>469</v>
      </c>
      <c r="F5" s="50" t="s">
        <v>258</v>
      </c>
      <c r="G5" s="50" t="s">
        <v>470</v>
      </c>
      <c r="H5" s="50" t="s">
        <v>471</v>
      </c>
      <c r="I5" s="50" t="s">
        <v>472</v>
      </c>
      <c r="J5" s="50" t="s">
        <v>473</v>
      </c>
      <c r="K5" s="50" t="s">
        <v>474</v>
      </c>
      <c r="L5" s="50" t="s">
        <v>475</v>
      </c>
      <c r="M5" s="50" t="s">
        <v>476</v>
      </c>
      <c r="N5" s="50" t="s">
        <v>477</v>
      </c>
      <c r="O5" s="50" t="s">
        <v>478</v>
      </c>
      <c r="P5" s="50" t="s">
        <v>479</v>
      </c>
      <c r="Q5" s="50" t="s">
        <v>480</v>
      </c>
      <c r="R5" s="50" t="s">
        <v>481</v>
      </c>
      <c r="S5" s="50" t="s">
        <v>255</v>
      </c>
      <c r="T5" s="50" t="s">
        <v>482</v>
      </c>
      <c r="U5" s="50" t="s">
        <v>483</v>
      </c>
      <c r="V5" s="50" t="s">
        <v>484</v>
      </c>
      <c r="W5" s="50" t="s">
        <v>485</v>
      </c>
      <c r="X5" s="50" t="s">
        <v>240</v>
      </c>
      <c r="Y5" s="15" t="s">
        <v>257</v>
      </c>
      <c r="Z5" s="15" t="s">
        <v>247</v>
      </c>
      <c r="AA5" s="15" t="s">
        <v>28</v>
      </c>
      <c r="AB5" s="15" t="s">
        <v>256</v>
      </c>
      <c r="AC5" s="15" t="s">
        <v>486</v>
      </c>
      <c r="AD5" s="15" t="s">
        <v>487</v>
      </c>
      <c r="AE5" s="50" t="s">
        <v>161</v>
      </c>
      <c r="AF5" s="50" t="s">
        <v>90</v>
      </c>
      <c r="AG5" s="50" t="s">
        <v>488</v>
      </c>
      <c r="AH5" s="50" t="s">
        <v>489</v>
      </c>
      <c r="AI5" s="15" t="s">
        <v>158</v>
      </c>
      <c r="AJ5" s="15" t="s">
        <v>154</v>
      </c>
      <c r="AK5" s="15" t="s">
        <v>155</v>
      </c>
      <c r="AL5" s="15" t="s">
        <v>490</v>
      </c>
      <c r="AM5" s="15" t="s">
        <v>128</v>
      </c>
      <c r="AN5" s="15" t="s">
        <v>491</v>
      </c>
      <c r="AO5" s="15" t="s">
        <v>259</v>
      </c>
      <c r="AP5" s="15" t="s">
        <v>492</v>
      </c>
      <c r="AQ5" s="15" t="s">
        <v>163</v>
      </c>
      <c r="AR5" s="15" t="s">
        <v>493</v>
      </c>
      <c r="AS5" s="15" t="s">
        <v>24</v>
      </c>
      <c r="AT5" s="15" t="s">
        <v>88</v>
      </c>
      <c r="AU5" s="15" t="s">
        <v>263</v>
      </c>
      <c r="AV5" s="15" t="s">
        <v>494</v>
      </c>
      <c r="AW5" s="15" t="s">
        <v>495</v>
      </c>
      <c r="AX5" s="15" t="s">
        <v>266</v>
      </c>
      <c r="AY5" s="50" t="s">
        <v>267</v>
      </c>
      <c r="AZ5" s="15" t="s">
        <v>496</v>
      </c>
      <c r="BA5" s="50" t="s">
        <v>497</v>
      </c>
      <c r="BB5" s="50" t="s">
        <v>295</v>
      </c>
      <c r="BC5" s="15" t="s">
        <v>498</v>
      </c>
      <c r="BD5" s="15" t="s">
        <v>499</v>
      </c>
      <c r="BE5" s="15" t="s">
        <v>500</v>
      </c>
      <c r="BF5" s="15" t="s">
        <v>501</v>
      </c>
      <c r="BG5" s="15" t="s">
        <v>502</v>
      </c>
      <c r="BH5" s="15" t="s">
        <v>503</v>
      </c>
      <c r="BI5" s="15" t="s">
        <v>504</v>
      </c>
      <c r="BJ5" s="15" t="s">
        <v>505</v>
      </c>
      <c r="BK5" s="50" t="s">
        <v>506</v>
      </c>
      <c r="BL5" s="50" t="s">
        <v>507</v>
      </c>
      <c r="BM5" s="50" t="s">
        <v>508</v>
      </c>
      <c r="BN5" s="50" t="s">
        <v>509</v>
      </c>
      <c r="BO5" s="50" t="s">
        <v>510</v>
      </c>
      <c r="BP5" s="15" t="s">
        <v>250</v>
      </c>
      <c r="BQ5" s="15" t="s">
        <v>248</v>
      </c>
      <c r="BR5" s="15" t="s">
        <v>249</v>
      </c>
      <c r="BS5" s="15" t="s">
        <v>251</v>
      </c>
      <c r="BT5" s="37" t="s">
        <v>511</v>
      </c>
      <c r="BU5" s="37" t="s">
        <v>512</v>
      </c>
      <c r="BV5" s="37" t="s">
        <v>513</v>
      </c>
      <c r="BW5" s="37" t="s">
        <v>514</v>
      </c>
      <c r="BX5" s="37" t="s">
        <v>515</v>
      </c>
      <c r="BY5" s="37" t="s">
        <v>516</v>
      </c>
      <c r="BZ5" s="37" t="s">
        <v>517</v>
      </c>
      <c r="CA5" s="37" t="s">
        <v>518</v>
      </c>
      <c r="CB5" s="37" t="s">
        <v>519</v>
      </c>
      <c r="CC5" s="37" t="s">
        <v>520</v>
      </c>
      <c r="CD5" s="37" t="s">
        <v>521</v>
      </c>
      <c r="CE5" s="37" t="s">
        <v>522</v>
      </c>
      <c r="CF5" s="37" t="s">
        <v>523</v>
      </c>
      <c r="CG5" s="37" t="s">
        <v>524</v>
      </c>
      <c r="CH5" s="37" t="s">
        <v>525</v>
      </c>
      <c r="CI5" s="37" t="s">
        <v>526</v>
      </c>
      <c r="CJ5" s="37" t="s">
        <v>527</v>
      </c>
      <c r="CK5" s="37" t="s">
        <v>528</v>
      </c>
      <c r="CL5" s="37" t="s">
        <v>529</v>
      </c>
      <c r="CM5" s="37" t="s">
        <v>530</v>
      </c>
      <c r="CN5" s="37" t="s">
        <v>531</v>
      </c>
      <c r="CO5" s="37" t="s">
        <v>532</v>
      </c>
      <c r="CP5" s="37" t="s">
        <v>533</v>
      </c>
      <c r="CQ5" s="37" t="s">
        <v>534</v>
      </c>
      <c r="CR5" s="37" t="s">
        <v>535</v>
      </c>
      <c r="CS5" s="37" t="s">
        <v>536</v>
      </c>
      <c r="CT5" s="37" t="s">
        <v>537</v>
      </c>
      <c r="CU5" s="37" t="s">
        <v>538</v>
      </c>
      <c r="CV5" s="37" t="s">
        <v>539</v>
      </c>
      <c r="CW5" s="37" t="s">
        <v>540</v>
      </c>
      <c r="CX5" s="37" t="s">
        <v>541</v>
      </c>
      <c r="CY5" s="37" t="s">
        <v>542</v>
      </c>
      <c r="CZ5" s="37" t="s">
        <v>543</v>
      </c>
      <c r="DA5" s="37" t="s">
        <v>544</v>
      </c>
      <c r="DB5" s="37" t="s">
        <v>545</v>
      </c>
      <c r="DC5" s="37" t="s">
        <v>546</v>
      </c>
      <c r="DD5" s="37" t="s">
        <v>547</v>
      </c>
      <c r="DE5" s="37" t="s">
        <v>548</v>
      </c>
      <c r="DF5" s="37" t="s">
        <v>549</v>
      </c>
      <c r="DG5" s="37" t="s">
        <v>550</v>
      </c>
      <c r="DH5" s="37" t="s">
        <v>551</v>
      </c>
      <c r="DI5" s="37" t="s">
        <v>552</v>
      </c>
      <c r="DJ5" s="37" t="s">
        <v>553</v>
      </c>
      <c r="DK5" s="37" t="s">
        <v>554</v>
      </c>
      <c r="DL5" s="37" t="s">
        <v>555</v>
      </c>
      <c r="DM5" s="37" t="s">
        <v>556</v>
      </c>
      <c r="DN5" s="37" t="s">
        <v>557</v>
      </c>
      <c r="DO5" s="37" t="s">
        <v>558</v>
      </c>
      <c r="DP5" s="37" t="s">
        <v>559</v>
      </c>
      <c r="DQ5" s="37" t="s">
        <v>560</v>
      </c>
      <c r="DR5" s="37" t="s">
        <v>561</v>
      </c>
      <c r="DS5" s="37" t="s">
        <v>562</v>
      </c>
      <c r="DT5" s="37" t="s">
        <v>563</v>
      </c>
      <c r="DU5" s="37" t="s">
        <v>564</v>
      </c>
      <c r="DV5" s="37" t="s">
        <v>565</v>
      </c>
      <c r="DW5" s="37" t="s">
        <v>566</v>
      </c>
      <c r="DX5" s="37" t="s">
        <v>567</v>
      </c>
      <c r="DY5" s="37" t="s">
        <v>568</v>
      </c>
      <c r="DZ5" s="37" t="s">
        <v>569</v>
      </c>
      <c r="EA5" s="37" t="s">
        <v>570</v>
      </c>
      <c r="EB5" s="37" t="s">
        <v>571</v>
      </c>
      <c r="EC5" s="37" t="s">
        <v>572</v>
      </c>
      <c r="ED5" s="37" t="s">
        <v>573</v>
      </c>
      <c r="EE5" s="37" t="s">
        <v>574</v>
      </c>
      <c r="EF5" s="37" t="s">
        <v>575</v>
      </c>
      <c r="EG5" s="37" t="s">
        <v>576</v>
      </c>
      <c r="EH5" s="37" t="s">
        <v>577</v>
      </c>
      <c r="EI5" s="37" t="s">
        <v>578</v>
      </c>
      <c r="EJ5" s="37" t="s">
        <v>579</v>
      </c>
      <c r="EK5" s="37" t="s">
        <v>580</v>
      </c>
      <c r="EL5" s="37" t="s">
        <v>581</v>
      </c>
      <c r="EM5" s="37" t="s">
        <v>582</v>
      </c>
      <c r="EN5" s="37" t="s">
        <v>583</v>
      </c>
      <c r="EO5" s="37" t="s">
        <v>584</v>
      </c>
      <c r="EP5" s="37" t="s">
        <v>585</v>
      </c>
      <c r="EQ5" s="37" t="s">
        <v>586</v>
      </c>
      <c r="ER5" s="37" t="s">
        <v>587</v>
      </c>
      <c r="ES5" s="37" t="s">
        <v>588</v>
      </c>
      <c r="ET5" s="37" t="s">
        <v>589</v>
      </c>
      <c r="EU5" s="37" t="s">
        <v>590</v>
      </c>
      <c r="EV5" s="37" t="s">
        <v>591</v>
      </c>
      <c r="EW5" s="37" t="s">
        <v>592</v>
      </c>
    </row>
    <row r="6" customFormat="false" ht="15" hidden="false" customHeight="false" outlineLevel="0" collapsed="false">
      <c r="A6" s="51" t="str">
        <f aca="false">IF(Tasks[[#This Row],[Task Name]]="","",COUNTA(Tasks[[#Headers],[Task Name]]:Tasks[[#This Row],[Task Name]])-1)</f>
        <v/>
      </c>
      <c r="B6" s="52" t="n">
        <v>1</v>
      </c>
      <c r="C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 s="52"/>
      <c r="E6" s="53"/>
      <c r="F6" s="52"/>
      <c r="G6" s="52"/>
      <c r="H6" s="52"/>
      <c r="I6" s="52"/>
      <c r="J6" s="52"/>
      <c r="K6" s="52"/>
      <c r="L6" s="52"/>
      <c r="M6" s="52"/>
      <c r="N6" s="52"/>
      <c r="O6" s="52"/>
      <c r="P6" s="52"/>
      <c r="Q6" s="52"/>
      <c r="R6" s="52"/>
      <c r="S6" s="53"/>
      <c r="T6" s="102"/>
      <c r="U6" s="102"/>
      <c r="V6" s="7"/>
      <c r="W6" s="7"/>
      <c r="X6" s="53"/>
      <c r="Y6" s="31" t="str">
        <f aca="false">IF(Tasks[[#This Row],[Task Name]]="","",IF(Tasks[[#This Row],[_IsSummary]],MIN(INDEX(Tasks[_ShownFcstStart],Tasks[[#This Row],[_Row]]+1):INDEX(Tasks[_ShownFcstStart],Tasks[[#This Row],[_Row]]+Tasks[[#This Row],[_Descendants]])),Tasks[[#This Row],[_ShownFcstStart]]))</f>
        <v/>
      </c>
      <c r="Z6" s="31" t="str">
        <f aca="false">IF(Tasks[[#This Row],[Task Name]]="","",IF(Tasks[[#This Row],[_IsSummary]],MAX(INDEX(Tasks[_ShownFcstFinish],Tasks[[#This Row],[_Row]]+1):INDEX(Tasks[_ShownFcstFinish],Tasks[[#This Row],[_Row]]+Tasks[[#This Row],[_Descendants]])),Tasks[[#This Row],[_ShownFcstFinish]]))</f>
        <v/>
      </c>
      <c r="AA6" s="51" t="str">
        <f aca="false">IF(Tasks[[#This Row],[Task Name]]="","",IF(Tasks[[#This Row],[Progress]]&gt;=1,"Complete",IF(OR(N(Tasks[[#This Row],[Actual Start]])&gt;0,Tasks[[#This Row],[Progress]]&gt;0),IF(Tasks[[#This Row],[Finish Var]]&gt;0,"Behind","In Progress"),IF(Tasks[[#This Row],[Planned Start]]&lt;StatusDate,"Late Start","Not Started"))))</f>
        <v/>
      </c>
      <c r="AB6" s="51" t="str">
        <f aca="false">IF(Tasks[[#This Row],[Task Name]]="","",IF(IF(Tasks[[#This Row],[_IsSummary]],COUNTIF(INDEX(Tasks[_LeafCritical],Tasks[[#This Row],[_Row]]+1):INDEX(Tasks[_LeafCritical],Tasks[[#This Row],[_Row]]+Tasks[[#This Row],[_Descendants]]),TRUE())&gt;0,Tasks[[#This Row],[_LeafCritical]]),"Yes",""))</f>
        <v/>
      </c>
      <c r="AC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 s="51" t="str">
        <f aca="false">IF(Tasks[[#This Row],[Task Name]]="","",IF(Tasks[[#This Row],[_Level]]&lt;=OutlineShowLevel,"Yes","No"))</f>
        <v/>
      </c>
      <c r="AE6" s="7"/>
      <c r="AF6" s="52"/>
      <c r="AG6" s="53"/>
      <c r="AH6" s="7"/>
      <c r="AI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 s="31" t="str">
        <f aca="false">IF(Tasks[[#This Row],[Task Name]]="","",IF(N(Tasks[[#This Row],[Baseline Start]])&gt;0,Tasks[[#This Row],[Baseline Start]],Tasks[[#This Row],[_CalcStart]]))</f>
        <v/>
      </c>
      <c r="AK6" s="31" t="str">
        <f aca="false">IF(Tasks[[#This Row],[Task Name]]="","",IF(N(Tasks[[#This Row],[Baseline Finish]])&gt;0,Tasks[[#This Row],[Baseline Finish]],Tasks[[#This Row],[_CalcFinish]]))</f>
        <v/>
      </c>
      <c r="AL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 s="31" t="str">
        <f aca="false">IF(Tasks[[#This Row],[Task Name]]="","",IF(Tasks[[#This Row],[_IsSummary]],MIN(INDEX(Tasks[_LeafLateStart],Tasks[[#This Row],[_Row]]+1):INDEX(Tasks[_LeafLateStart],Tasks[[#This Row],[_Row]]+Tasks[[#This Row],[_Descendants]])),Tasks[[#This Row],[_LeafLateStart]]))</f>
        <v/>
      </c>
      <c r="AN6" s="31" t="str">
        <f aca="false">IF(Tasks[[#This Row],[Task Name]]="","",IF(Tasks[[#This Row],[_IsSummary]],MAX(INDEX(Tasks[_LeafLateFinish],Tasks[[#This Row],[_Row]]+1):INDEX(Tasks[_LeafLateFinish],Tasks[[#This Row],[_Row]]+Tasks[[#This Row],[_Descendants]])),Tasks[[#This Row],[_LeafLateFinish]]))</f>
        <v/>
      </c>
      <c r="AO6" s="51" t="str">
        <f aca="false">IF(Tasks[[#This Row],[Task Name]]="","",IF(Tasks[[#This Row],[_IsSummary]],MIN(INDEX(Tasks[_LeafTotalSlack],Tasks[[#This Row],[_Row]]+1):INDEX(Tasks[_LeafTotalSlack],Tasks[[#This Row],[_Row]]+Tasks[[#This Row],[_Descendants]])),Tasks[[#This Row],[_LeafTotalSlack]]))</f>
        <v/>
      </c>
      <c r="AP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 s="110" t="str">
        <f aca="false">IF(Tasks[[#This Row],[Task Name]]="","",IF(Tasks[[#This Row],[_IsSummary]],SUM(INDEX(Tasks[_LeafTotalWork],Tasks[[#This Row],[_Row]]+1):INDEX(Tasks[_LeafTotalWork],Tasks[[#This Row],[_Row]]+Tasks[[#This Row],[_Descendants]])),Tasks[[#This Row],[_LeafTotalWork]]))</f>
        <v/>
      </c>
      <c r="AV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 s="111" t="str">
        <f aca="false">IF(Tasks[[#This Row],[Task Name]]="","",IF(Tasks[[#This Row],[_IsSummary]],SUM(INDEX(Tasks[_LeafTotalCost],Tasks[[#This Row],[_Row]]+1):INDEX(Tasks[_LeafTotalCost],Tasks[[#This Row],[_Row]]+Tasks[[#This Row],[_Descendants]])),Tasks[[#This Row],[_LeafTotalCost]]))</f>
        <v/>
      </c>
      <c r="AY6" s="112"/>
      <c r="AZ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 s="52"/>
      <c r="BB6" s="98"/>
      <c r="BC6" s="51" t="str">
        <f aca="false">IF(OR(Tasks[[#This Row],[Task Name]]="",Tasks[[#This Row],[Baseline Duration]]=""),"",Tasks[[#This Row],[BL Source Duration]]-N(Tasks[[#This Row],[Baseline Duration]]))</f>
        <v/>
      </c>
      <c r="BD6" s="110" t="str">
        <f aca="false">IF(OR(Tasks[[#This Row],[Task Name]]="",Tasks[[#This Row],[Baseline Work]]=""),"",Tasks[[#This Row],[Work]]-N(Tasks[[#This Row],[Baseline Work]]))</f>
        <v/>
      </c>
      <c r="BE6" s="111" t="str">
        <f aca="false">IF(OR(Tasks[[#This Row],[Task Name]]="",Tasks[[#This Row],[Baseline Cost]]=""),"",Tasks[[#This Row],[Cost]]-N(Tasks[[#This Row],[Baseline Cost]]))</f>
        <v/>
      </c>
      <c r="BF6" s="31" t="str">
        <f aca="false">IF(Tasks[[#This Row],[Task Name]]="","",Tasks[[#This Row],[Forecast Start]])</f>
        <v/>
      </c>
      <c r="BG6" s="31" t="str">
        <f aca="false">IF(Tasks[[#This Row],[Task Name]]="","",Tasks[[#This Row],[Forecast Finish]])</f>
        <v/>
      </c>
      <c r="BH6" s="51" t="str">
        <f aca="false">IF(Tasks[[#This Row],[Task Name]]="","",IF(Tasks[[#This Row],[_IsSummary]],NETWORKDAYS.INTL(Tasks[[#This Row],[Forecast Start]],Tasks[[#This Row],[Forecast Finish]],WorkWeek,Holidays),N(Tasks[[#This Row],[Duration]])))</f>
        <v/>
      </c>
      <c r="BI6" s="110" t="str">
        <f aca="false">IF(Tasks[[#This Row],[Task Name]]="","",Tasks[[#This Row],[Work]])</f>
        <v/>
      </c>
      <c r="BJ6" s="111" t="str">
        <f aca="false">IF(Tasks[[#This Row],[Task Name]]="","",Tasks[[#This Row],[Cost]])</f>
        <v/>
      </c>
      <c r="BK6" s="7"/>
      <c r="BL6" s="7"/>
      <c r="BM6" s="52"/>
      <c r="BN6" s="113"/>
      <c r="BO6" s="112"/>
      <c r="BP6" s="111" t="str">
        <f aca="false">IF(Tasks[[#This Row],[Task Name]]="","",IF(Tasks[[#This Row],[_IsSummary]],SUM(INDEX(Tasks[_LeafEV],Tasks[[#This Row],[_Row]]+1):INDEX(Tasks[_LeafEV],Tasks[[#This Row],[_Row]]+Tasks[[#This Row],[_Descendants]])),Tasks[[#This Row],[_LeafEV]]))</f>
        <v/>
      </c>
      <c r="BQ6" s="111" t="str">
        <f aca="false">IF(Tasks[[#This Row],[Task Name]]="","",IF(Tasks[[#This Row],[_IsSummary]],SUM(INDEX(Tasks[_LeafBudget],Tasks[[#This Row],[_Row]]+1):INDEX(Tasks[_LeafBudget],Tasks[[#This Row],[_Row]]+Tasks[[#This Row],[_Descendants]])),Tasks[[#This Row],[_LeafBudget]]))</f>
        <v/>
      </c>
      <c r="BR6" s="111" t="str">
        <f aca="false">IF(Tasks[[#This Row],[Task Name]]="","",IF(Tasks[[#This Row],[_IsSummary]],SUM(INDEX(Tasks[_LeafPV],Tasks[[#This Row],[_Row]]+1):INDEX(Tasks[_LeafPV],Tasks[[#This Row],[_Row]]+Tasks[[#This Row],[_Descendants]])),Tasks[[#This Row],[_LeafPV]]))</f>
        <v/>
      </c>
      <c r="BS6" s="111" t="str">
        <f aca="false">IF(Tasks[[#This Row],[Task Name]]="","",IF(Tasks[[#This Row],[_IsSummary]],SUM(INDEX(Tasks[_LeafAC],Tasks[[#This Row],[_Row]]+1):INDEX(Tasks[_LeafAC],Tasks[[#This Row],[_Row]]+Tasks[[#This Row],[_Descendants]])),Tasks[[#This Row],[_LeafAC]]))</f>
        <v/>
      </c>
      <c r="BT6" s="38" t="str">
        <f aca="false">IF(Tasks[[#This Row],[Task Name]]="","",MAX(1,N(Tasks[[#This Row],[Level]])))</f>
        <v/>
      </c>
      <c r="BU6" s="38" t="n">
        <f aca="false">ROW()-ROW(Tasks[[#Headers],[ID]])</f>
        <v>1</v>
      </c>
      <c r="BV6" s="38" t="n">
        <f aca="false">IF(OR(Tasks[[#This Row],[Task Name]]="",Tasks[[#This Row],[_Level]]&lt;=1),0,IFERROR(LOOKUP(2,1/(Tasks[[#Headers],[_Level]]:Tasks[[#This Row],[_Level]]=Tasks[[#This Row],[_Level]]-1),ROW(Tasks[[#Headers],[_Level]]:Tasks[[#This Row],[_Level]])),0))</f>
        <v>0</v>
      </c>
      <c r="BW6" s="38" t="n">
        <f aca="false">IFERROR(N(INDEX(Tasks[_Level],Tasks[[#This Row],[_Row]]+1)),0)</f>
        <v>0</v>
      </c>
      <c r="BX6" s="114" t="b">
        <f aca="false">AND(Tasks[[#This Row],[Task Name]]&lt;&gt;"",Tasks[[#This Row],[_NextLevel]]&gt;Tasks[[#This Row],[_Level]])</f>
        <v>0</v>
      </c>
      <c r="BY6" s="38" t="n">
        <f aca="false">IF(Tasks[[#This Row],[_IsSummary]],COUNTIF(Tasks[WBS],Tasks[[#This Row],[WBS]]&amp;".*"),0)</f>
        <v>0</v>
      </c>
      <c r="BZ6" s="38" t="n">
        <f aca="false">IF(AND(Tasks[[#This Row],[Task Name]]&lt;&gt;"",NOT(Tasks[[#This Row],[_IsSummary]])),1,0)</f>
        <v>0</v>
      </c>
      <c r="CA6" s="38" t="n">
        <f aca="false">IF(N(Tasks[[#This Row],[Pred1 UID]])=0,0,IFERROR(MATCH(Tasks[[#This Row],[Pred1 UID]],Tasks[UID],0),-1))</f>
        <v>0</v>
      </c>
      <c r="CB6" s="38" t="n">
        <f aca="false">IF(N(Tasks[[#This Row],[Pred2 UID]])=0,0,IFERROR(MATCH(Tasks[[#This Row],[Pred2 UID]],Tasks[UID],0),-1))</f>
        <v>0</v>
      </c>
      <c r="CC6" s="38" t="n">
        <f aca="false">IF(N(Tasks[[#This Row],[Pred3 UID]])=0,0,IFERROR(MATCH(Tasks[[#This Row],[Pred3 UID]],Tasks[UID],0),-1))</f>
        <v>0</v>
      </c>
      <c r="CD6" s="38" t="n">
        <f aca="false">IF(N(Tasks[[#This Row],[Pred4 UID]])=0,0,IFERROR(MATCH(Tasks[[#This Row],[Pred4 UID]],Tasks[UID],0),-1))</f>
        <v>0</v>
      </c>
      <c r="CE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 s="115" t="n">
        <f aca="false">IF(OR(Tasks[[#This Row],[_ConstraintCode]]=2,Tasks[[#This Row],[_ConstraintCode]]=3,Tasks[[#This Row],[_ConstraintCode]]=4,Tasks[[#This Row],[_ConstraintCode]]=6),Tasks[[#This Row],[_ConstraintStart]],0)</f>
        <v>0</v>
      </c>
      <c r="CH6" s="115" t="n">
        <f aca="false">IF(OR(Tasks[[#This Row],[_ConstraintCode]]=2,Tasks[[#This Row],[_ConstraintCode]]=3,Tasks[[#This Row],[_ConstraintCode]]=5,Tasks[[#This Row],[_ConstraintCode]]=7),Tasks[[#This Row],[_ConstraintStart]],2958465)</f>
        <v>2958465</v>
      </c>
      <c r="CI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 s="115" t="str">
        <f aca="false">IF(NOT(Tasks[[#This Row],[_IsLeaf]]=1),"",IF(N(Tasks[[#This Row],[Duration]])&lt;=0,Tasks[[#This Row],[_LeafCalcStart]],WORKDAY.INTL(Tasks[[#This Row],[_LeafCalcStart]],Tasks[[#This Row],[Duration]]-1,WorkWeek,Holidays)))</f>
        <v/>
      </c>
      <c r="CK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 s="38" t="n">
        <f aca="false">IF(NOT(Tasks[[#This Row],[_IsLeaf]]=1),0,IF(N(Tasks[[#This Row],[Actual Finish]])&gt;0,1,MIN(1,N(Tasks[[#This Row],[% Complete]]))))</f>
        <v>0</v>
      </c>
      <c r="CN6" s="38" t="n">
        <f aca="false">IF(OR(NOT(Tasks[[#This Row],[_IsLeaf]]=1),Tasks[[#This Row],[Resource]]=""),0,N(Tasks[[#This Row],[Duration]])*HoursPerDay*IF(Tasks[[#This Row],[Units]]="",DefaultUnits,Tasks[[#This Row],[Units]]))</f>
        <v>0</v>
      </c>
      <c r="CO6" s="38" t="n">
        <f aca="false">IF(Tasks[[#This Row],[_LeafWork]]=0,0,Tasks[[#This Row],[_LeafWork]]*IFERROR(INDEX(res_Rate,MATCH(Tasks[[#This Row],[Resource]],res_Name,0)),0))</f>
        <v>0</v>
      </c>
      <c r="CP6" s="38" t="n">
        <f aca="false">Tasks[[#This Row],[_LeafWork]]+IF(Tasks[[#This Row],[_IsLeaf]]=1,SUMIFS(asg_Work,asg_TaskUID,Tasks[[#This Row],[UID]],asg_Valid,1),0)</f>
        <v>0</v>
      </c>
      <c r="CQ6" s="38" t="n">
        <f aca="false">Tasks[[#This Row],[_LeafCost]]+IF(Tasks[[#This Row],[_IsLeaf]]=1,SUMIFS(asg_Cost,asg_TaskUID,Tasks[[#This Row],[UID]],asg_Valid,1),0)</f>
        <v>0</v>
      </c>
      <c r="CR6" s="38" t="n">
        <f aca="false">IF(Tasks[[#This Row],[_LeafTotalCost]]=0,Tasks[[#This Row],[_LeafAC]],Tasks[[#This Row],[_LeafAC]]*Tasks[[#This Row],[_LeafCost]]/Tasks[[#This Row],[_LeafTotalCost]])</f>
        <v>0</v>
      </c>
      <c r="CS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 s="38" t="n">
        <f aca="false">IF(NOT(Tasks[[#This Row],[_IsLeaf]]=1),0,MAX(_xlfn.MAXIFS(Tasks[_Row],Tasks[Pred1 UID],Tasks[[#This Row],[UID]]),_xlfn.MAXIFS(Tasks[_Row],Tasks[Pred2 UID],Tasks[[#This Row],[UID]]),_xlfn.MAXIFS(Tasks[_Row],Tasks[Pred3 UID],Tasks[[#This Row],[UID]]),_xlfn.MAXIFS(Tasks[_Row],Tasks[Pred4 UID],Tasks[[#This Row],[UID]])))</f>
        <v>0</v>
      </c>
      <c r="DB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 s="115" t="str">
        <f aca="false">IF(NOT(Tasks[[#This Row],[_IsLeaf]]=1),"",IF(N(Tasks[[#This Row],[Duration]])&lt;=0,Tasks[[#This Row],[_LeafLateFinish]],WORKDAY.INTL(Tasks[[#This Row],[_LeafLateFinish]],-(Tasks[[#This Row],[Duration]]-1),WorkWeek,Holidays)))</f>
        <v/>
      </c>
      <c r="DE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 s="114" t="b">
        <f aca="false">AND(Tasks[[#This Row],[_IsLeaf]]=1,Tasks[[#This Row],[_LeafProgress]]&lt;1,N(Tasks[[#This Row],[_LeafTotalSlack]])&lt;=CriticalSlackDays)</f>
        <v>0</v>
      </c>
      <c r="DG6" s="38" t="n">
        <f aca="false">IF(AND(Tasks[[#This Row],[_IsLeaf]]=1,Tasks[[#This Row],[_ConstraintCode]]=1,Tasks[[#This Row],[Mode]]&lt;&gt;"Manual",N(Tasks[[#This Row],[Actual Start]])=0),MAX(0,N(Tasks[[#This Row],[Free Slack]])),0)</f>
        <v>0</v>
      </c>
      <c r="DH6" s="115" t="str">
        <f aca="false">IF(NOT(Tasks[[#This Row],[_IsLeaf]]=1),"",IF(Tasks[[#This Row],[_AlapShift]]=0,Tasks[[#This Row],[_LeafCalcStart]],WORKDAY.INTL(Tasks[[#This Row],[_LeafCalcStart]],Tasks[[#This Row],[_AlapShift]],WorkWeek,Holidays)))</f>
        <v/>
      </c>
      <c r="DI6" s="115" t="str">
        <f aca="false">IF(NOT(Tasks[[#This Row],[_IsLeaf]]=1),"",IF(Tasks[[#This Row],[_AlapShift]]=0,Tasks[[#This Row],[_LeafCalcFinish]],WORKDAY.INTL(Tasks[[#This Row],[_LeafCalcFinish]],Tasks[[#This Row],[_AlapShift]],WorkWeek,Holidays)))</f>
        <v/>
      </c>
      <c r="DJ6" s="115" t="str">
        <f aca="false">IF(NOT(Tasks[[#This Row],[_IsLeaf]]=1),"",IF(Tasks[[#This Row],[_AlapShift]]=0,Tasks[[#This Row],[_LeafFcstStart]],WORKDAY.INTL(Tasks[[#This Row],[_LeafFcstStart]],Tasks[[#This Row],[_AlapShift]],WorkWeek,Holidays)))</f>
        <v/>
      </c>
      <c r="DK6" s="115" t="str">
        <f aca="false">IF(NOT(Tasks[[#This Row],[_IsLeaf]]=1),"",IF(Tasks[[#This Row],[_AlapShift]]=0,Tasks[[#This Row],[_LeafFcstFinish]],WORKDAY.INTL(Tasks[[#This Row],[_LeafFcstFinish]],Tasks[[#This Row],[_AlapShift]],WorkWeek,Holidays)))</f>
        <v/>
      </c>
      <c r="DL6" s="115" t="str">
        <f aca="false">IF(Tasks[[#This Row],[Task Name]]="","",IF(Tasks[[#This Row],[_IsSummary]],MIN(INDEX(Tasks[_ShownCalcStart],Tasks[[#This Row],[_Row]]+1):INDEX(Tasks[_ShownCalcStart],Tasks[[#This Row],[_Row]]+Tasks[[#This Row],[_Descendants]])),Tasks[[#This Row],[_ShownCalcStart]]))</f>
        <v/>
      </c>
      <c r="DM6" s="115" t="str">
        <f aca="false">IF(Tasks[[#This Row],[Task Name]]="","",IF(Tasks[[#This Row],[_IsSummary]],MAX(INDEX(Tasks[_ShownCalcFinish],Tasks[[#This Row],[_Row]]+1):INDEX(Tasks[_ShownCalcFinish],Tasks[[#This Row],[_Row]]+Tasks[[#This Row],[_Descendants]])),Tasks[[#This Row],[_ShownCalcFinish]]))</f>
        <v/>
      </c>
      <c r="DN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 s="38" t="n">
        <f aca="false">IF(AND(Tasks[[#This Row],[_IsLeaf]]=1,Tasks[[#This Row],[_LeafTotalWork]]&gt;0),NETWORKDAYS.INTL(ProjectStart,Tasks[[#This Row],[_ShownFcstStart]],WorkWeek,Holidays),0)</f>
        <v>0</v>
      </c>
      <c r="EA6" s="38" t="n">
        <f aca="false">IF(AND(Tasks[[#This Row],[_IsLeaf]]=1,Tasks[[#This Row],[_LeafTotalWork]]&gt;0),MAX(Tasks[[#This Row],[_StartWorkday]],NETWORKDAYS.INTL(ProjectStart,Tasks[[#This Row],[_ShownFcstFinish]],WorkWeek,Holidays)),0)</f>
        <v>0</v>
      </c>
      <c r="EB6" s="38" t="n">
        <f aca="false">IF(AND(Tasks[[#This Row],[_IsLeaf]]=1,Tasks[[#This Row],[_LeafTotalWork]]&gt;0),Tasks[[#This Row],[_LeafWork]]/(Tasks[[#This Row],[_FinishWorkday]]-Tasks[[#This Row],[_StartWorkday]]+1),0)</f>
        <v>0</v>
      </c>
      <c r="EC6" s="38" t="n">
        <f aca="false">Tasks[[#This Row],[_WorkPerWorkday]]*(Tasks[[#This Row],[_StartWorkday]]-1)</f>
        <v>-0</v>
      </c>
      <c r="ED6" s="38" t="n">
        <f aca="false">IF(Tasks[[#This Row],[_IsLeaf]]=1,MAX(N(Tasks[[#This Row],[Duration]]),0.1),0)</f>
        <v>0</v>
      </c>
      <c r="EE6" s="38" t="n">
        <f aca="false">Tasks[[#This Row],[_WeightDur]]*Tasks[[#This Row],[_LeafProgress]]</f>
        <v>0</v>
      </c>
      <c r="EF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 s="38" t="str">
        <f aca="false">IF(AND(Tasks[[#This Row],[_IsLeaf]]=1,N(Tasks[[#This Row],[Duration]])=0,Tasks[[#This Row],[_LeafProgress]]&lt;1),Tasks[[#This Row],[_ShownFcstFinish]]+Tasks[[#This Row],[_Row]]/100000,"")</f>
        <v/>
      </c>
      <c r="EH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 s="38" t="n">
        <f aca="false">IF(NOT(Tasks[[#This Row],[_IsLeaf]]=1),0,IF(Tasks[[#This Row],[Baseline Cost]]="",Tasks[[#This Row],[_LeafTotalCost]],N(Tasks[[#This Row],[Baseline Cost]])))</f>
        <v>0</v>
      </c>
      <c r="EJ6" s="38" t="n">
        <f aca="false">Tasks[[#This Row],[_LeafBudget]]*Tasks[[#This Row],[_PlannedPct]]</f>
        <v>0</v>
      </c>
      <c r="EK6" s="38" t="n">
        <f aca="false">Tasks[[#This Row],[_LeafBudget]]*Tasks[[#This Row],[_LeafProgress]]</f>
        <v>0</v>
      </c>
      <c r="EL6" s="38" t="n">
        <f aca="false">IF(NOT(Tasks[[#This Row],[_IsLeaf]]=1),0,IF(Tasks[[#This Row],[Actual Cost]]="",Tasks[[#This Row],[_LeafTotalCost]]*Tasks[[#This Row],[_LeafProgress]],N(Tasks[[#This Row],[Actual Cost]])))</f>
        <v>0</v>
      </c>
      <c r="EM6" s="38" t="str">
        <f aca="false">IF(Tasks[[#This Row],[Task Name]]="","",LEFT(Tasks[[#This Row],[WBS]],FIND(".",Tasks[[#This Row],[WBS]]&amp;".")-1))</f>
        <v/>
      </c>
      <c r="EN6" s="38" t="str">
        <f aca="false">IF(AND(Tasks[[#This Row],[Task Name]]&lt;&gt;"",Tasks[[#This Row],[_Level]]=1),Tasks[[#This Row],[_Row]],"")</f>
        <v/>
      </c>
      <c r="EO6" s="38" t="str">
        <f aca="false">IF(AND(Tasks[[#This Row],[_IsLeaf]]=1,N(Tasks[[#This Row],[Duration]])=0),Tasks[[#This Row],[Planned Finish]]+Tasks[[#This Row],[_Row]]/100000,"")</f>
        <v/>
      </c>
      <c r="EP6" s="38" t="str">
        <f aca="false">IF(AND(Tasks[[#This Row],[_IsLeaf]]=1,Tasks[[#This Row],[_LeafProgress]]&lt;1,OR(N(Tasks[[#This Row],[Finish Var]])&gt;0,Tasks[[#This Row],[Status]]="Late Start")),MAX(0,Tasks[[#This Row],[Finish Var]])+1-Tasks[[#This Row],[_Row]]/1000000,"")</f>
        <v/>
      </c>
      <c r="EQ6" s="38" t="str">
        <f aca="false">IF(AND(Tasks[[#This Row],[_IsLeaf]]=1,N(Tasks[[#This Row],[Actual Start]])=0,Tasks[[#This Row],[_ShownFcstStart]]&gt;=StatusDate,Tasks[[#This Row],[_ShownFcstStart]]&lt;=LookaheadEnd),Tasks[[#This Row],[_ShownFcstStart]]+Tasks[[#This Row],[_Row]]/100000,"")</f>
        <v/>
      </c>
      <c r="ER6" s="38" t="str">
        <f aca="false">IF(AND(Tasks[[#This Row],[_IsLeaf]]=1,Tasks[[#This Row],[_LeafProgress]]&lt;1,Tasks[[#This Row],[_ShownFcstFinish]]&gt;=StatusDate,Tasks[[#This Row],[_ShownFcstFinish]]&lt;=LookaheadEnd),Tasks[[#This Row],[_ShownFcstFinish]]+Tasks[[#This Row],[_Row]]/100000,"")</f>
        <v/>
      </c>
      <c r="ES6" s="38" t="str">
        <f aca="false">IF(Tasks[[#This Row],[_LeafCritical]],Tasks[[#This Row],[_ShownFcstStart]]+Tasks[[#This Row],[_Row]]/100000,"")</f>
        <v/>
      </c>
      <c r="ET6" s="38" t="n">
        <f aca="false">Tasks[[#This Row],[_LeafWork]]*Tasks[[#This Row],[_LeafProgress]]</f>
        <v>0</v>
      </c>
      <c r="EU6" s="115" t="str">
        <f aca="false">IF(AND(Tasks[[#This Row],[_IsLeaf]]=1,Tasks[[#This Row],[_LeafProgress]]&gt;=1),IF(N(Tasks[[#This Row],[Actual Finish]])&gt;0,Tasks[[#This Row],[Actual Finish]],Tasks[[#This Row],[_ShownFcstFinish]]),"")</f>
        <v/>
      </c>
      <c r="EV6" s="38" t="n">
        <f aca="false">IF(Tasks[[#This Row],[_IsLeaf]]=1,N(Tasks[[#This Row],[Story Points]]),0)</f>
        <v>0</v>
      </c>
      <c r="EW6" s="38" t="str">
        <f aca="false">IF(AND(Tasks[[#This Row],[_IsLeaf]]=1,CurrentSprint&lt;&gt;"",Tasks[[#This Row],[Sprint]]=CurrentSprint),Tasks[[#This Row],[_Row]],"")</f>
        <v/>
      </c>
    </row>
    <row r="7" customFormat="false" ht="15" hidden="false" customHeight="false" outlineLevel="0" collapsed="false">
      <c r="A7" s="51" t="str">
        <f aca="false">IF(Tasks[[#This Row],[Task Name]]="","",COUNTA(Tasks[[#Headers],[Task Name]]:Tasks[[#This Row],[Task Name]])-1)</f>
        <v/>
      </c>
      <c r="B7" s="52" t="n">
        <v>2</v>
      </c>
      <c r="C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 s="52"/>
      <c r="E7" s="53"/>
      <c r="F7" s="52"/>
      <c r="G7" s="52"/>
      <c r="H7" s="52"/>
      <c r="I7" s="52"/>
      <c r="J7" s="52"/>
      <c r="K7" s="52"/>
      <c r="L7" s="52"/>
      <c r="M7" s="52"/>
      <c r="N7" s="52"/>
      <c r="O7" s="52"/>
      <c r="P7" s="52"/>
      <c r="Q7" s="52"/>
      <c r="R7" s="52"/>
      <c r="S7" s="53"/>
      <c r="T7" s="102"/>
      <c r="U7" s="102"/>
      <c r="V7" s="7"/>
      <c r="W7" s="7"/>
      <c r="X7" s="53"/>
      <c r="Y7" s="31" t="str">
        <f aca="false">IF(Tasks[[#This Row],[Task Name]]="","",IF(Tasks[[#This Row],[_IsSummary]],MIN(INDEX(Tasks[_ShownFcstStart],Tasks[[#This Row],[_Row]]+1):INDEX(Tasks[_ShownFcstStart],Tasks[[#This Row],[_Row]]+Tasks[[#This Row],[_Descendants]])),Tasks[[#This Row],[_ShownFcstStart]]))</f>
        <v/>
      </c>
      <c r="Z7" s="31" t="str">
        <f aca="false">IF(Tasks[[#This Row],[Task Name]]="","",IF(Tasks[[#This Row],[_IsSummary]],MAX(INDEX(Tasks[_ShownFcstFinish],Tasks[[#This Row],[_Row]]+1):INDEX(Tasks[_ShownFcstFinish],Tasks[[#This Row],[_Row]]+Tasks[[#This Row],[_Descendants]])),Tasks[[#This Row],[_ShownFcstFinish]]))</f>
        <v/>
      </c>
      <c r="AA7" s="51" t="str">
        <f aca="false">IF(Tasks[[#This Row],[Task Name]]="","",IF(Tasks[[#This Row],[Progress]]&gt;=1,"Complete",IF(OR(N(Tasks[[#This Row],[Actual Start]])&gt;0,Tasks[[#This Row],[Progress]]&gt;0),IF(Tasks[[#This Row],[Finish Var]]&gt;0,"Behind","In Progress"),IF(Tasks[[#This Row],[Planned Start]]&lt;StatusDate,"Late Start","Not Started"))))</f>
        <v/>
      </c>
      <c r="AB7" s="51" t="str">
        <f aca="false">IF(Tasks[[#This Row],[Task Name]]="","",IF(IF(Tasks[[#This Row],[_IsSummary]],COUNTIF(INDEX(Tasks[_LeafCritical],Tasks[[#This Row],[_Row]]+1):INDEX(Tasks[_LeafCritical],Tasks[[#This Row],[_Row]]+Tasks[[#This Row],[_Descendants]]),TRUE())&gt;0,Tasks[[#This Row],[_LeafCritical]]),"Yes",""))</f>
        <v/>
      </c>
      <c r="AC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 s="51" t="str">
        <f aca="false">IF(Tasks[[#This Row],[Task Name]]="","",IF(Tasks[[#This Row],[_Level]]&lt;=OutlineShowLevel,"Yes","No"))</f>
        <v/>
      </c>
      <c r="AE7" s="7"/>
      <c r="AF7" s="52"/>
      <c r="AG7" s="53"/>
      <c r="AH7" s="7"/>
      <c r="AI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 s="31" t="str">
        <f aca="false">IF(Tasks[[#This Row],[Task Name]]="","",IF(N(Tasks[[#This Row],[Baseline Start]])&gt;0,Tasks[[#This Row],[Baseline Start]],Tasks[[#This Row],[_CalcStart]]))</f>
        <v/>
      </c>
      <c r="AK7" s="31" t="str">
        <f aca="false">IF(Tasks[[#This Row],[Task Name]]="","",IF(N(Tasks[[#This Row],[Baseline Finish]])&gt;0,Tasks[[#This Row],[Baseline Finish]],Tasks[[#This Row],[_CalcFinish]]))</f>
        <v/>
      </c>
      <c r="AL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 s="31" t="str">
        <f aca="false">IF(Tasks[[#This Row],[Task Name]]="","",IF(Tasks[[#This Row],[_IsSummary]],MIN(INDEX(Tasks[_LeafLateStart],Tasks[[#This Row],[_Row]]+1):INDEX(Tasks[_LeafLateStart],Tasks[[#This Row],[_Row]]+Tasks[[#This Row],[_Descendants]])),Tasks[[#This Row],[_LeafLateStart]]))</f>
        <v/>
      </c>
      <c r="AN7" s="31" t="str">
        <f aca="false">IF(Tasks[[#This Row],[Task Name]]="","",IF(Tasks[[#This Row],[_IsSummary]],MAX(INDEX(Tasks[_LeafLateFinish],Tasks[[#This Row],[_Row]]+1):INDEX(Tasks[_LeafLateFinish],Tasks[[#This Row],[_Row]]+Tasks[[#This Row],[_Descendants]])),Tasks[[#This Row],[_LeafLateFinish]]))</f>
        <v/>
      </c>
      <c r="AO7" s="51" t="str">
        <f aca="false">IF(Tasks[[#This Row],[Task Name]]="","",IF(Tasks[[#This Row],[_IsSummary]],MIN(INDEX(Tasks[_LeafTotalSlack],Tasks[[#This Row],[_Row]]+1):INDEX(Tasks[_LeafTotalSlack],Tasks[[#This Row],[_Row]]+Tasks[[#This Row],[_Descendants]])),Tasks[[#This Row],[_LeafTotalSlack]]))</f>
        <v/>
      </c>
      <c r="AP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 s="110" t="str">
        <f aca="false">IF(Tasks[[#This Row],[Task Name]]="","",IF(Tasks[[#This Row],[_IsSummary]],SUM(INDEX(Tasks[_LeafTotalWork],Tasks[[#This Row],[_Row]]+1):INDEX(Tasks[_LeafTotalWork],Tasks[[#This Row],[_Row]]+Tasks[[#This Row],[_Descendants]])),Tasks[[#This Row],[_LeafTotalWork]]))</f>
        <v/>
      </c>
      <c r="AV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 s="111" t="str">
        <f aca="false">IF(Tasks[[#This Row],[Task Name]]="","",IF(Tasks[[#This Row],[_IsSummary]],SUM(INDEX(Tasks[_LeafTotalCost],Tasks[[#This Row],[_Row]]+1):INDEX(Tasks[_LeafTotalCost],Tasks[[#This Row],[_Row]]+Tasks[[#This Row],[_Descendants]])),Tasks[[#This Row],[_LeafTotalCost]]))</f>
        <v/>
      </c>
      <c r="AY7" s="112"/>
      <c r="AZ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 s="52"/>
      <c r="BB7" s="98"/>
      <c r="BC7" s="51" t="str">
        <f aca="false">IF(OR(Tasks[[#This Row],[Task Name]]="",Tasks[[#This Row],[Baseline Duration]]=""),"",Tasks[[#This Row],[BL Source Duration]]-N(Tasks[[#This Row],[Baseline Duration]]))</f>
        <v/>
      </c>
      <c r="BD7" s="110" t="str">
        <f aca="false">IF(OR(Tasks[[#This Row],[Task Name]]="",Tasks[[#This Row],[Baseline Work]]=""),"",Tasks[[#This Row],[Work]]-N(Tasks[[#This Row],[Baseline Work]]))</f>
        <v/>
      </c>
      <c r="BE7" s="111" t="str">
        <f aca="false">IF(OR(Tasks[[#This Row],[Task Name]]="",Tasks[[#This Row],[Baseline Cost]]=""),"",Tasks[[#This Row],[Cost]]-N(Tasks[[#This Row],[Baseline Cost]]))</f>
        <v/>
      </c>
      <c r="BF7" s="31" t="str">
        <f aca="false">IF(Tasks[[#This Row],[Task Name]]="","",Tasks[[#This Row],[Forecast Start]])</f>
        <v/>
      </c>
      <c r="BG7" s="31" t="str">
        <f aca="false">IF(Tasks[[#This Row],[Task Name]]="","",Tasks[[#This Row],[Forecast Finish]])</f>
        <v/>
      </c>
      <c r="BH7" s="51" t="str">
        <f aca="false">IF(Tasks[[#This Row],[Task Name]]="","",IF(Tasks[[#This Row],[_IsSummary]],NETWORKDAYS.INTL(Tasks[[#This Row],[Forecast Start]],Tasks[[#This Row],[Forecast Finish]],WorkWeek,Holidays),N(Tasks[[#This Row],[Duration]])))</f>
        <v/>
      </c>
      <c r="BI7" s="110" t="str">
        <f aca="false">IF(Tasks[[#This Row],[Task Name]]="","",Tasks[[#This Row],[Work]])</f>
        <v/>
      </c>
      <c r="BJ7" s="111" t="str">
        <f aca="false">IF(Tasks[[#This Row],[Task Name]]="","",Tasks[[#This Row],[Cost]])</f>
        <v/>
      </c>
      <c r="BK7" s="7"/>
      <c r="BL7" s="7"/>
      <c r="BM7" s="52"/>
      <c r="BN7" s="113"/>
      <c r="BO7" s="112"/>
      <c r="BP7" s="111" t="str">
        <f aca="false">IF(Tasks[[#This Row],[Task Name]]="","",IF(Tasks[[#This Row],[_IsSummary]],SUM(INDEX(Tasks[_LeafEV],Tasks[[#This Row],[_Row]]+1):INDEX(Tasks[_LeafEV],Tasks[[#This Row],[_Row]]+Tasks[[#This Row],[_Descendants]])),Tasks[[#This Row],[_LeafEV]]))</f>
        <v/>
      </c>
      <c r="BQ7" s="111" t="str">
        <f aca="false">IF(Tasks[[#This Row],[Task Name]]="","",IF(Tasks[[#This Row],[_IsSummary]],SUM(INDEX(Tasks[_LeafBudget],Tasks[[#This Row],[_Row]]+1):INDEX(Tasks[_LeafBudget],Tasks[[#This Row],[_Row]]+Tasks[[#This Row],[_Descendants]])),Tasks[[#This Row],[_LeafBudget]]))</f>
        <v/>
      </c>
      <c r="BR7" s="111" t="str">
        <f aca="false">IF(Tasks[[#This Row],[Task Name]]="","",IF(Tasks[[#This Row],[_IsSummary]],SUM(INDEX(Tasks[_LeafPV],Tasks[[#This Row],[_Row]]+1):INDEX(Tasks[_LeafPV],Tasks[[#This Row],[_Row]]+Tasks[[#This Row],[_Descendants]])),Tasks[[#This Row],[_LeafPV]]))</f>
        <v/>
      </c>
      <c r="BS7" s="111" t="str">
        <f aca="false">IF(Tasks[[#This Row],[Task Name]]="","",IF(Tasks[[#This Row],[_IsSummary]],SUM(INDEX(Tasks[_LeafAC],Tasks[[#This Row],[_Row]]+1):INDEX(Tasks[_LeafAC],Tasks[[#This Row],[_Row]]+Tasks[[#This Row],[_Descendants]])),Tasks[[#This Row],[_LeafAC]]))</f>
        <v/>
      </c>
      <c r="BT7" s="38" t="str">
        <f aca="false">IF(Tasks[[#This Row],[Task Name]]="","",MAX(1,N(Tasks[[#This Row],[Level]])))</f>
        <v/>
      </c>
      <c r="BU7" s="38" t="n">
        <f aca="false">ROW()-ROW(Tasks[[#Headers],[ID]])</f>
        <v>2</v>
      </c>
      <c r="BV7" s="38" t="n">
        <f aca="false">IF(OR(Tasks[[#This Row],[Task Name]]="",Tasks[[#This Row],[_Level]]&lt;=1),0,IFERROR(LOOKUP(2,1/(Tasks[[#Headers],[_Level]]:Tasks[[#This Row],[_Level]]=Tasks[[#This Row],[_Level]]-1),ROW(Tasks[[#Headers],[_Level]]:Tasks[[#This Row],[_Level]])),0))</f>
        <v>0</v>
      </c>
      <c r="BW7" s="38" t="n">
        <f aca="false">IFERROR(N(INDEX(Tasks[_Level],Tasks[[#This Row],[_Row]]+1)),0)</f>
        <v>0</v>
      </c>
      <c r="BX7" s="114" t="b">
        <f aca="false">AND(Tasks[[#This Row],[Task Name]]&lt;&gt;"",Tasks[[#This Row],[_NextLevel]]&gt;Tasks[[#This Row],[_Level]])</f>
        <v>0</v>
      </c>
      <c r="BY7" s="38" t="n">
        <f aca="false">IF(Tasks[[#This Row],[_IsSummary]],COUNTIF(Tasks[WBS],Tasks[[#This Row],[WBS]]&amp;".*"),0)</f>
        <v>0</v>
      </c>
      <c r="BZ7" s="38" t="n">
        <f aca="false">IF(AND(Tasks[[#This Row],[Task Name]]&lt;&gt;"",NOT(Tasks[[#This Row],[_IsSummary]])),1,0)</f>
        <v>0</v>
      </c>
      <c r="CA7" s="38" t="n">
        <f aca="false">IF(N(Tasks[[#This Row],[Pred1 UID]])=0,0,IFERROR(MATCH(Tasks[[#This Row],[Pred1 UID]],Tasks[UID],0),-1))</f>
        <v>0</v>
      </c>
      <c r="CB7" s="38" t="n">
        <f aca="false">IF(N(Tasks[[#This Row],[Pred2 UID]])=0,0,IFERROR(MATCH(Tasks[[#This Row],[Pred2 UID]],Tasks[UID],0),-1))</f>
        <v>0</v>
      </c>
      <c r="CC7" s="38" t="n">
        <f aca="false">IF(N(Tasks[[#This Row],[Pred3 UID]])=0,0,IFERROR(MATCH(Tasks[[#This Row],[Pred3 UID]],Tasks[UID],0),-1))</f>
        <v>0</v>
      </c>
      <c r="CD7" s="38" t="n">
        <f aca="false">IF(N(Tasks[[#This Row],[Pred4 UID]])=0,0,IFERROR(MATCH(Tasks[[#This Row],[Pred4 UID]],Tasks[UID],0),-1))</f>
        <v>0</v>
      </c>
      <c r="CE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 s="115" t="n">
        <f aca="false">IF(OR(Tasks[[#This Row],[_ConstraintCode]]=2,Tasks[[#This Row],[_ConstraintCode]]=3,Tasks[[#This Row],[_ConstraintCode]]=4,Tasks[[#This Row],[_ConstraintCode]]=6),Tasks[[#This Row],[_ConstraintStart]],0)</f>
        <v>0</v>
      </c>
      <c r="CH7" s="115" t="n">
        <f aca="false">IF(OR(Tasks[[#This Row],[_ConstraintCode]]=2,Tasks[[#This Row],[_ConstraintCode]]=3,Tasks[[#This Row],[_ConstraintCode]]=5,Tasks[[#This Row],[_ConstraintCode]]=7),Tasks[[#This Row],[_ConstraintStart]],2958465)</f>
        <v>2958465</v>
      </c>
      <c r="CI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 s="115" t="str">
        <f aca="false">IF(NOT(Tasks[[#This Row],[_IsLeaf]]=1),"",IF(N(Tasks[[#This Row],[Duration]])&lt;=0,Tasks[[#This Row],[_LeafCalcStart]],WORKDAY.INTL(Tasks[[#This Row],[_LeafCalcStart]],Tasks[[#This Row],[Duration]]-1,WorkWeek,Holidays)))</f>
        <v/>
      </c>
      <c r="CK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 s="38" t="n">
        <f aca="false">IF(NOT(Tasks[[#This Row],[_IsLeaf]]=1),0,IF(N(Tasks[[#This Row],[Actual Finish]])&gt;0,1,MIN(1,N(Tasks[[#This Row],[% Complete]]))))</f>
        <v>0</v>
      </c>
      <c r="CN7" s="38" t="n">
        <f aca="false">IF(OR(NOT(Tasks[[#This Row],[_IsLeaf]]=1),Tasks[[#This Row],[Resource]]=""),0,N(Tasks[[#This Row],[Duration]])*HoursPerDay*IF(Tasks[[#This Row],[Units]]="",DefaultUnits,Tasks[[#This Row],[Units]]))</f>
        <v>0</v>
      </c>
      <c r="CO7" s="38" t="n">
        <f aca="false">IF(Tasks[[#This Row],[_LeafWork]]=0,0,Tasks[[#This Row],[_LeafWork]]*IFERROR(INDEX(res_Rate,MATCH(Tasks[[#This Row],[Resource]],res_Name,0)),0))</f>
        <v>0</v>
      </c>
      <c r="CP7" s="38" t="n">
        <f aca="false">Tasks[[#This Row],[_LeafWork]]+IF(Tasks[[#This Row],[_IsLeaf]]=1,SUMIFS(asg_Work,asg_TaskUID,Tasks[[#This Row],[UID]],asg_Valid,1),0)</f>
        <v>0</v>
      </c>
      <c r="CQ7" s="38" t="n">
        <f aca="false">Tasks[[#This Row],[_LeafCost]]+IF(Tasks[[#This Row],[_IsLeaf]]=1,SUMIFS(asg_Cost,asg_TaskUID,Tasks[[#This Row],[UID]],asg_Valid,1),0)</f>
        <v>0</v>
      </c>
      <c r="CR7" s="38" t="n">
        <f aca="false">IF(Tasks[[#This Row],[_LeafTotalCost]]=0,Tasks[[#This Row],[_LeafAC]],Tasks[[#This Row],[_LeafAC]]*Tasks[[#This Row],[_LeafCost]]/Tasks[[#This Row],[_LeafTotalCost]])</f>
        <v>0</v>
      </c>
      <c r="CS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 s="38" t="n">
        <f aca="false">IF(NOT(Tasks[[#This Row],[_IsLeaf]]=1),0,MAX(_xlfn.MAXIFS(Tasks[_Row],Tasks[Pred1 UID],Tasks[[#This Row],[UID]]),_xlfn.MAXIFS(Tasks[_Row],Tasks[Pred2 UID],Tasks[[#This Row],[UID]]),_xlfn.MAXIFS(Tasks[_Row],Tasks[Pred3 UID],Tasks[[#This Row],[UID]]),_xlfn.MAXIFS(Tasks[_Row],Tasks[Pred4 UID],Tasks[[#This Row],[UID]])))</f>
        <v>0</v>
      </c>
      <c r="DB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 s="115" t="str">
        <f aca="false">IF(NOT(Tasks[[#This Row],[_IsLeaf]]=1),"",IF(N(Tasks[[#This Row],[Duration]])&lt;=0,Tasks[[#This Row],[_LeafLateFinish]],WORKDAY.INTL(Tasks[[#This Row],[_LeafLateFinish]],-(Tasks[[#This Row],[Duration]]-1),WorkWeek,Holidays)))</f>
        <v/>
      </c>
      <c r="DE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 s="114" t="b">
        <f aca="false">AND(Tasks[[#This Row],[_IsLeaf]]=1,Tasks[[#This Row],[_LeafProgress]]&lt;1,N(Tasks[[#This Row],[_LeafTotalSlack]])&lt;=CriticalSlackDays)</f>
        <v>0</v>
      </c>
      <c r="DG7" s="38" t="n">
        <f aca="false">IF(AND(Tasks[[#This Row],[_IsLeaf]]=1,Tasks[[#This Row],[_ConstraintCode]]=1,Tasks[[#This Row],[Mode]]&lt;&gt;"Manual",N(Tasks[[#This Row],[Actual Start]])=0),MAX(0,N(Tasks[[#This Row],[Free Slack]])),0)</f>
        <v>0</v>
      </c>
      <c r="DH7" s="115" t="str">
        <f aca="false">IF(NOT(Tasks[[#This Row],[_IsLeaf]]=1),"",IF(Tasks[[#This Row],[_AlapShift]]=0,Tasks[[#This Row],[_LeafCalcStart]],WORKDAY.INTL(Tasks[[#This Row],[_LeafCalcStart]],Tasks[[#This Row],[_AlapShift]],WorkWeek,Holidays)))</f>
        <v/>
      </c>
      <c r="DI7" s="115" t="str">
        <f aca="false">IF(NOT(Tasks[[#This Row],[_IsLeaf]]=1),"",IF(Tasks[[#This Row],[_AlapShift]]=0,Tasks[[#This Row],[_LeafCalcFinish]],WORKDAY.INTL(Tasks[[#This Row],[_LeafCalcFinish]],Tasks[[#This Row],[_AlapShift]],WorkWeek,Holidays)))</f>
        <v/>
      </c>
      <c r="DJ7" s="115" t="str">
        <f aca="false">IF(NOT(Tasks[[#This Row],[_IsLeaf]]=1),"",IF(Tasks[[#This Row],[_AlapShift]]=0,Tasks[[#This Row],[_LeafFcstStart]],WORKDAY.INTL(Tasks[[#This Row],[_LeafFcstStart]],Tasks[[#This Row],[_AlapShift]],WorkWeek,Holidays)))</f>
        <v/>
      </c>
      <c r="DK7" s="115" t="str">
        <f aca="false">IF(NOT(Tasks[[#This Row],[_IsLeaf]]=1),"",IF(Tasks[[#This Row],[_AlapShift]]=0,Tasks[[#This Row],[_LeafFcstFinish]],WORKDAY.INTL(Tasks[[#This Row],[_LeafFcstFinish]],Tasks[[#This Row],[_AlapShift]],WorkWeek,Holidays)))</f>
        <v/>
      </c>
      <c r="DL7" s="115" t="str">
        <f aca="false">IF(Tasks[[#This Row],[Task Name]]="","",IF(Tasks[[#This Row],[_IsSummary]],MIN(INDEX(Tasks[_ShownCalcStart],Tasks[[#This Row],[_Row]]+1):INDEX(Tasks[_ShownCalcStart],Tasks[[#This Row],[_Row]]+Tasks[[#This Row],[_Descendants]])),Tasks[[#This Row],[_ShownCalcStart]]))</f>
        <v/>
      </c>
      <c r="DM7" s="115" t="str">
        <f aca="false">IF(Tasks[[#This Row],[Task Name]]="","",IF(Tasks[[#This Row],[_IsSummary]],MAX(INDEX(Tasks[_ShownCalcFinish],Tasks[[#This Row],[_Row]]+1):INDEX(Tasks[_ShownCalcFinish],Tasks[[#This Row],[_Row]]+Tasks[[#This Row],[_Descendants]])),Tasks[[#This Row],[_ShownCalcFinish]]))</f>
        <v/>
      </c>
      <c r="DN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 s="38" t="n">
        <f aca="false">IF(AND(Tasks[[#This Row],[_IsLeaf]]=1,Tasks[[#This Row],[_LeafTotalWork]]&gt;0),NETWORKDAYS.INTL(ProjectStart,Tasks[[#This Row],[_ShownFcstStart]],WorkWeek,Holidays),0)</f>
        <v>0</v>
      </c>
      <c r="EA7" s="38" t="n">
        <f aca="false">IF(AND(Tasks[[#This Row],[_IsLeaf]]=1,Tasks[[#This Row],[_LeafTotalWork]]&gt;0),MAX(Tasks[[#This Row],[_StartWorkday]],NETWORKDAYS.INTL(ProjectStart,Tasks[[#This Row],[_ShownFcstFinish]],WorkWeek,Holidays)),0)</f>
        <v>0</v>
      </c>
      <c r="EB7" s="38" t="n">
        <f aca="false">IF(AND(Tasks[[#This Row],[_IsLeaf]]=1,Tasks[[#This Row],[_LeafTotalWork]]&gt;0),Tasks[[#This Row],[_LeafWork]]/(Tasks[[#This Row],[_FinishWorkday]]-Tasks[[#This Row],[_StartWorkday]]+1),0)</f>
        <v>0</v>
      </c>
      <c r="EC7" s="38" t="n">
        <f aca="false">Tasks[[#This Row],[_WorkPerWorkday]]*(Tasks[[#This Row],[_StartWorkday]]-1)</f>
        <v>-0</v>
      </c>
      <c r="ED7" s="38" t="n">
        <f aca="false">IF(Tasks[[#This Row],[_IsLeaf]]=1,MAX(N(Tasks[[#This Row],[Duration]]),0.1),0)</f>
        <v>0</v>
      </c>
      <c r="EE7" s="38" t="n">
        <f aca="false">Tasks[[#This Row],[_WeightDur]]*Tasks[[#This Row],[_LeafProgress]]</f>
        <v>0</v>
      </c>
      <c r="EF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 s="38" t="str">
        <f aca="false">IF(AND(Tasks[[#This Row],[_IsLeaf]]=1,N(Tasks[[#This Row],[Duration]])=0,Tasks[[#This Row],[_LeafProgress]]&lt;1),Tasks[[#This Row],[_ShownFcstFinish]]+Tasks[[#This Row],[_Row]]/100000,"")</f>
        <v/>
      </c>
      <c r="EH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 s="38" t="n">
        <f aca="false">IF(NOT(Tasks[[#This Row],[_IsLeaf]]=1),0,IF(Tasks[[#This Row],[Baseline Cost]]="",Tasks[[#This Row],[_LeafTotalCost]],N(Tasks[[#This Row],[Baseline Cost]])))</f>
        <v>0</v>
      </c>
      <c r="EJ7" s="38" t="n">
        <f aca="false">Tasks[[#This Row],[_LeafBudget]]*Tasks[[#This Row],[_PlannedPct]]</f>
        <v>0</v>
      </c>
      <c r="EK7" s="38" t="n">
        <f aca="false">Tasks[[#This Row],[_LeafBudget]]*Tasks[[#This Row],[_LeafProgress]]</f>
        <v>0</v>
      </c>
      <c r="EL7" s="38" t="n">
        <f aca="false">IF(NOT(Tasks[[#This Row],[_IsLeaf]]=1),0,IF(Tasks[[#This Row],[Actual Cost]]="",Tasks[[#This Row],[_LeafTotalCost]]*Tasks[[#This Row],[_LeafProgress]],N(Tasks[[#This Row],[Actual Cost]])))</f>
        <v>0</v>
      </c>
      <c r="EM7" s="38" t="str">
        <f aca="false">IF(Tasks[[#This Row],[Task Name]]="","",LEFT(Tasks[[#This Row],[WBS]],FIND(".",Tasks[[#This Row],[WBS]]&amp;".")-1))</f>
        <v/>
      </c>
      <c r="EN7" s="38" t="str">
        <f aca="false">IF(AND(Tasks[[#This Row],[Task Name]]&lt;&gt;"",Tasks[[#This Row],[_Level]]=1),Tasks[[#This Row],[_Row]],"")</f>
        <v/>
      </c>
      <c r="EO7" s="38" t="str">
        <f aca="false">IF(AND(Tasks[[#This Row],[_IsLeaf]]=1,N(Tasks[[#This Row],[Duration]])=0),Tasks[[#This Row],[Planned Finish]]+Tasks[[#This Row],[_Row]]/100000,"")</f>
        <v/>
      </c>
      <c r="EP7" s="38" t="str">
        <f aca="false">IF(AND(Tasks[[#This Row],[_IsLeaf]]=1,Tasks[[#This Row],[_LeafProgress]]&lt;1,OR(N(Tasks[[#This Row],[Finish Var]])&gt;0,Tasks[[#This Row],[Status]]="Late Start")),MAX(0,Tasks[[#This Row],[Finish Var]])+1-Tasks[[#This Row],[_Row]]/1000000,"")</f>
        <v/>
      </c>
      <c r="EQ7" s="38" t="str">
        <f aca="false">IF(AND(Tasks[[#This Row],[_IsLeaf]]=1,N(Tasks[[#This Row],[Actual Start]])=0,Tasks[[#This Row],[_ShownFcstStart]]&gt;=StatusDate,Tasks[[#This Row],[_ShownFcstStart]]&lt;=LookaheadEnd),Tasks[[#This Row],[_ShownFcstStart]]+Tasks[[#This Row],[_Row]]/100000,"")</f>
        <v/>
      </c>
      <c r="ER7" s="38" t="str">
        <f aca="false">IF(AND(Tasks[[#This Row],[_IsLeaf]]=1,Tasks[[#This Row],[_LeafProgress]]&lt;1,Tasks[[#This Row],[_ShownFcstFinish]]&gt;=StatusDate,Tasks[[#This Row],[_ShownFcstFinish]]&lt;=LookaheadEnd),Tasks[[#This Row],[_ShownFcstFinish]]+Tasks[[#This Row],[_Row]]/100000,"")</f>
        <v/>
      </c>
      <c r="ES7" s="38" t="str">
        <f aca="false">IF(Tasks[[#This Row],[_LeafCritical]],Tasks[[#This Row],[_ShownFcstStart]]+Tasks[[#This Row],[_Row]]/100000,"")</f>
        <v/>
      </c>
      <c r="ET7" s="38" t="n">
        <f aca="false">Tasks[[#This Row],[_LeafWork]]*Tasks[[#This Row],[_LeafProgress]]</f>
        <v>0</v>
      </c>
      <c r="EU7" s="115" t="str">
        <f aca="false">IF(AND(Tasks[[#This Row],[_IsLeaf]]=1,Tasks[[#This Row],[_LeafProgress]]&gt;=1),IF(N(Tasks[[#This Row],[Actual Finish]])&gt;0,Tasks[[#This Row],[Actual Finish]],Tasks[[#This Row],[_ShownFcstFinish]]),"")</f>
        <v/>
      </c>
      <c r="EV7" s="38" t="n">
        <f aca="false">IF(Tasks[[#This Row],[_IsLeaf]]=1,N(Tasks[[#This Row],[Story Points]]),0)</f>
        <v>0</v>
      </c>
      <c r="EW7" s="38" t="str">
        <f aca="false">IF(AND(Tasks[[#This Row],[_IsLeaf]]=1,CurrentSprint&lt;&gt;"",Tasks[[#This Row],[Sprint]]=CurrentSprint),Tasks[[#This Row],[_Row]],"")</f>
        <v/>
      </c>
    </row>
    <row r="8" customFormat="false" ht="15" hidden="false" customHeight="false" outlineLevel="0" collapsed="false">
      <c r="A8" s="51" t="str">
        <f aca="false">IF(Tasks[[#This Row],[Task Name]]="","",COUNTA(Tasks[[#Headers],[Task Name]]:Tasks[[#This Row],[Task Name]])-1)</f>
        <v/>
      </c>
      <c r="B8" s="52" t="n">
        <v>3</v>
      </c>
      <c r="C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 s="52"/>
      <c r="E8" s="53"/>
      <c r="F8" s="52"/>
      <c r="G8" s="52"/>
      <c r="H8" s="52"/>
      <c r="I8" s="52"/>
      <c r="J8" s="52"/>
      <c r="K8" s="52"/>
      <c r="L8" s="52"/>
      <c r="M8" s="52"/>
      <c r="N8" s="52"/>
      <c r="O8" s="52"/>
      <c r="P8" s="52"/>
      <c r="Q8" s="52"/>
      <c r="R8" s="52"/>
      <c r="S8" s="53"/>
      <c r="T8" s="102"/>
      <c r="U8" s="102"/>
      <c r="V8" s="7"/>
      <c r="W8" s="7"/>
      <c r="X8" s="53"/>
      <c r="Y8" s="31" t="str">
        <f aca="false">IF(Tasks[[#This Row],[Task Name]]="","",IF(Tasks[[#This Row],[_IsSummary]],MIN(INDEX(Tasks[_ShownFcstStart],Tasks[[#This Row],[_Row]]+1):INDEX(Tasks[_ShownFcstStart],Tasks[[#This Row],[_Row]]+Tasks[[#This Row],[_Descendants]])),Tasks[[#This Row],[_ShownFcstStart]]))</f>
        <v/>
      </c>
      <c r="Z8" s="31" t="str">
        <f aca="false">IF(Tasks[[#This Row],[Task Name]]="","",IF(Tasks[[#This Row],[_IsSummary]],MAX(INDEX(Tasks[_ShownFcstFinish],Tasks[[#This Row],[_Row]]+1):INDEX(Tasks[_ShownFcstFinish],Tasks[[#This Row],[_Row]]+Tasks[[#This Row],[_Descendants]])),Tasks[[#This Row],[_ShownFcstFinish]]))</f>
        <v/>
      </c>
      <c r="AA8" s="51" t="str">
        <f aca="false">IF(Tasks[[#This Row],[Task Name]]="","",IF(Tasks[[#This Row],[Progress]]&gt;=1,"Complete",IF(OR(N(Tasks[[#This Row],[Actual Start]])&gt;0,Tasks[[#This Row],[Progress]]&gt;0),IF(Tasks[[#This Row],[Finish Var]]&gt;0,"Behind","In Progress"),IF(Tasks[[#This Row],[Planned Start]]&lt;StatusDate,"Late Start","Not Started"))))</f>
        <v/>
      </c>
      <c r="AB8" s="51" t="str">
        <f aca="false">IF(Tasks[[#This Row],[Task Name]]="","",IF(IF(Tasks[[#This Row],[_IsSummary]],COUNTIF(INDEX(Tasks[_LeafCritical],Tasks[[#This Row],[_Row]]+1):INDEX(Tasks[_LeafCritical],Tasks[[#This Row],[_Row]]+Tasks[[#This Row],[_Descendants]]),TRUE())&gt;0,Tasks[[#This Row],[_LeafCritical]]),"Yes",""))</f>
        <v/>
      </c>
      <c r="AC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 s="51" t="str">
        <f aca="false">IF(Tasks[[#This Row],[Task Name]]="","",IF(Tasks[[#This Row],[_Level]]&lt;=OutlineShowLevel,"Yes","No"))</f>
        <v/>
      </c>
      <c r="AE8" s="7"/>
      <c r="AF8" s="52"/>
      <c r="AG8" s="53"/>
      <c r="AH8" s="7"/>
      <c r="AI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 s="31" t="str">
        <f aca="false">IF(Tasks[[#This Row],[Task Name]]="","",IF(N(Tasks[[#This Row],[Baseline Start]])&gt;0,Tasks[[#This Row],[Baseline Start]],Tasks[[#This Row],[_CalcStart]]))</f>
        <v/>
      </c>
      <c r="AK8" s="31" t="str">
        <f aca="false">IF(Tasks[[#This Row],[Task Name]]="","",IF(N(Tasks[[#This Row],[Baseline Finish]])&gt;0,Tasks[[#This Row],[Baseline Finish]],Tasks[[#This Row],[_CalcFinish]]))</f>
        <v/>
      </c>
      <c r="AL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 s="31" t="str">
        <f aca="false">IF(Tasks[[#This Row],[Task Name]]="","",IF(Tasks[[#This Row],[_IsSummary]],MIN(INDEX(Tasks[_LeafLateStart],Tasks[[#This Row],[_Row]]+1):INDEX(Tasks[_LeafLateStart],Tasks[[#This Row],[_Row]]+Tasks[[#This Row],[_Descendants]])),Tasks[[#This Row],[_LeafLateStart]]))</f>
        <v/>
      </c>
      <c r="AN8" s="31" t="str">
        <f aca="false">IF(Tasks[[#This Row],[Task Name]]="","",IF(Tasks[[#This Row],[_IsSummary]],MAX(INDEX(Tasks[_LeafLateFinish],Tasks[[#This Row],[_Row]]+1):INDEX(Tasks[_LeafLateFinish],Tasks[[#This Row],[_Row]]+Tasks[[#This Row],[_Descendants]])),Tasks[[#This Row],[_LeafLateFinish]]))</f>
        <v/>
      </c>
      <c r="AO8" s="51" t="str">
        <f aca="false">IF(Tasks[[#This Row],[Task Name]]="","",IF(Tasks[[#This Row],[_IsSummary]],MIN(INDEX(Tasks[_LeafTotalSlack],Tasks[[#This Row],[_Row]]+1):INDEX(Tasks[_LeafTotalSlack],Tasks[[#This Row],[_Row]]+Tasks[[#This Row],[_Descendants]])),Tasks[[#This Row],[_LeafTotalSlack]]))</f>
        <v/>
      </c>
      <c r="AP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 s="110" t="str">
        <f aca="false">IF(Tasks[[#This Row],[Task Name]]="","",IF(Tasks[[#This Row],[_IsSummary]],SUM(INDEX(Tasks[_LeafTotalWork],Tasks[[#This Row],[_Row]]+1):INDEX(Tasks[_LeafTotalWork],Tasks[[#This Row],[_Row]]+Tasks[[#This Row],[_Descendants]])),Tasks[[#This Row],[_LeafTotalWork]]))</f>
        <v/>
      </c>
      <c r="AV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 s="111" t="str">
        <f aca="false">IF(Tasks[[#This Row],[Task Name]]="","",IF(Tasks[[#This Row],[_IsSummary]],SUM(INDEX(Tasks[_LeafTotalCost],Tasks[[#This Row],[_Row]]+1):INDEX(Tasks[_LeafTotalCost],Tasks[[#This Row],[_Row]]+Tasks[[#This Row],[_Descendants]])),Tasks[[#This Row],[_LeafTotalCost]]))</f>
        <v/>
      </c>
      <c r="AY8" s="112"/>
      <c r="AZ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 s="52"/>
      <c r="BB8" s="98"/>
      <c r="BC8" s="51" t="str">
        <f aca="false">IF(OR(Tasks[[#This Row],[Task Name]]="",Tasks[[#This Row],[Baseline Duration]]=""),"",Tasks[[#This Row],[BL Source Duration]]-N(Tasks[[#This Row],[Baseline Duration]]))</f>
        <v/>
      </c>
      <c r="BD8" s="110" t="str">
        <f aca="false">IF(OR(Tasks[[#This Row],[Task Name]]="",Tasks[[#This Row],[Baseline Work]]=""),"",Tasks[[#This Row],[Work]]-N(Tasks[[#This Row],[Baseline Work]]))</f>
        <v/>
      </c>
      <c r="BE8" s="111" t="str">
        <f aca="false">IF(OR(Tasks[[#This Row],[Task Name]]="",Tasks[[#This Row],[Baseline Cost]]=""),"",Tasks[[#This Row],[Cost]]-N(Tasks[[#This Row],[Baseline Cost]]))</f>
        <v/>
      </c>
      <c r="BF8" s="31" t="str">
        <f aca="false">IF(Tasks[[#This Row],[Task Name]]="","",Tasks[[#This Row],[Forecast Start]])</f>
        <v/>
      </c>
      <c r="BG8" s="31" t="str">
        <f aca="false">IF(Tasks[[#This Row],[Task Name]]="","",Tasks[[#This Row],[Forecast Finish]])</f>
        <v/>
      </c>
      <c r="BH8" s="51" t="str">
        <f aca="false">IF(Tasks[[#This Row],[Task Name]]="","",IF(Tasks[[#This Row],[_IsSummary]],NETWORKDAYS.INTL(Tasks[[#This Row],[Forecast Start]],Tasks[[#This Row],[Forecast Finish]],WorkWeek,Holidays),N(Tasks[[#This Row],[Duration]])))</f>
        <v/>
      </c>
      <c r="BI8" s="110" t="str">
        <f aca="false">IF(Tasks[[#This Row],[Task Name]]="","",Tasks[[#This Row],[Work]])</f>
        <v/>
      </c>
      <c r="BJ8" s="111" t="str">
        <f aca="false">IF(Tasks[[#This Row],[Task Name]]="","",Tasks[[#This Row],[Cost]])</f>
        <v/>
      </c>
      <c r="BK8" s="7"/>
      <c r="BL8" s="7"/>
      <c r="BM8" s="52"/>
      <c r="BN8" s="113"/>
      <c r="BO8" s="112"/>
      <c r="BP8" s="111" t="str">
        <f aca="false">IF(Tasks[[#This Row],[Task Name]]="","",IF(Tasks[[#This Row],[_IsSummary]],SUM(INDEX(Tasks[_LeafEV],Tasks[[#This Row],[_Row]]+1):INDEX(Tasks[_LeafEV],Tasks[[#This Row],[_Row]]+Tasks[[#This Row],[_Descendants]])),Tasks[[#This Row],[_LeafEV]]))</f>
        <v/>
      </c>
      <c r="BQ8" s="111" t="str">
        <f aca="false">IF(Tasks[[#This Row],[Task Name]]="","",IF(Tasks[[#This Row],[_IsSummary]],SUM(INDEX(Tasks[_LeafBudget],Tasks[[#This Row],[_Row]]+1):INDEX(Tasks[_LeafBudget],Tasks[[#This Row],[_Row]]+Tasks[[#This Row],[_Descendants]])),Tasks[[#This Row],[_LeafBudget]]))</f>
        <v/>
      </c>
      <c r="BR8" s="111" t="str">
        <f aca="false">IF(Tasks[[#This Row],[Task Name]]="","",IF(Tasks[[#This Row],[_IsSummary]],SUM(INDEX(Tasks[_LeafPV],Tasks[[#This Row],[_Row]]+1):INDEX(Tasks[_LeafPV],Tasks[[#This Row],[_Row]]+Tasks[[#This Row],[_Descendants]])),Tasks[[#This Row],[_LeafPV]]))</f>
        <v/>
      </c>
      <c r="BS8" s="111" t="str">
        <f aca="false">IF(Tasks[[#This Row],[Task Name]]="","",IF(Tasks[[#This Row],[_IsSummary]],SUM(INDEX(Tasks[_LeafAC],Tasks[[#This Row],[_Row]]+1):INDEX(Tasks[_LeafAC],Tasks[[#This Row],[_Row]]+Tasks[[#This Row],[_Descendants]])),Tasks[[#This Row],[_LeafAC]]))</f>
        <v/>
      </c>
      <c r="BT8" s="38" t="str">
        <f aca="false">IF(Tasks[[#This Row],[Task Name]]="","",MAX(1,N(Tasks[[#This Row],[Level]])))</f>
        <v/>
      </c>
      <c r="BU8" s="38" t="n">
        <f aca="false">ROW()-ROW(Tasks[[#Headers],[ID]])</f>
        <v>3</v>
      </c>
      <c r="BV8" s="38" t="n">
        <f aca="false">IF(OR(Tasks[[#This Row],[Task Name]]="",Tasks[[#This Row],[_Level]]&lt;=1),0,IFERROR(LOOKUP(2,1/(Tasks[[#Headers],[_Level]]:Tasks[[#This Row],[_Level]]=Tasks[[#This Row],[_Level]]-1),ROW(Tasks[[#Headers],[_Level]]:Tasks[[#This Row],[_Level]])),0))</f>
        <v>0</v>
      </c>
      <c r="BW8" s="38" t="n">
        <f aca="false">IFERROR(N(INDEX(Tasks[_Level],Tasks[[#This Row],[_Row]]+1)),0)</f>
        <v>0</v>
      </c>
      <c r="BX8" s="114" t="b">
        <f aca="false">AND(Tasks[[#This Row],[Task Name]]&lt;&gt;"",Tasks[[#This Row],[_NextLevel]]&gt;Tasks[[#This Row],[_Level]])</f>
        <v>0</v>
      </c>
      <c r="BY8" s="38" t="n">
        <f aca="false">IF(Tasks[[#This Row],[_IsSummary]],COUNTIF(Tasks[WBS],Tasks[[#This Row],[WBS]]&amp;".*"),0)</f>
        <v>0</v>
      </c>
      <c r="BZ8" s="38" t="n">
        <f aca="false">IF(AND(Tasks[[#This Row],[Task Name]]&lt;&gt;"",NOT(Tasks[[#This Row],[_IsSummary]])),1,0)</f>
        <v>0</v>
      </c>
      <c r="CA8" s="38" t="n">
        <f aca="false">IF(N(Tasks[[#This Row],[Pred1 UID]])=0,0,IFERROR(MATCH(Tasks[[#This Row],[Pred1 UID]],Tasks[UID],0),-1))</f>
        <v>0</v>
      </c>
      <c r="CB8" s="38" t="n">
        <f aca="false">IF(N(Tasks[[#This Row],[Pred2 UID]])=0,0,IFERROR(MATCH(Tasks[[#This Row],[Pred2 UID]],Tasks[UID],0),-1))</f>
        <v>0</v>
      </c>
      <c r="CC8" s="38" t="n">
        <f aca="false">IF(N(Tasks[[#This Row],[Pred3 UID]])=0,0,IFERROR(MATCH(Tasks[[#This Row],[Pred3 UID]],Tasks[UID],0),-1))</f>
        <v>0</v>
      </c>
      <c r="CD8" s="38" t="n">
        <f aca="false">IF(N(Tasks[[#This Row],[Pred4 UID]])=0,0,IFERROR(MATCH(Tasks[[#This Row],[Pred4 UID]],Tasks[UID],0),-1))</f>
        <v>0</v>
      </c>
      <c r="CE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 s="115" t="n">
        <f aca="false">IF(OR(Tasks[[#This Row],[_ConstraintCode]]=2,Tasks[[#This Row],[_ConstraintCode]]=3,Tasks[[#This Row],[_ConstraintCode]]=4,Tasks[[#This Row],[_ConstraintCode]]=6),Tasks[[#This Row],[_ConstraintStart]],0)</f>
        <v>0</v>
      </c>
      <c r="CH8" s="115" t="n">
        <f aca="false">IF(OR(Tasks[[#This Row],[_ConstraintCode]]=2,Tasks[[#This Row],[_ConstraintCode]]=3,Tasks[[#This Row],[_ConstraintCode]]=5,Tasks[[#This Row],[_ConstraintCode]]=7),Tasks[[#This Row],[_ConstraintStart]],2958465)</f>
        <v>2958465</v>
      </c>
      <c r="CI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 s="115" t="str">
        <f aca="false">IF(NOT(Tasks[[#This Row],[_IsLeaf]]=1),"",IF(N(Tasks[[#This Row],[Duration]])&lt;=0,Tasks[[#This Row],[_LeafCalcStart]],WORKDAY.INTL(Tasks[[#This Row],[_LeafCalcStart]],Tasks[[#This Row],[Duration]]-1,WorkWeek,Holidays)))</f>
        <v/>
      </c>
      <c r="CK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 s="38" t="n">
        <f aca="false">IF(NOT(Tasks[[#This Row],[_IsLeaf]]=1),0,IF(N(Tasks[[#This Row],[Actual Finish]])&gt;0,1,MIN(1,N(Tasks[[#This Row],[% Complete]]))))</f>
        <v>0</v>
      </c>
      <c r="CN8" s="38" t="n">
        <f aca="false">IF(OR(NOT(Tasks[[#This Row],[_IsLeaf]]=1),Tasks[[#This Row],[Resource]]=""),0,N(Tasks[[#This Row],[Duration]])*HoursPerDay*IF(Tasks[[#This Row],[Units]]="",DefaultUnits,Tasks[[#This Row],[Units]]))</f>
        <v>0</v>
      </c>
      <c r="CO8" s="38" t="n">
        <f aca="false">IF(Tasks[[#This Row],[_LeafWork]]=0,0,Tasks[[#This Row],[_LeafWork]]*IFERROR(INDEX(res_Rate,MATCH(Tasks[[#This Row],[Resource]],res_Name,0)),0))</f>
        <v>0</v>
      </c>
      <c r="CP8" s="38" t="n">
        <f aca="false">Tasks[[#This Row],[_LeafWork]]+IF(Tasks[[#This Row],[_IsLeaf]]=1,SUMIFS(asg_Work,asg_TaskUID,Tasks[[#This Row],[UID]],asg_Valid,1),0)</f>
        <v>0</v>
      </c>
      <c r="CQ8" s="38" t="n">
        <f aca="false">Tasks[[#This Row],[_LeafCost]]+IF(Tasks[[#This Row],[_IsLeaf]]=1,SUMIFS(asg_Cost,asg_TaskUID,Tasks[[#This Row],[UID]],asg_Valid,1),0)</f>
        <v>0</v>
      </c>
      <c r="CR8" s="38" t="n">
        <f aca="false">IF(Tasks[[#This Row],[_LeafTotalCost]]=0,Tasks[[#This Row],[_LeafAC]],Tasks[[#This Row],[_LeafAC]]*Tasks[[#This Row],[_LeafCost]]/Tasks[[#This Row],[_LeafTotalCost]])</f>
        <v>0</v>
      </c>
      <c r="CS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 s="38" t="n">
        <f aca="false">IF(NOT(Tasks[[#This Row],[_IsLeaf]]=1),0,MAX(_xlfn.MAXIFS(Tasks[_Row],Tasks[Pred1 UID],Tasks[[#This Row],[UID]]),_xlfn.MAXIFS(Tasks[_Row],Tasks[Pred2 UID],Tasks[[#This Row],[UID]]),_xlfn.MAXIFS(Tasks[_Row],Tasks[Pred3 UID],Tasks[[#This Row],[UID]]),_xlfn.MAXIFS(Tasks[_Row],Tasks[Pred4 UID],Tasks[[#This Row],[UID]])))</f>
        <v>0</v>
      </c>
      <c r="DB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 s="115" t="str">
        <f aca="false">IF(NOT(Tasks[[#This Row],[_IsLeaf]]=1),"",IF(N(Tasks[[#This Row],[Duration]])&lt;=0,Tasks[[#This Row],[_LeafLateFinish]],WORKDAY.INTL(Tasks[[#This Row],[_LeafLateFinish]],-(Tasks[[#This Row],[Duration]]-1),WorkWeek,Holidays)))</f>
        <v/>
      </c>
      <c r="DE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 s="114" t="b">
        <f aca="false">AND(Tasks[[#This Row],[_IsLeaf]]=1,Tasks[[#This Row],[_LeafProgress]]&lt;1,N(Tasks[[#This Row],[_LeafTotalSlack]])&lt;=CriticalSlackDays)</f>
        <v>0</v>
      </c>
      <c r="DG8" s="38" t="n">
        <f aca="false">IF(AND(Tasks[[#This Row],[_IsLeaf]]=1,Tasks[[#This Row],[_ConstraintCode]]=1,Tasks[[#This Row],[Mode]]&lt;&gt;"Manual",N(Tasks[[#This Row],[Actual Start]])=0),MAX(0,N(Tasks[[#This Row],[Free Slack]])),0)</f>
        <v>0</v>
      </c>
      <c r="DH8" s="115" t="str">
        <f aca="false">IF(NOT(Tasks[[#This Row],[_IsLeaf]]=1),"",IF(Tasks[[#This Row],[_AlapShift]]=0,Tasks[[#This Row],[_LeafCalcStart]],WORKDAY.INTL(Tasks[[#This Row],[_LeafCalcStart]],Tasks[[#This Row],[_AlapShift]],WorkWeek,Holidays)))</f>
        <v/>
      </c>
      <c r="DI8" s="115" t="str">
        <f aca="false">IF(NOT(Tasks[[#This Row],[_IsLeaf]]=1),"",IF(Tasks[[#This Row],[_AlapShift]]=0,Tasks[[#This Row],[_LeafCalcFinish]],WORKDAY.INTL(Tasks[[#This Row],[_LeafCalcFinish]],Tasks[[#This Row],[_AlapShift]],WorkWeek,Holidays)))</f>
        <v/>
      </c>
      <c r="DJ8" s="115" t="str">
        <f aca="false">IF(NOT(Tasks[[#This Row],[_IsLeaf]]=1),"",IF(Tasks[[#This Row],[_AlapShift]]=0,Tasks[[#This Row],[_LeafFcstStart]],WORKDAY.INTL(Tasks[[#This Row],[_LeafFcstStart]],Tasks[[#This Row],[_AlapShift]],WorkWeek,Holidays)))</f>
        <v/>
      </c>
      <c r="DK8" s="115" t="str">
        <f aca="false">IF(NOT(Tasks[[#This Row],[_IsLeaf]]=1),"",IF(Tasks[[#This Row],[_AlapShift]]=0,Tasks[[#This Row],[_LeafFcstFinish]],WORKDAY.INTL(Tasks[[#This Row],[_LeafFcstFinish]],Tasks[[#This Row],[_AlapShift]],WorkWeek,Holidays)))</f>
        <v/>
      </c>
      <c r="DL8" s="115" t="str">
        <f aca="false">IF(Tasks[[#This Row],[Task Name]]="","",IF(Tasks[[#This Row],[_IsSummary]],MIN(INDEX(Tasks[_ShownCalcStart],Tasks[[#This Row],[_Row]]+1):INDEX(Tasks[_ShownCalcStart],Tasks[[#This Row],[_Row]]+Tasks[[#This Row],[_Descendants]])),Tasks[[#This Row],[_ShownCalcStart]]))</f>
        <v/>
      </c>
      <c r="DM8" s="115" t="str">
        <f aca="false">IF(Tasks[[#This Row],[Task Name]]="","",IF(Tasks[[#This Row],[_IsSummary]],MAX(INDEX(Tasks[_ShownCalcFinish],Tasks[[#This Row],[_Row]]+1):INDEX(Tasks[_ShownCalcFinish],Tasks[[#This Row],[_Row]]+Tasks[[#This Row],[_Descendants]])),Tasks[[#This Row],[_ShownCalcFinish]]))</f>
        <v/>
      </c>
      <c r="DN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 s="38" t="n">
        <f aca="false">IF(AND(Tasks[[#This Row],[_IsLeaf]]=1,Tasks[[#This Row],[_LeafTotalWork]]&gt;0),NETWORKDAYS.INTL(ProjectStart,Tasks[[#This Row],[_ShownFcstStart]],WorkWeek,Holidays),0)</f>
        <v>0</v>
      </c>
      <c r="EA8" s="38" t="n">
        <f aca="false">IF(AND(Tasks[[#This Row],[_IsLeaf]]=1,Tasks[[#This Row],[_LeafTotalWork]]&gt;0),MAX(Tasks[[#This Row],[_StartWorkday]],NETWORKDAYS.INTL(ProjectStart,Tasks[[#This Row],[_ShownFcstFinish]],WorkWeek,Holidays)),0)</f>
        <v>0</v>
      </c>
      <c r="EB8" s="38" t="n">
        <f aca="false">IF(AND(Tasks[[#This Row],[_IsLeaf]]=1,Tasks[[#This Row],[_LeafTotalWork]]&gt;0),Tasks[[#This Row],[_LeafWork]]/(Tasks[[#This Row],[_FinishWorkday]]-Tasks[[#This Row],[_StartWorkday]]+1),0)</f>
        <v>0</v>
      </c>
      <c r="EC8" s="38" t="n">
        <f aca="false">Tasks[[#This Row],[_WorkPerWorkday]]*(Tasks[[#This Row],[_StartWorkday]]-1)</f>
        <v>-0</v>
      </c>
      <c r="ED8" s="38" t="n">
        <f aca="false">IF(Tasks[[#This Row],[_IsLeaf]]=1,MAX(N(Tasks[[#This Row],[Duration]]),0.1),0)</f>
        <v>0</v>
      </c>
      <c r="EE8" s="38" t="n">
        <f aca="false">Tasks[[#This Row],[_WeightDur]]*Tasks[[#This Row],[_LeafProgress]]</f>
        <v>0</v>
      </c>
      <c r="EF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 s="38" t="str">
        <f aca="false">IF(AND(Tasks[[#This Row],[_IsLeaf]]=1,N(Tasks[[#This Row],[Duration]])=0,Tasks[[#This Row],[_LeafProgress]]&lt;1),Tasks[[#This Row],[_ShownFcstFinish]]+Tasks[[#This Row],[_Row]]/100000,"")</f>
        <v/>
      </c>
      <c r="EH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 s="38" t="n">
        <f aca="false">IF(NOT(Tasks[[#This Row],[_IsLeaf]]=1),0,IF(Tasks[[#This Row],[Baseline Cost]]="",Tasks[[#This Row],[_LeafTotalCost]],N(Tasks[[#This Row],[Baseline Cost]])))</f>
        <v>0</v>
      </c>
      <c r="EJ8" s="38" t="n">
        <f aca="false">Tasks[[#This Row],[_LeafBudget]]*Tasks[[#This Row],[_PlannedPct]]</f>
        <v>0</v>
      </c>
      <c r="EK8" s="38" t="n">
        <f aca="false">Tasks[[#This Row],[_LeafBudget]]*Tasks[[#This Row],[_LeafProgress]]</f>
        <v>0</v>
      </c>
      <c r="EL8" s="38" t="n">
        <f aca="false">IF(NOT(Tasks[[#This Row],[_IsLeaf]]=1),0,IF(Tasks[[#This Row],[Actual Cost]]="",Tasks[[#This Row],[_LeafTotalCost]]*Tasks[[#This Row],[_LeafProgress]],N(Tasks[[#This Row],[Actual Cost]])))</f>
        <v>0</v>
      </c>
      <c r="EM8" s="38" t="str">
        <f aca="false">IF(Tasks[[#This Row],[Task Name]]="","",LEFT(Tasks[[#This Row],[WBS]],FIND(".",Tasks[[#This Row],[WBS]]&amp;".")-1))</f>
        <v/>
      </c>
      <c r="EN8" s="38" t="str">
        <f aca="false">IF(AND(Tasks[[#This Row],[Task Name]]&lt;&gt;"",Tasks[[#This Row],[_Level]]=1),Tasks[[#This Row],[_Row]],"")</f>
        <v/>
      </c>
      <c r="EO8" s="38" t="str">
        <f aca="false">IF(AND(Tasks[[#This Row],[_IsLeaf]]=1,N(Tasks[[#This Row],[Duration]])=0),Tasks[[#This Row],[Planned Finish]]+Tasks[[#This Row],[_Row]]/100000,"")</f>
        <v/>
      </c>
      <c r="EP8" s="38" t="str">
        <f aca="false">IF(AND(Tasks[[#This Row],[_IsLeaf]]=1,Tasks[[#This Row],[_LeafProgress]]&lt;1,OR(N(Tasks[[#This Row],[Finish Var]])&gt;0,Tasks[[#This Row],[Status]]="Late Start")),MAX(0,Tasks[[#This Row],[Finish Var]])+1-Tasks[[#This Row],[_Row]]/1000000,"")</f>
        <v/>
      </c>
      <c r="EQ8" s="38" t="str">
        <f aca="false">IF(AND(Tasks[[#This Row],[_IsLeaf]]=1,N(Tasks[[#This Row],[Actual Start]])=0,Tasks[[#This Row],[_ShownFcstStart]]&gt;=StatusDate,Tasks[[#This Row],[_ShownFcstStart]]&lt;=LookaheadEnd),Tasks[[#This Row],[_ShownFcstStart]]+Tasks[[#This Row],[_Row]]/100000,"")</f>
        <v/>
      </c>
      <c r="ER8" s="38" t="str">
        <f aca="false">IF(AND(Tasks[[#This Row],[_IsLeaf]]=1,Tasks[[#This Row],[_LeafProgress]]&lt;1,Tasks[[#This Row],[_ShownFcstFinish]]&gt;=StatusDate,Tasks[[#This Row],[_ShownFcstFinish]]&lt;=LookaheadEnd),Tasks[[#This Row],[_ShownFcstFinish]]+Tasks[[#This Row],[_Row]]/100000,"")</f>
        <v/>
      </c>
      <c r="ES8" s="38" t="str">
        <f aca="false">IF(Tasks[[#This Row],[_LeafCritical]],Tasks[[#This Row],[_ShownFcstStart]]+Tasks[[#This Row],[_Row]]/100000,"")</f>
        <v/>
      </c>
      <c r="ET8" s="38" t="n">
        <f aca="false">Tasks[[#This Row],[_LeafWork]]*Tasks[[#This Row],[_LeafProgress]]</f>
        <v>0</v>
      </c>
      <c r="EU8" s="115" t="str">
        <f aca="false">IF(AND(Tasks[[#This Row],[_IsLeaf]]=1,Tasks[[#This Row],[_LeafProgress]]&gt;=1),IF(N(Tasks[[#This Row],[Actual Finish]])&gt;0,Tasks[[#This Row],[Actual Finish]],Tasks[[#This Row],[_ShownFcstFinish]]),"")</f>
        <v/>
      </c>
      <c r="EV8" s="38" t="n">
        <f aca="false">IF(Tasks[[#This Row],[_IsLeaf]]=1,N(Tasks[[#This Row],[Story Points]]),0)</f>
        <v>0</v>
      </c>
      <c r="EW8" s="38" t="str">
        <f aca="false">IF(AND(Tasks[[#This Row],[_IsLeaf]]=1,CurrentSprint&lt;&gt;"",Tasks[[#This Row],[Sprint]]=CurrentSprint),Tasks[[#This Row],[_Row]],"")</f>
        <v/>
      </c>
    </row>
    <row r="9" customFormat="false" ht="15" hidden="false" customHeight="false" outlineLevel="0" collapsed="false">
      <c r="A9" s="51" t="str">
        <f aca="false">IF(Tasks[[#This Row],[Task Name]]="","",COUNTA(Tasks[[#Headers],[Task Name]]:Tasks[[#This Row],[Task Name]])-1)</f>
        <v/>
      </c>
      <c r="B9" s="52" t="n">
        <v>4</v>
      </c>
      <c r="C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 s="52"/>
      <c r="E9" s="53"/>
      <c r="F9" s="52"/>
      <c r="G9" s="52"/>
      <c r="H9" s="52"/>
      <c r="I9" s="52"/>
      <c r="J9" s="52"/>
      <c r="K9" s="52"/>
      <c r="L9" s="52"/>
      <c r="M9" s="52"/>
      <c r="N9" s="52"/>
      <c r="O9" s="52"/>
      <c r="P9" s="52"/>
      <c r="Q9" s="52"/>
      <c r="R9" s="52"/>
      <c r="S9" s="53"/>
      <c r="T9" s="102"/>
      <c r="U9" s="102"/>
      <c r="V9" s="7"/>
      <c r="W9" s="7"/>
      <c r="X9" s="53"/>
      <c r="Y9" s="31" t="str">
        <f aca="false">IF(Tasks[[#This Row],[Task Name]]="","",IF(Tasks[[#This Row],[_IsSummary]],MIN(INDEX(Tasks[_ShownFcstStart],Tasks[[#This Row],[_Row]]+1):INDEX(Tasks[_ShownFcstStart],Tasks[[#This Row],[_Row]]+Tasks[[#This Row],[_Descendants]])),Tasks[[#This Row],[_ShownFcstStart]]))</f>
        <v/>
      </c>
      <c r="Z9" s="31" t="str">
        <f aca="false">IF(Tasks[[#This Row],[Task Name]]="","",IF(Tasks[[#This Row],[_IsSummary]],MAX(INDEX(Tasks[_ShownFcstFinish],Tasks[[#This Row],[_Row]]+1):INDEX(Tasks[_ShownFcstFinish],Tasks[[#This Row],[_Row]]+Tasks[[#This Row],[_Descendants]])),Tasks[[#This Row],[_ShownFcstFinish]]))</f>
        <v/>
      </c>
      <c r="AA9" s="51" t="str">
        <f aca="false">IF(Tasks[[#This Row],[Task Name]]="","",IF(Tasks[[#This Row],[Progress]]&gt;=1,"Complete",IF(OR(N(Tasks[[#This Row],[Actual Start]])&gt;0,Tasks[[#This Row],[Progress]]&gt;0),IF(Tasks[[#This Row],[Finish Var]]&gt;0,"Behind","In Progress"),IF(Tasks[[#This Row],[Planned Start]]&lt;StatusDate,"Late Start","Not Started"))))</f>
        <v/>
      </c>
      <c r="AB9" s="51" t="str">
        <f aca="false">IF(Tasks[[#This Row],[Task Name]]="","",IF(IF(Tasks[[#This Row],[_IsSummary]],COUNTIF(INDEX(Tasks[_LeafCritical],Tasks[[#This Row],[_Row]]+1):INDEX(Tasks[_LeafCritical],Tasks[[#This Row],[_Row]]+Tasks[[#This Row],[_Descendants]]),TRUE())&gt;0,Tasks[[#This Row],[_LeafCritical]]),"Yes",""))</f>
        <v/>
      </c>
      <c r="AC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 s="51" t="str">
        <f aca="false">IF(Tasks[[#This Row],[Task Name]]="","",IF(Tasks[[#This Row],[_Level]]&lt;=OutlineShowLevel,"Yes","No"))</f>
        <v/>
      </c>
      <c r="AE9" s="7"/>
      <c r="AF9" s="52"/>
      <c r="AG9" s="53"/>
      <c r="AH9" s="7"/>
      <c r="AI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 s="31" t="str">
        <f aca="false">IF(Tasks[[#This Row],[Task Name]]="","",IF(N(Tasks[[#This Row],[Baseline Start]])&gt;0,Tasks[[#This Row],[Baseline Start]],Tasks[[#This Row],[_CalcStart]]))</f>
        <v/>
      </c>
      <c r="AK9" s="31" t="str">
        <f aca="false">IF(Tasks[[#This Row],[Task Name]]="","",IF(N(Tasks[[#This Row],[Baseline Finish]])&gt;0,Tasks[[#This Row],[Baseline Finish]],Tasks[[#This Row],[_CalcFinish]]))</f>
        <v/>
      </c>
      <c r="AL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 s="31" t="str">
        <f aca="false">IF(Tasks[[#This Row],[Task Name]]="","",IF(Tasks[[#This Row],[_IsSummary]],MIN(INDEX(Tasks[_LeafLateStart],Tasks[[#This Row],[_Row]]+1):INDEX(Tasks[_LeafLateStart],Tasks[[#This Row],[_Row]]+Tasks[[#This Row],[_Descendants]])),Tasks[[#This Row],[_LeafLateStart]]))</f>
        <v/>
      </c>
      <c r="AN9" s="31" t="str">
        <f aca="false">IF(Tasks[[#This Row],[Task Name]]="","",IF(Tasks[[#This Row],[_IsSummary]],MAX(INDEX(Tasks[_LeafLateFinish],Tasks[[#This Row],[_Row]]+1):INDEX(Tasks[_LeafLateFinish],Tasks[[#This Row],[_Row]]+Tasks[[#This Row],[_Descendants]])),Tasks[[#This Row],[_LeafLateFinish]]))</f>
        <v/>
      </c>
      <c r="AO9" s="51" t="str">
        <f aca="false">IF(Tasks[[#This Row],[Task Name]]="","",IF(Tasks[[#This Row],[_IsSummary]],MIN(INDEX(Tasks[_LeafTotalSlack],Tasks[[#This Row],[_Row]]+1):INDEX(Tasks[_LeafTotalSlack],Tasks[[#This Row],[_Row]]+Tasks[[#This Row],[_Descendants]])),Tasks[[#This Row],[_LeafTotalSlack]]))</f>
        <v/>
      </c>
      <c r="AP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 s="110" t="str">
        <f aca="false">IF(Tasks[[#This Row],[Task Name]]="","",IF(Tasks[[#This Row],[_IsSummary]],SUM(INDEX(Tasks[_LeafTotalWork],Tasks[[#This Row],[_Row]]+1):INDEX(Tasks[_LeafTotalWork],Tasks[[#This Row],[_Row]]+Tasks[[#This Row],[_Descendants]])),Tasks[[#This Row],[_LeafTotalWork]]))</f>
        <v/>
      </c>
      <c r="AV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 s="111" t="str">
        <f aca="false">IF(Tasks[[#This Row],[Task Name]]="","",IF(Tasks[[#This Row],[_IsSummary]],SUM(INDEX(Tasks[_LeafTotalCost],Tasks[[#This Row],[_Row]]+1):INDEX(Tasks[_LeafTotalCost],Tasks[[#This Row],[_Row]]+Tasks[[#This Row],[_Descendants]])),Tasks[[#This Row],[_LeafTotalCost]]))</f>
        <v/>
      </c>
      <c r="AY9" s="112"/>
      <c r="AZ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 s="52"/>
      <c r="BB9" s="98"/>
      <c r="BC9" s="51" t="str">
        <f aca="false">IF(OR(Tasks[[#This Row],[Task Name]]="",Tasks[[#This Row],[Baseline Duration]]=""),"",Tasks[[#This Row],[BL Source Duration]]-N(Tasks[[#This Row],[Baseline Duration]]))</f>
        <v/>
      </c>
      <c r="BD9" s="110" t="str">
        <f aca="false">IF(OR(Tasks[[#This Row],[Task Name]]="",Tasks[[#This Row],[Baseline Work]]=""),"",Tasks[[#This Row],[Work]]-N(Tasks[[#This Row],[Baseline Work]]))</f>
        <v/>
      </c>
      <c r="BE9" s="111" t="str">
        <f aca="false">IF(OR(Tasks[[#This Row],[Task Name]]="",Tasks[[#This Row],[Baseline Cost]]=""),"",Tasks[[#This Row],[Cost]]-N(Tasks[[#This Row],[Baseline Cost]]))</f>
        <v/>
      </c>
      <c r="BF9" s="31" t="str">
        <f aca="false">IF(Tasks[[#This Row],[Task Name]]="","",Tasks[[#This Row],[Forecast Start]])</f>
        <v/>
      </c>
      <c r="BG9" s="31" t="str">
        <f aca="false">IF(Tasks[[#This Row],[Task Name]]="","",Tasks[[#This Row],[Forecast Finish]])</f>
        <v/>
      </c>
      <c r="BH9" s="51" t="str">
        <f aca="false">IF(Tasks[[#This Row],[Task Name]]="","",IF(Tasks[[#This Row],[_IsSummary]],NETWORKDAYS.INTL(Tasks[[#This Row],[Forecast Start]],Tasks[[#This Row],[Forecast Finish]],WorkWeek,Holidays),N(Tasks[[#This Row],[Duration]])))</f>
        <v/>
      </c>
      <c r="BI9" s="110" t="str">
        <f aca="false">IF(Tasks[[#This Row],[Task Name]]="","",Tasks[[#This Row],[Work]])</f>
        <v/>
      </c>
      <c r="BJ9" s="111" t="str">
        <f aca="false">IF(Tasks[[#This Row],[Task Name]]="","",Tasks[[#This Row],[Cost]])</f>
        <v/>
      </c>
      <c r="BK9" s="7"/>
      <c r="BL9" s="7"/>
      <c r="BM9" s="52"/>
      <c r="BN9" s="113"/>
      <c r="BO9" s="112"/>
      <c r="BP9" s="111" t="str">
        <f aca="false">IF(Tasks[[#This Row],[Task Name]]="","",IF(Tasks[[#This Row],[_IsSummary]],SUM(INDEX(Tasks[_LeafEV],Tasks[[#This Row],[_Row]]+1):INDEX(Tasks[_LeafEV],Tasks[[#This Row],[_Row]]+Tasks[[#This Row],[_Descendants]])),Tasks[[#This Row],[_LeafEV]]))</f>
        <v/>
      </c>
      <c r="BQ9" s="111" t="str">
        <f aca="false">IF(Tasks[[#This Row],[Task Name]]="","",IF(Tasks[[#This Row],[_IsSummary]],SUM(INDEX(Tasks[_LeafBudget],Tasks[[#This Row],[_Row]]+1):INDEX(Tasks[_LeafBudget],Tasks[[#This Row],[_Row]]+Tasks[[#This Row],[_Descendants]])),Tasks[[#This Row],[_LeafBudget]]))</f>
        <v/>
      </c>
      <c r="BR9" s="111" t="str">
        <f aca="false">IF(Tasks[[#This Row],[Task Name]]="","",IF(Tasks[[#This Row],[_IsSummary]],SUM(INDEX(Tasks[_LeafPV],Tasks[[#This Row],[_Row]]+1):INDEX(Tasks[_LeafPV],Tasks[[#This Row],[_Row]]+Tasks[[#This Row],[_Descendants]])),Tasks[[#This Row],[_LeafPV]]))</f>
        <v/>
      </c>
      <c r="BS9" s="111" t="str">
        <f aca="false">IF(Tasks[[#This Row],[Task Name]]="","",IF(Tasks[[#This Row],[_IsSummary]],SUM(INDEX(Tasks[_LeafAC],Tasks[[#This Row],[_Row]]+1):INDEX(Tasks[_LeafAC],Tasks[[#This Row],[_Row]]+Tasks[[#This Row],[_Descendants]])),Tasks[[#This Row],[_LeafAC]]))</f>
        <v/>
      </c>
      <c r="BT9" s="38" t="str">
        <f aca="false">IF(Tasks[[#This Row],[Task Name]]="","",MAX(1,N(Tasks[[#This Row],[Level]])))</f>
        <v/>
      </c>
      <c r="BU9" s="38" t="n">
        <f aca="false">ROW()-ROW(Tasks[[#Headers],[ID]])</f>
        <v>4</v>
      </c>
      <c r="BV9" s="38" t="n">
        <f aca="false">IF(OR(Tasks[[#This Row],[Task Name]]="",Tasks[[#This Row],[_Level]]&lt;=1),0,IFERROR(LOOKUP(2,1/(Tasks[[#Headers],[_Level]]:Tasks[[#This Row],[_Level]]=Tasks[[#This Row],[_Level]]-1),ROW(Tasks[[#Headers],[_Level]]:Tasks[[#This Row],[_Level]])),0))</f>
        <v>0</v>
      </c>
      <c r="BW9" s="38" t="n">
        <f aca="false">IFERROR(N(INDEX(Tasks[_Level],Tasks[[#This Row],[_Row]]+1)),0)</f>
        <v>0</v>
      </c>
      <c r="BX9" s="114" t="b">
        <f aca="false">AND(Tasks[[#This Row],[Task Name]]&lt;&gt;"",Tasks[[#This Row],[_NextLevel]]&gt;Tasks[[#This Row],[_Level]])</f>
        <v>0</v>
      </c>
      <c r="BY9" s="38" t="n">
        <f aca="false">IF(Tasks[[#This Row],[_IsSummary]],COUNTIF(Tasks[WBS],Tasks[[#This Row],[WBS]]&amp;".*"),0)</f>
        <v>0</v>
      </c>
      <c r="BZ9" s="38" t="n">
        <f aca="false">IF(AND(Tasks[[#This Row],[Task Name]]&lt;&gt;"",NOT(Tasks[[#This Row],[_IsSummary]])),1,0)</f>
        <v>0</v>
      </c>
      <c r="CA9" s="38" t="n">
        <f aca="false">IF(N(Tasks[[#This Row],[Pred1 UID]])=0,0,IFERROR(MATCH(Tasks[[#This Row],[Pred1 UID]],Tasks[UID],0),-1))</f>
        <v>0</v>
      </c>
      <c r="CB9" s="38" t="n">
        <f aca="false">IF(N(Tasks[[#This Row],[Pred2 UID]])=0,0,IFERROR(MATCH(Tasks[[#This Row],[Pred2 UID]],Tasks[UID],0),-1))</f>
        <v>0</v>
      </c>
      <c r="CC9" s="38" t="n">
        <f aca="false">IF(N(Tasks[[#This Row],[Pred3 UID]])=0,0,IFERROR(MATCH(Tasks[[#This Row],[Pred3 UID]],Tasks[UID],0),-1))</f>
        <v>0</v>
      </c>
      <c r="CD9" s="38" t="n">
        <f aca="false">IF(N(Tasks[[#This Row],[Pred4 UID]])=0,0,IFERROR(MATCH(Tasks[[#This Row],[Pred4 UID]],Tasks[UID],0),-1))</f>
        <v>0</v>
      </c>
      <c r="CE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 s="115" t="n">
        <f aca="false">IF(OR(Tasks[[#This Row],[_ConstraintCode]]=2,Tasks[[#This Row],[_ConstraintCode]]=3,Tasks[[#This Row],[_ConstraintCode]]=4,Tasks[[#This Row],[_ConstraintCode]]=6),Tasks[[#This Row],[_ConstraintStart]],0)</f>
        <v>0</v>
      </c>
      <c r="CH9" s="115" t="n">
        <f aca="false">IF(OR(Tasks[[#This Row],[_ConstraintCode]]=2,Tasks[[#This Row],[_ConstraintCode]]=3,Tasks[[#This Row],[_ConstraintCode]]=5,Tasks[[#This Row],[_ConstraintCode]]=7),Tasks[[#This Row],[_ConstraintStart]],2958465)</f>
        <v>2958465</v>
      </c>
      <c r="CI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 s="115" t="str">
        <f aca="false">IF(NOT(Tasks[[#This Row],[_IsLeaf]]=1),"",IF(N(Tasks[[#This Row],[Duration]])&lt;=0,Tasks[[#This Row],[_LeafCalcStart]],WORKDAY.INTL(Tasks[[#This Row],[_LeafCalcStart]],Tasks[[#This Row],[Duration]]-1,WorkWeek,Holidays)))</f>
        <v/>
      </c>
      <c r="CK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 s="38" t="n">
        <f aca="false">IF(NOT(Tasks[[#This Row],[_IsLeaf]]=1),0,IF(N(Tasks[[#This Row],[Actual Finish]])&gt;0,1,MIN(1,N(Tasks[[#This Row],[% Complete]]))))</f>
        <v>0</v>
      </c>
      <c r="CN9" s="38" t="n">
        <f aca="false">IF(OR(NOT(Tasks[[#This Row],[_IsLeaf]]=1),Tasks[[#This Row],[Resource]]=""),0,N(Tasks[[#This Row],[Duration]])*HoursPerDay*IF(Tasks[[#This Row],[Units]]="",DefaultUnits,Tasks[[#This Row],[Units]]))</f>
        <v>0</v>
      </c>
      <c r="CO9" s="38" t="n">
        <f aca="false">IF(Tasks[[#This Row],[_LeafWork]]=0,0,Tasks[[#This Row],[_LeafWork]]*IFERROR(INDEX(res_Rate,MATCH(Tasks[[#This Row],[Resource]],res_Name,0)),0))</f>
        <v>0</v>
      </c>
      <c r="CP9" s="38" t="n">
        <f aca="false">Tasks[[#This Row],[_LeafWork]]+IF(Tasks[[#This Row],[_IsLeaf]]=1,SUMIFS(asg_Work,asg_TaskUID,Tasks[[#This Row],[UID]],asg_Valid,1),0)</f>
        <v>0</v>
      </c>
      <c r="CQ9" s="38" t="n">
        <f aca="false">Tasks[[#This Row],[_LeafCost]]+IF(Tasks[[#This Row],[_IsLeaf]]=1,SUMIFS(asg_Cost,asg_TaskUID,Tasks[[#This Row],[UID]],asg_Valid,1),0)</f>
        <v>0</v>
      </c>
      <c r="CR9" s="38" t="n">
        <f aca="false">IF(Tasks[[#This Row],[_LeafTotalCost]]=0,Tasks[[#This Row],[_LeafAC]],Tasks[[#This Row],[_LeafAC]]*Tasks[[#This Row],[_LeafCost]]/Tasks[[#This Row],[_LeafTotalCost]])</f>
        <v>0</v>
      </c>
      <c r="CS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 s="38" t="n">
        <f aca="false">IF(NOT(Tasks[[#This Row],[_IsLeaf]]=1),0,MAX(_xlfn.MAXIFS(Tasks[_Row],Tasks[Pred1 UID],Tasks[[#This Row],[UID]]),_xlfn.MAXIFS(Tasks[_Row],Tasks[Pred2 UID],Tasks[[#This Row],[UID]]),_xlfn.MAXIFS(Tasks[_Row],Tasks[Pred3 UID],Tasks[[#This Row],[UID]]),_xlfn.MAXIFS(Tasks[_Row],Tasks[Pred4 UID],Tasks[[#This Row],[UID]])))</f>
        <v>0</v>
      </c>
      <c r="DB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 s="115" t="str">
        <f aca="false">IF(NOT(Tasks[[#This Row],[_IsLeaf]]=1),"",IF(N(Tasks[[#This Row],[Duration]])&lt;=0,Tasks[[#This Row],[_LeafLateFinish]],WORKDAY.INTL(Tasks[[#This Row],[_LeafLateFinish]],-(Tasks[[#This Row],[Duration]]-1),WorkWeek,Holidays)))</f>
        <v/>
      </c>
      <c r="DE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 s="114" t="b">
        <f aca="false">AND(Tasks[[#This Row],[_IsLeaf]]=1,Tasks[[#This Row],[_LeafProgress]]&lt;1,N(Tasks[[#This Row],[_LeafTotalSlack]])&lt;=CriticalSlackDays)</f>
        <v>0</v>
      </c>
      <c r="DG9" s="38" t="n">
        <f aca="false">IF(AND(Tasks[[#This Row],[_IsLeaf]]=1,Tasks[[#This Row],[_ConstraintCode]]=1,Tasks[[#This Row],[Mode]]&lt;&gt;"Manual",N(Tasks[[#This Row],[Actual Start]])=0),MAX(0,N(Tasks[[#This Row],[Free Slack]])),0)</f>
        <v>0</v>
      </c>
      <c r="DH9" s="115" t="str">
        <f aca="false">IF(NOT(Tasks[[#This Row],[_IsLeaf]]=1),"",IF(Tasks[[#This Row],[_AlapShift]]=0,Tasks[[#This Row],[_LeafCalcStart]],WORKDAY.INTL(Tasks[[#This Row],[_LeafCalcStart]],Tasks[[#This Row],[_AlapShift]],WorkWeek,Holidays)))</f>
        <v/>
      </c>
      <c r="DI9" s="115" t="str">
        <f aca="false">IF(NOT(Tasks[[#This Row],[_IsLeaf]]=1),"",IF(Tasks[[#This Row],[_AlapShift]]=0,Tasks[[#This Row],[_LeafCalcFinish]],WORKDAY.INTL(Tasks[[#This Row],[_LeafCalcFinish]],Tasks[[#This Row],[_AlapShift]],WorkWeek,Holidays)))</f>
        <v/>
      </c>
      <c r="DJ9" s="115" t="str">
        <f aca="false">IF(NOT(Tasks[[#This Row],[_IsLeaf]]=1),"",IF(Tasks[[#This Row],[_AlapShift]]=0,Tasks[[#This Row],[_LeafFcstStart]],WORKDAY.INTL(Tasks[[#This Row],[_LeafFcstStart]],Tasks[[#This Row],[_AlapShift]],WorkWeek,Holidays)))</f>
        <v/>
      </c>
      <c r="DK9" s="115" t="str">
        <f aca="false">IF(NOT(Tasks[[#This Row],[_IsLeaf]]=1),"",IF(Tasks[[#This Row],[_AlapShift]]=0,Tasks[[#This Row],[_LeafFcstFinish]],WORKDAY.INTL(Tasks[[#This Row],[_LeafFcstFinish]],Tasks[[#This Row],[_AlapShift]],WorkWeek,Holidays)))</f>
        <v/>
      </c>
      <c r="DL9" s="115" t="str">
        <f aca="false">IF(Tasks[[#This Row],[Task Name]]="","",IF(Tasks[[#This Row],[_IsSummary]],MIN(INDEX(Tasks[_ShownCalcStart],Tasks[[#This Row],[_Row]]+1):INDEX(Tasks[_ShownCalcStart],Tasks[[#This Row],[_Row]]+Tasks[[#This Row],[_Descendants]])),Tasks[[#This Row],[_ShownCalcStart]]))</f>
        <v/>
      </c>
      <c r="DM9" s="115" t="str">
        <f aca="false">IF(Tasks[[#This Row],[Task Name]]="","",IF(Tasks[[#This Row],[_IsSummary]],MAX(INDEX(Tasks[_ShownCalcFinish],Tasks[[#This Row],[_Row]]+1):INDEX(Tasks[_ShownCalcFinish],Tasks[[#This Row],[_Row]]+Tasks[[#This Row],[_Descendants]])),Tasks[[#This Row],[_ShownCalcFinish]]))</f>
        <v/>
      </c>
      <c r="DN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 s="38" t="n">
        <f aca="false">IF(AND(Tasks[[#This Row],[_IsLeaf]]=1,Tasks[[#This Row],[_LeafTotalWork]]&gt;0),NETWORKDAYS.INTL(ProjectStart,Tasks[[#This Row],[_ShownFcstStart]],WorkWeek,Holidays),0)</f>
        <v>0</v>
      </c>
      <c r="EA9" s="38" t="n">
        <f aca="false">IF(AND(Tasks[[#This Row],[_IsLeaf]]=1,Tasks[[#This Row],[_LeafTotalWork]]&gt;0),MAX(Tasks[[#This Row],[_StartWorkday]],NETWORKDAYS.INTL(ProjectStart,Tasks[[#This Row],[_ShownFcstFinish]],WorkWeek,Holidays)),0)</f>
        <v>0</v>
      </c>
      <c r="EB9" s="38" t="n">
        <f aca="false">IF(AND(Tasks[[#This Row],[_IsLeaf]]=1,Tasks[[#This Row],[_LeafTotalWork]]&gt;0),Tasks[[#This Row],[_LeafWork]]/(Tasks[[#This Row],[_FinishWorkday]]-Tasks[[#This Row],[_StartWorkday]]+1),0)</f>
        <v>0</v>
      </c>
      <c r="EC9" s="38" t="n">
        <f aca="false">Tasks[[#This Row],[_WorkPerWorkday]]*(Tasks[[#This Row],[_StartWorkday]]-1)</f>
        <v>-0</v>
      </c>
      <c r="ED9" s="38" t="n">
        <f aca="false">IF(Tasks[[#This Row],[_IsLeaf]]=1,MAX(N(Tasks[[#This Row],[Duration]]),0.1),0)</f>
        <v>0</v>
      </c>
      <c r="EE9" s="38" t="n">
        <f aca="false">Tasks[[#This Row],[_WeightDur]]*Tasks[[#This Row],[_LeafProgress]]</f>
        <v>0</v>
      </c>
      <c r="EF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 s="38" t="str">
        <f aca="false">IF(AND(Tasks[[#This Row],[_IsLeaf]]=1,N(Tasks[[#This Row],[Duration]])=0,Tasks[[#This Row],[_LeafProgress]]&lt;1),Tasks[[#This Row],[_ShownFcstFinish]]+Tasks[[#This Row],[_Row]]/100000,"")</f>
        <v/>
      </c>
      <c r="EH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 s="38" t="n">
        <f aca="false">IF(NOT(Tasks[[#This Row],[_IsLeaf]]=1),0,IF(Tasks[[#This Row],[Baseline Cost]]="",Tasks[[#This Row],[_LeafTotalCost]],N(Tasks[[#This Row],[Baseline Cost]])))</f>
        <v>0</v>
      </c>
      <c r="EJ9" s="38" t="n">
        <f aca="false">Tasks[[#This Row],[_LeafBudget]]*Tasks[[#This Row],[_PlannedPct]]</f>
        <v>0</v>
      </c>
      <c r="EK9" s="38" t="n">
        <f aca="false">Tasks[[#This Row],[_LeafBudget]]*Tasks[[#This Row],[_LeafProgress]]</f>
        <v>0</v>
      </c>
      <c r="EL9" s="38" t="n">
        <f aca="false">IF(NOT(Tasks[[#This Row],[_IsLeaf]]=1),0,IF(Tasks[[#This Row],[Actual Cost]]="",Tasks[[#This Row],[_LeafTotalCost]]*Tasks[[#This Row],[_LeafProgress]],N(Tasks[[#This Row],[Actual Cost]])))</f>
        <v>0</v>
      </c>
      <c r="EM9" s="38" t="str">
        <f aca="false">IF(Tasks[[#This Row],[Task Name]]="","",LEFT(Tasks[[#This Row],[WBS]],FIND(".",Tasks[[#This Row],[WBS]]&amp;".")-1))</f>
        <v/>
      </c>
      <c r="EN9" s="38" t="str">
        <f aca="false">IF(AND(Tasks[[#This Row],[Task Name]]&lt;&gt;"",Tasks[[#This Row],[_Level]]=1),Tasks[[#This Row],[_Row]],"")</f>
        <v/>
      </c>
      <c r="EO9" s="38" t="str">
        <f aca="false">IF(AND(Tasks[[#This Row],[_IsLeaf]]=1,N(Tasks[[#This Row],[Duration]])=0),Tasks[[#This Row],[Planned Finish]]+Tasks[[#This Row],[_Row]]/100000,"")</f>
        <v/>
      </c>
      <c r="EP9" s="38" t="str">
        <f aca="false">IF(AND(Tasks[[#This Row],[_IsLeaf]]=1,Tasks[[#This Row],[_LeafProgress]]&lt;1,OR(N(Tasks[[#This Row],[Finish Var]])&gt;0,Tasks[[#This Row],[Status]]="Late Start")),MAX(0,Tasks[[#This Row],[Finish Var]])+1-Tasks[[#This Row],[_Row]]/1000000,"")</f>
        <v/>
      </c>
      <c r="EQ9" s="38" t="str">
        <f aca="false">IF(AND(Tasks[[#This Row],[_IsLeaf]]=1,N(Tasks[[#This Row],[Actual Start]])=0,Tasks[[#This Row],[_ShownFcstStart]]&gt;=StatusDate,Tasks[[#This Row],[_ShownFcstStart]]&lt;=LookaheadEnd),Tasks[[#This Row],[_ShownFcstStart]]+Tasks[[#This Row],[_Row]]/100000,"")</f>
        <v/>
      </c>
      <c r="ER9" s="38" t="str">
        <f aca="false">IF(AND(Tasks[[#This Row],[_IsLeaf]]=1,Tasks[[#This Row],[_LeafProgress]]&lt;1,Tasks[[#This Row],[_ShownFcstFinish]]&gt;=StatusDate,Tasks[[#This Row],[_ShownFcstFinish]]&lt;=LookaheadEnd),Tasks[[#This Row],[_ShownFcstFinish]]+Tasks[[#This Row],[_Row]]/100000,"")</f>
        <v/>
      </c>
      <c r="ES9" s="38" t="str">
        <f aca="false">IF(Tasks[[#This Row],[_LeafCritical]],Tasks[[#This Row],[_ShownFcstStart]]+Tasks[[#This Row],[_Row]]/100000,"")</f>
        <v/>
      </c>
      <c r="ET9" s="38" t="n">
        <f aca="false">Tasks[[#This Row],[_LeafWork]]*Tasks[[#This Row],[_LeafProgress]]</f>
        <v>0</v>
      </c>
      <c r="EU9" s="115" t="str">
        <f aca="false">IF(AND(Tasks[[#This Row],[_IsLeaf]]=1,Tasks[[#This Row],[_LeafProgress]]&gt;=1),IF(N(Tasks[[#This Row],[Actual Finish]])&gt;0,Tasks[[#This Row],[Actual Finish]],Tasks[[#This Row],[_ShownFcstFinish]]),"")</f>
        <v/>
      </c>
      <c r="EV9" s="38" t="n">
        <f aca="false">IF(Tasks[[#This Row],[_IsLeaf]]=1,N(Tasks[[#This Row],[Story Points]]),0)</f>
        <v>0</v>
      </c>
      <c r="EW9" s="38" t="str">
        <f aca="false">IF(AND(Tasks[[#This Row],[_IsLeaf]]=1,CurrentSprint&lt;&gt;"",Tasks[[#This Row],[Sprint]]=CurrentSprint),Tasks[[#This Row],[_Row]],"")</f>
        <v/>
      </c>
    </row>
    <row r="10" customFormat="false" ht="15" hidden="false" customHeight="false" outlineLevel="0" collapsed="false">
      <c r="A10" s="51" t="str">
        <f aca="false">IF(Tasks[[#This Row],[Task Name]]="","",COUNTA(Tasks[[#Headers],[Task Name]]:Tasks[[#This Row],[Task Name]])-1)</f>
        <v/>
      </c>
      <c r="B10" s="52" t="n">
        <v>5</v>
      </c>
      <c r="C1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 s="52"/>
      <c r="E10" s="53"/>
      <c r="F10" s="52"/>
      <c r="G10" s="52"/>
      <c r="H10" s="52"/>
      <c r="I10" s="52"/>
      <c r="J10" s="52"/>
      <c r="K10" s="52"/>
      <c r="L10" s="52"/>
      <c r="M10" s="52"/>
      <c r="N10" s="52"/>
      <c r="O10" s="52"/>
      <c r="P10" s="52"/>
      <c r="Q10" s="52"/>
      <c r="R10" s="52"/>
      <c r="S10" s="53"/>
      <c r="T10" s="102"/>
      <c r="U10" s="102"/>
      <c r="V10" s="7"/>
      <c r="W10" s="7"/>
      <c r="X10" s="53"/>
      <c r="Y10" s="31" t="str">
        <f aca="false">IF(Tasks[[#This Row],[Task Name]]="","",IF(Tasks[[#This Row],[_IsSummary]],MIN(INDEX(Tasks[_ShownFcstStart],Tasks[[#This Row],[_Row]]+1):INDEX(Tasks[_ShownFcstStart],Tasks[[#This Row],[_Row]]+Tasks[[#This Row],[_Descendants]])),Tasks[[#This Row],[_ShownFcstStart]]))</f>
        <v/>
      </c>
      <c r="Z10" s="31" t="str">
        <f aca="false">IF(Tasks[[#This Row],[Task Name]]="","",IF(Tasks[[#This Row],[_IsSummary]],MAX(INDEX(Tasks[_ShownFcstFinish],Tasks[[#This Row],[_Row]]+1):INDEX(Tasks[_ShownFcstFinish],Tasks[[#This Row],[_Row]]+Tasks[[#This Row],[_Descendants]])),Tasks[[#This Row],[_ShownFcstFinish]]))</f>
        <v/>
      </c>
      <c r="AA10" s="51" t="str">
        <f aca="false">IF(Tasks[[#This Row],[Task Name]]="","",IF(Tasks[[#This Row],[Progress]]&gt;=1,"Complete",IF(OR(N(Tasks[[#This Row],[Actual Start]])&gt;0,Tasks[[#This Row],[Progress]]&gt;0),IF(Tasks[[#This Row],[Finish Var]]&gt;0,"Behind","In Progress"),IF(Tasks[[#This Row],[Planned Start]]&lt;StatusDate,"Late Start","Not Started"))))</f>
        <v/>
      </c>
      <c r="AB10" s="51" t="str">
        <f aca="false">IF(Tasks[[#This Row],[Task Name]]="","",IF(IF(Tasks[[#This Row],[_IsSummary]],COUNTIF(INDEX(Tasks[_LeafCritical],Tasks[[#This Row],[_Row]]+1):INDEX(Tasks[_LeafCritical],Tasks[[#This Row],[_Row]]+Tasks[[#This Row],[_Descendants]]),TRUE())&gt;0,Tasks[[#This Row],[_LeafCritical]]),"Yes",""))</f>
        <v/>
      </c>
      <c r="AC1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 s="51" t="str">
        <f aca="false">IF(Tasks[[#This Row],[Task Name]]="","",IF(Tasks[[#This Row],[_Level]]&lt;=OutlineShowLevel,"Yes","No"))</f>
        <v/>
      </c>
      <c r="AE10" s="7"/>
      <c r="AF10" s="52"/>
      <c r="AG10" s="53"/>
      <c r="AH10" s="7"/>
      <c r="AI1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 s="31" t="str">
        <f aca="false">IF(Tasks[[#This Row],[Task Name]]="","",IF(N(Tasks[[#This Row],[Baseline Start]])&gt;0,Tasks[[#This Row],[Baseline Start]],Tasks[[#This Row],[_CalcStart]]))</f>
        <v/>
      </c>
      <c r="AK10" s="31" t="str">
        <f aca="false">IF(Tasks[[#This Row],[Task Name]]="","",IF(N(Tasks[[#This Row],[Baseline Finish]])&gt;0,Tasks[[#This Row],[Baseline Finish]],Tasks[[#This Row],[_CalcFinish]]))</f>
        <v/>
      </c>
      <c r="AL1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 s="31" t="str">
        <f aca="false">IF(Tasks[[#This Row],[Task Name]]="","",IF(Tasks[[#This Row],[_IsSummary]],MIN(INDEX(Tasks[_LeafLateStart],Tasks[[#This Row],[_Row]]+1):INDEX(Tasks[_LeafLateStart],Tasks[[#This Row],[_Row]]+Tasks[[#This Row],[_Descendants]])),Tasks[[#This Row],[_LeafLateStart]]))</f>
        <v/>
      </c>
      <c r="AN10" s="31" t="str">
        <f aca="false">IF(Tasks[[#This Row],[Task Name]]="","",IF(Tasks[[#This Row],[_IsSummary]],MAX(INDEX(Tasks[_LeafLateFinish],Tasks[[#This Row],[_Row]]+1):INDEX(Tasks[_LeafLateFinish],Tasks[[#This Row],[_Row]]+Tasks[[#This Row],[_Descendants]])),Tasks[[#This Row],[_LeafLateFinish]]))</f>
        <v/>
      </c>
      <c r="AO10" s="51" t="str">
        <f aca="false">IF(Tasks[[#This Row],[Task Name]]="","",IF(Tasks[[#This Row],[_IsSummary]],MIN(INDEX(Tasks[_LeafTotalSlack],Tasks[[#This Row],[_Row]]+1):INDEX(Tasks[_LeafTotalSlack],Tasks[[#This Row],[_Row]]+Tasks[[#This Row],[_Descendants]])),Tasks[[#This Row],[_LeafTotalSlack]]))</f>
        <v/>
      </c>
      <c r="AP1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 s="110" t="str">
        <f aca="false">IF(Tasks[[#This Row],[Task Name]]="","",IF(Tasks[[#This Row],[_IsSummary]],SUM(INDEX(Tasks[_LeafTotalWork],Tasks[[#This Row],[_Row]]+1):INDEX(Tasks[_LeafTotalWork],Tasks[[#This Row],[_Row]]+Tasks[[#This Row],[_Descendants]])),Tasks[[#This Row],[_LeafTotalWork]]))</f>
        <v/>
      </c>
      <c r="AV1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 s="111" t="str">
        <f aca="false">IF(Tasks[[#This Row],[Task Name]]="","",IF(Tasks[[#This Row],[_IsSummary]],SUM(INDEX(Tasks[_LeafTotalCost],Tasks[[#This Row],[_Row]]+1):INDEX(Tasks[_LeafTotalCost],Tasks[[#This Row],[_Row]]+Tasks[[#This Row],[_Descendants]])),Tasks[[#This Row],[_LeafTotalCost]]))</f>
        <v/>
      </c>
      <c r="AY10" s="112"/>
      <c r="AZ1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 s="52"/>
      <c r="BB10" s="98"/>
      <c r="BC10" s="51" t="str">
        <f aca="false">IF(OR(Tasks[[#This Row],[Task Name]]="",Tasks[[#This Row],[Baseline Duration]]=""),"",Tasks[[#This Row],[BL Source Duration]]-N(Tasks[[#This Row],[Baseline Duration]]))</f>
        <v/>
      </c>
      <c r="BD10" s="110" t="str">
        <f aca="false">IF(OR(Tasks[[#This Row],[Task Name]]="",Tasks[[#This Row],[Baseline Work]]=""),"",Tasks[[#This Row],[Work]]-N(Tasks[[#This Row],[Baseline Work]]))</f>
        <v/>
      </c>
      <c r="BE10" s="111" t="str">
        <f aca="false">IF(OR(Tasks[[#This Row],[Task Name]]="",Tasks[[#This Row],[Baseline Cost]]=""),"",Tasks[[#This Row],[Cost]]-N(Tasks[[#This Row],[Baseline Cost]]))</f>
        <v/>
      </c>
      <c r="BF10" s="31" t="str">
        <f aca="false">IF(Tasks[[#This Row],[Task Name]]="","",Tasks[[#This Row],[Forecast Start]])</f>
        <v/>
      </c>
      <c r="BG10" s="31" t="str">
        <f aca="false">IF(Tasks[[#This Row],[Task Name]]="","",Tasks[[#This Row],[Forecast Finish]])</f>
        <v/>
      </c>
      <c r="BH10" s="51" t="str">
        <f aca="false">IF(Tasks[[#This Row],[Task Name]]="","",IF(Tasks[[#This Row],[_IsSummary]],NETWORKDAYS.INTL(Tasks[[#This Row],[Forecast Start]],Tasks[[#This Row],[Forecast Finish]],WorkWeek,Holidays),N(Tasks[[#This Row],[Duration]])))</f>
        <v/>
      </c>
      <c r="BI10" s="110" t="str">
        <f aca="false">IF(Tasks[[#This Row],[Task Name]]="","",Tasks[[#This Row],[Work]])</f>
        <v/>
      </c>
      <c r="BJ10" s="111" t="str">
        <f aca="false">IF(Tasks[[#This Row],[Task Name]]="","",Tasks[[#This Row],[Cost]])</f>
        <v/>
      </c>
      <c r="BK10" s="7"/>
      <c r="BL10" s="7"/>
      <c r="BM10" s="52"/>
      <c r="BN10" s="113"/>
      <c r="BO10" s="112"/>
      <c r="BP10" s="111" t="str">
        <f aca="false">IF(Tasks[[#This Row],[Task Name]]="","",IF(Tasks[[#This Row],[_IsSummary]],SUM(INDEX(Tasks[_LeafEV],Tasks[[#This Row],[_Row]]+1):INDEX(Tasks[_LeafEV],Tasks[[#This Row],[_Row]]+Tasks[[#This Row],[_Descendants]])),Tasks[[#This Row],[_LeafEV]]))</f>
        <v/>
      </c>
      <c r="BQ10" s="111" t="str">
        <f aca="false">IF(Tasks[[#This Row],[Task Name]]="","",IF(Tasks[[#This Row],[_IsSummary]],SUM(INDEX(Tasks[_LeafBudget],Tasks[[#This Row],[_Row]]+1):INDEX(Tasks[_LeafBudget],Tasks[[#This Row],[_Row]]+Tasks[[#This Row],[_Descendants]])),Tasks[[#This Row],[_LeafBudget]]))</f>
        <v/>
      </c>
      <c r="BR10" s="111" t="str">
        <f aca="false">IF(Tasks[[#This Row],[Task Name]]="","",IF(Tasks[[#This Row],[_IsSummary]],SUM(INDEX(Tasks[_LeafPV],Tasks[[#This Row],[_Row]]+1):INDEX(Tasks[_LeafPV],Tasks[[#This Row],[_Row]]+Tasks[[#This Row],[_Descendants]])),Tasks[[#This Row],[_LeafPV]]))</f>
        <v/>
      </c>
      <c r="BS10" s="111" t="str">
        <f aca="false">IF(Tasks[[#This Row],[Task Name]]="","",IF(Tasks[[#This Row],[_IsSummary]],SUM(INDEX(Tasks[_LeafAC],Tasks[[#This Row],[_Row]]+1):INDEX(Tasks[_LeafAC],Tasks[[#This Row],[_Row]]+Tasks[[#This Row],[_Descendants]])),Tasks[[#This Row],[_LeafAC]]))</f>
        <v/>
      </c>
      <c r="BT10" s="38" t="str">
        <f aca="false">IF(Tasks[[#This Row],[Task Name]]="","",MAX(1,N(Tasks[[#This Row],[Level]])))</f>
        <v/>
      </c>
      <c r="BU10" s="38" t="n">
        <f aca="false">ROW()-ROW(Tasks[[#Headers],[ID]])</f>
        <v>5</v>
      </c>
      <c r="BV10" s="38" t="n">
        <f aca="false">IF(OR(Tasks[[#This Row],[Task Name]]="",Tasks[[#This Row],[_Level]]&lt;=1),0,IFERROR(LOOKUP(2,1/(Tasks[[#Headers],[_Level]]:Tasks[[#This Row],[_Level]]=Tasks[[#This Row],[_Level]]-1),ROW(Tasks[[#Headers],[_Level]]:Tasks[[#This Row],[_Level]])),0))</f>
        <v>0</v>
      </c>
      <c r="BW10" s="38" t="n">
        <f aca="false">IFERROR(N(INDEX(Tasks[_Level],Tasks[[#This Row],[_Row]]+1)),0)</f>
        <v>0</v>
      </c>
      <c r="BX10" s="114" t="b">
        <f aca="false">AND(Tasks[[#This Row],[Task Name]]&lt;&gt;"",Tasks[[#This Row],[_NextLevel]]&gt;Tasks[[#This Row],[_Level]])</f>
        <v>0</v>
      </c>
      <c r="BY10" s="38" t="n">
        <f aca="false">IF(Tasks[[#This Row],[_IsSummary]],COUNTIF(Tasks[WBS],Tasks[[#This Row],[WBS]]&amp;".*"),0)</f>
        <v>0</v>
      </c>
      <c r="BZ10" s="38" t="n">
        <f aca="false">IF(AND(Tasks[[#This Row],[Task Name]]&lt;&gt;"",NOT(Tasks[[#This Row],[_IsSummary]])),1,0)</f>
        <v>0</v>
      </c>
      <c r="CA10" s="38" t="n">
        <f aca="false">IF(N(Tasks[[#This Row],[Pred1 UID]])=0,0,IFERROR(MATCH(Tasks[[#This Row],[Pred1 UID]],Tasks[UID],0),-1))</f>
        <v>0</v>
      </c>
      <c r="CB10" s="38" t="n">
        <f aca="false">IF(N(Tasks[[#This Row],[Pred2 UID]])=0,0,IFERROR(MATCH(Tasks[[#This Row],[Pred2 UID]],Tasks[UID],0),-1))</f>
        <v>0</v>
      </c>
      <c r="CC10" s="38" t="n">
        <f aca="false">IF(N(Tasks[[#This Row],[Pred3 UID]])=0,0,IFERROR(MATCH(Tasks[[#This Row],[Pred3 UID]],Tasks[UID],0),-1))</f>
        <v>0</v>
      </c>
      <c r="CD10" s="38" t="n">
        <f aca="false">IF(N(Tasks[[#This Row],[Pred4 UID]])=0,0,IFERROR(MATCH(Tasks[[#This Row],[Pred4 UID]],Tasks[UID],0),-1))</f>
        <v>0</v>
      </c>
      <c r="CE1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 s="115" t="n">
        <f aca="false">IF(OR(Tasks[[#This Row],[_ConstraintCode]]=2,Tasks[[#This Row],[_ConstraintCode]]=3,Tasks[[#This Row],[_ConstraintCode]]=4,Tasks[[#This Row],[_ConstraintCode]]=6),Tasks[[#This Row],[_ConstraintStart]],0)</f>
        <v>0</v>
      </c>
      <c r="CH10" s="115" t="n">
        <f aca="false">IF(OR(Tasks[[#This Row],[_ConstraintCode]]=2,Tasks[[#This Row],[_ConstraintCode]]=3,Tasks[[#This Row],[_ConstraintCode]]=5,Tasks[[#This Row],[_ConstraintCode]]=7),Tasks[[#This Row],[_ConstraintStart]],2958465)</f>
        <v>2958465</v>
      </c>
      <c r="CI1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 s="115" t="str">
        <f aca="false">IF(NOT(Tasks[[#This Row],[_IsLeaf]]=1),"",IF(N(Tasks[[#This Row],[Duration]])&lt;=0,Tasks[[#This Row],[_LeafCalcStart]],WORKDAY.INTL(Tasks[[#This Row],[_LeafCalcStart]],Tasks[[#This Row],[Duration]]-1,WorkWeek,Holidays)))</f>
        <v/>
      </c>
      <c r="CK1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 s="38" t="n">
        <f aca="false">IF(NOT(Tasks[[#This Row],[_IsLeaf]]=1),0,IF(N(Tasks[[#This Row],[Actual Finish]])&gt;0,1,MIN(1,N(Tasks[[#This Row],[% Complete]]))))</f>
        <v>0</v>
      </c>
      <c r="CN10" s="38" t="n">
        <f aca="false">IF(OR(NOT(Tasks[[#This Row],[_IsLeaf]]=1),Tasks[[#This Row],[Resource]]=""),0,N(Tasks[[#This Row],[Duration]])*HoursPerDay*IF(Tasks[[#This Row],[Units]]="",DefaultUnits,Tasks[[#This Row],[Units]]))</f>
        <v>0</v>
      </c>
      <c r="CO10" s="38" t="n">
        <f aca="false">IF(Tasks[[#This Row],[_LeafWork]]=0,0,Tasks[[#This Row],[_LeafWork]]*IFERROR(INDEX(res_Rate,MATCH(Tasks[[#This Row],[Resource]],res_Name,0)),0))</f>
        <v>0</v>
      </c>
      <c r="CP10" s="38" t="n">
        <f aca="false">Tasks[[#This Row],[_LeafWork]]+IF(Tasks[[#This Row],[_IsLeaf]]=1,SUMIFS(asg_Work,asg_TaskUID,Tasks[[#This Row],[UID]],asg_Valid,1),0)</f>
        <v>0</v>
      </c>
      <c r="CQ10" s="38" t="n">
        <f aca="false">Tasks[[#This Row],[_LeafCost]]+IF(Tasks[[#This Row],[_IsLeaf]]=1,SUMIFS(asg_Cost,asg_TaskUID,Tasks[[#This Row],[UID]],asg_Valid,1),0)</f>
        <v>0</v>
      </c>
      <c r="CR10" s="38" t="n">
        <f aca="false">IF(Tasks[[#This Row],[_LeafTotalCost]]=0,Tasks[[#This Row],[_LeafAC]],Tasks[[#This Row],[_LeafAC]]*Tasks[[#This Row],[_LeafCost]]/Tasks[[#This Row],[_LeafTotalCost]])</f>
        <v>0</v>
      </c>
      <c r="CS1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 s="38" t="n">
        <f aca="false">IF(NOT(Tasks[[#This Row],[_IsLeaf]]=1),0,MAX(_xlfn.MAXIFS(Tasks[_Row],Tasks[Pred1 UID],Tasks[[#This Row],[UID]]),_xlfn.MAXIFS(Tasks[_Row],Tasks[Pred2 UID],Tasks[[#This Row],[UID]]),_xlfn.MAXIFS(Tasks[_Row],Tasks[Pred3 UID],Tasks[[#This Row],[UID]]),_xlfn.MAXIFS(Tasks[_Row],Tasks[Pred4 UID],Tasks[[#This Row],[UID]])))</f>
        <v>0</v>
      </c>
      <c r="DB1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 s="115" t="str">
        <f aca="false">IF(NOT(Tasks[[#This Row],[_IsLeaf]]=1),"",IF(N(Tasks[[#This Row],[Duration]])&lt;=0,Tasks[[#This Row],[_LeafLateFinish]],WORKDAY.INTL(Tasks[[#This Row],[_LeafLateFinish]],-(Tasks[[#This Row],[Duration]]-1),WorkWeek,Holidays)))</f>
        <v/>
      </c>
      <c r="DE1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 s="114" t="b">
        <f aca="false">AND(Tasks[[#This Row],[_IsLeaf]]=1,Tasks[[#This Row],[_LeafProgress]]&lt;1,N(Tasks[[#This Row],[_LeafTotalSlack]])&lt;=CriticalSlackDays)</f>
        <v>0</v>
      </c>
      <c r="DG10" s="38" t="n">
        <f aca="false">IF(AND(Tasks[[#This Row],[_IsLeaf]]=1,Tasks[[#This Row],[_ConstraintCode]]=1,Tasks[[#This Row],[Mode]]&lt;&gt;"Manual",N(Tasks[[#This Row],[Actual Start]])=0),MAX(0,N(Tasks[[#This Row],[Free Slack]])),0)</f>
        <v>0</v>
      </c>
      <c r="DH10" s="115" t="str">
        <f aca="false">IF(NOT(Tasks[[#This Row],[_IsLeaf]]=1),"",IF(Tasks[[#This Row],[_AlapShift]]=0,Tasks[[#This Row],[_LeafCalcStart]],WORKDAY.INTL(Tasks[[#This Row],[_LeafCalcStart]],Tasks[[#This Row],[_AlapShift]],WorkWeek,Holidays)))</f>
        <v/>
      </c>
      <c r="DI10" s="115" t="str">
        <f aca="false">IF(NOT(Tasks[[#This Row],[_IsLeaf]]=1),"",IF(Tasks[[#This Row],[_AlapShift]]=0,Tasks[[#This Row],[_LeafCalcFinish]],WORKDAY.INTL(Tasks[[#This Row],[_LeafCalcFinish]],Tasks[[#This Row],[_AlapShift]],WorkWeek,Holidays)))</f>
        <v/>
      </c>
      <c r="DJ10" s="115" t="str">
        <f aca="false">IF(NOT(Tasks[[#This Row],[_IsLeaf]]=1),"",IF(Tasks[[#This Row],[_AlapShift]]=0,Tasks[[#This Row],[_LeafFcstStart]],WORKDAY.INTL(Tasks[[#This Row],[_LeafFcstStart]],Tasks[[#This Row],[_AlapShift]],WorkWeek,Holidays)))</f>
        <v/>
      </c>
      <c r="DK10" s="115" t="str">
        <f aca="false">IF(NOT(Tasks[[#This Row],[_IsLeaf]]=1),"",IF(Tasks[[#This Row],[_AlapShift]]=0,Tasks[[#This Row],[_LeafFcstFinish]],WORKDAY.INTL(Tasks[[#This Row],[_LeafFcstFinish]],Tasks[[#This Row],[_AlapShift]],WorkWeek,Holidays)))</f>
        <v/>
      </c>
      <c r="DL10" s="115" t="str">
        <f aca="false">IF(Tasks[[#This Row],[Task Name]]="","",IF(Tasks[[#This Row],[_IsSummary]],MIN(INDEX(Tasks[_ShownCalcStart],Tasks[[#This Row],[_Row]]+1):INDEX(Tasks[_ShownCalcStart],Tasks[[#This Row],[_Row]]+Tasks[[#This Row],[_Descendants]])),Tasks[[#This Row],[_ShownCalcStart]]))</f>
        <v/>
      </c>
      <c r="DM10" s="115" t="str">
        <f aca="false">IF(Tasks[[#This Row],[Task Name]]="","",IF(Tasks[[#This Row],[_IsSummary]],MAX(INDEX(Tasks[_ShownCalcFinish],Tasks[[#This Row],[_Row]]+1):INDEX(Tasks[_ShownCalcFinish],Tasks[[#This Row],[_Row]]+Tasks[[#This Row],[_Descendants]])),Tasks[[#This Row],[_ShownCalcFinish]]))</f>
        <v/>
      </c>
      <c r="DN1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 s="38" t="n">
        <f aca="false">IF(AND(Tasks[[#This Row],[_IsLeaf]]=1,Tasks[[#This Row],[_LeafTotalWork]]&gt;0),NETWORKDAYS.INTL(ProjectStart,Tasks[[#This Row],[_ShownFcstStart]],WorkWeek,Holidays),0)</f>
        <v>0</v>
      </c>
      <c r="EA10" s="38" t="n">
        <f aca="false">IF(AND(Tasks[[#This Row],[_IsLeaf]]=1,Tasks[[#This Row],[_LeafTotalWork]]&gt;0),MAX(Tasks[[#This Row],[_StartWorkday]],NETWORKDAYS.INTL(ProjectStart,Tasks[[#This Row],[_ShownFcstFinish]],WorkWeek,Holidays)),0)</f>
        <v>0</v>
      </c>
      <c r="EB10" s="38" t="n">
        <f aca="false">IF(AND(Tasks[[#This Row],[_IsLeaf]]=1,Tasks[[#This Row],[_LeafTotalWork]]&gt;0),Tasks[[#This Row],[_LeafWork]]/(Tasks[[#This Row],[_FinishWorkday]]-Tasks[[#This Row],[_StartWorkday]]+1),0)</f>
        <v>0</v>
      </c>
      <c r="EC10" s="38" t="n">
        <f aca="false">Tasks[[#This Row],[_WorkPerWorkday]]*(Tasks[[#This Row],[_StartWorkday]]-1)</f>
        <v>-0</v>
      </c>
      <c r="ED10" s="38" t="n">
        <f aca="false">IF(Tasks[[#This Row],[_IsLeaf]]=1,MAX(N(Tasks[[#This Row],[Duration]]),0.1),0)</f>
        <v>0</v>
      </c>
      <c r="EE10" s="38" t="n">
        <f aca="false">Tasks[[#This Row],[_WeightDur]]*Tasks[[#This Row],[_LeafProgress]]</f>
        <v>0</v>
      </c>
      <c r="EF1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 s="38" t="str">
        <f aca="false">IF(AND(Tasks[[#This Row],[_IsLeaf]]=1,N(Tasks[[#This Row],[Duration]])=0,Tasks[[#This Row],[_LeafProgress]]&lt;1),Tasks[[#This Row],[_ShownFcstFinish]]+Tasks[[#This Row],[_Row]]/100000,"")</f>
        <v/>
      </c>
      <c r="EH1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 s="38" t="n">
        <f aca="false">IF(NOT(Tasks[[#This Row],[_IsLeaf]]=1),0,IF(Tasks[[#This Row],[Baseline Cost]]="",Tasks[[#This Row],[_LeafTotalCost]],N(Tasks[[#This Row],[Baseline Cost]])))</f>
        <v>0</v>
      </c>
      <c r="EJ10" s="38" t="n">
        <f aca="false">Tasks[[#This Row],[_LeafBudget]]*Tasks[[#This Row],[_PlannedPct]]</f>
        <v>0</v>
      </c>
      <c r="EK10" s="38" t="n">
        <f aca="false">Tasks[[#This Row],[_LeafBudget]]*Tasks[[#This Row],[_LeafProgress]]</f>
        <v>0</v>
      </c>
      <c r="EL10" s="38" t="n">
        <f aca="false">IF(NOT(Tasks[[#This Row],[_IsLeaf]]=1),0,IF(Tasks[[#This Row],[Actual Cost]]="",Tasks[[#This Row],[_LeafTotalCost]]*Tasks[[#This Row],[_LeafProgress]],N(Tasks[[#This Row],[Actual Cost]])))</f>
        <v>0</v>
      </c>
      <c r="EM10" s="38" t="str">
        <f aca="false">IF(Tasks[[#This Row],[Task Name]]="","",LEFT(Tasks[[#This Row],[WBS]],FIND(".",Tasks[[#This Row],[WBS]]&amp;".")-1))</f>
        <v/>
      </c>
      <c r="EN10" s="38" t="str">
        <f aca="false">IF(AND(Tasks[[#This Row],[Task Name]]&lt;&gt;"",Tasks[[#This Row],[_Level]]=1),Tasks[[#This Row],[_Row]],"")</f>
        <v/>
      </c>
      <c r="EO10" s="38" t="str">
        <f aca="false">IF(AND(Tasks[[#This Row],[_IsLeaf]]=1,N(Tasks[[#This Row],[Duration]])=0),Tasks[[#This Row],[Planned Finish]]+Tasks[[#This Row],[_Row]]/100000,"")</f>
        <v/>
      </c>
      <c r="EP10" s="38" t="str">
        <f aca="false">IF(AND(Tasks[[#This Row],[_IsLeaf]]=1,Tasks[[#This Row],[_LeafProgress]]&lt;1,OR(N(Tasks[[#This Row],[Finish Var]])&gt;0,Tasks[[#This Row],[Status]]="Late Start")),MAX(0,Tasks[[#This Row],[Finish Var]])+1-Tasks[[#This Row],[_Row]]/1000000,"")</f>
        <v/>
      </c>
      <c r="EQ10" s="38" t="str">
        <f aca="false">IF(AND(Tasks[[#This Row],[_IsLeaf]]=1,N(Tasks[[#This Row],[Actual Start]])=0,Tasks[[#This Row],[_ShownFcstStart]]&gt;=StatusDate,Tasks[[#This Row],[_ShownFcstStart]]&lt;=LookaheadEnd),Tasks[[#This Row],[_ShownFcstStart]]+Tasks[[#This Row],[_Row]]/100000,"")</f>
        <v/>
      </c>
      <c r="ER10" s="38" t="str">
        <f aca="false">IF(AND(Tasks[[#This Row],[_IsLeaf]]=1,Tasks[[#This Row],[_LeafProgress]]&lt;1,Tasks[[#This Row],[_ShownFcstFinish]]&gt;=StatusDate,Tasks[[#This Row],[_ShownFcstFinish]]&lt;=LookaheadEnd),Tasks[[#This Row],[_ShownFcstFinish]]+Tasks[[#This Row],[_Row]]/100000,"")</f>
        <v/>
      </c>
      <c r="ES10" s="38" t="str">
        <f aca="false">IF(Tasks[[#This Row],[_LeafCritical]],Tasks[[#This Row],[_ShownFcstStart]]+Tasks[[#This Row],[_Row]]/100000,"")</f>
        <v/>
      </c>
      <c r="ET10" s="38" t="n">
        <f aca="false">Tasks[[#This Row],[_LeafWork]]*Tasks[[#This Row],[_LeafProgress]]</f>
        <v>0</v>
      </c>
      <c r="EU10" s="115" t="str">
        <f aca="false">IF(AND(Tasks[[#This Row],[_IsLeaf]]=1,Tasks[[#This Row],[_LeafProgress]]&gt;=1),IF(N(Tasks[[#This Row],[Actual Finish]])&gt;0,Tasks[[#This Row],[Actual Finish]],Tasks[[#This Row],[_ShownFcstFinish]]),"")</f>
        <v/>
      </c>
      <c r="EV10" s="38" t="n">
        <f aca="false">IF(Tasks[[#This Row],[_IsLeaf]]=1,N(Tasks[[#This Row],[Story Points]]),0)</f>
        <v>0</v>
      </c>
      <c r="EW10" s="38" t="str">
        <f aca="false">IF(AND(Tasks[[#This Row],[_IsLeaf]]=1,CurrentSprint&lt;&gt;"",Tasks[[#This Row],[Sprint]]=CurrentSprint),Tasks[[#This Row],[_Row]],"")</f>
        <v/>
      </c>
    </row>
    <row r="11" customFormat="false" ht="15" hidden="false" customHeight="false" outlineLevel="0" collapsed="false">
      <c r="A11" s="51" t="str">
        <f aca="false">IF(Tasks[[#This Row],[Task Name]]="","",COUNTA(Tasks[[#Headers],[Task Name]]:Tasks[[#This Row],[Task Name]])-1)</f>
        <v/>
      </c>
      <c r="B11" s="52" t="n">
        <v>6</v>
      </c>
      <c r="C1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 s="52"/>
      <c r="E11" s="53"/>
      <c r="F11" s="52"/>
      <c r="G11" s="52"/>
      <c r="H11" s="52"/>
      <c r="I11" s="52"/>
      <c r="J11" s="52"/>
      <c r="K11" s="52"/>
      <c r="L11" s="52"/>
      <c r="M11" s="52"/>
      <c r="N11" s="52"/>
      <c r="O11" s="52"/>
      <c r="P11" s="52"/>
      <c r="Q11" s="52"/>
      <c r="R11" s="52"/>
      <c r="S11" s="53"/>
      <c r="T11" s="102"/>
      <c r="U11" s="102"/>
      <c r="V11" s="7"/>
      <c r="W11" s="7"/>
      <c r="X11" s="53"/>
      <c r="Y11" s="31" t="str">
        <f aca="false">IF(Tasks[[#This Row],[Task Name]]="","",IF(Tasks[[#This Row],[_IsSummary]],MIN(INDEX(Tasks[_ShownFcstStart],Tasks[[#This Row],[_Row]]+1):INDEX(Tasks[_ShownFcstStart],Tasks[[#This Row],[_Row]]+Tasks[[#This Row],[_Descendants]])),Tasks[[#This Row],[_ShownFcstStart]]))</f>
        <v/>
      </c>
      <c r="Z11" s="31" t="str">
        <f aca="false">IF(Tasks[[#This Row],[Task Name]]="","",IF(Tasks[[#This Row],[_IsSummary]],MAX(INDEX(Tasks[_ShownFcstFinish],Tasks[[#This Row],[_Row]]+1):INDEX(Tasks[_ShownFcstFinish],Tasks[[#This Row],[_Row]]+Tasks[[#This Row],[_Descendants]])),Tasks[[#This Row],[_ShownFcstFinish]]))</f>
        <v/>
      </c>
      <c r="AA11" s="51" t="str">
        <f aca="false">IF(Tasks[[#This Row],[Task Name]]="","",IF(Tasks[[#This Row],[Progress]]&gt;=1,"Complete",IF(OR(N(Tasks[[#This Row],[Actual Start]])&gt;0,Tasks[[#This Row],[Progress]]&gt;0),IF(Tasks[[#This Row],[Finish Var]]&gt;0,"Behind","In Progress"),IF(Tasks[[#This Row],[Planned Start]]&lt;StatusDate,"Late Start","Not Started"))))</f>
        <v/>
      </c>
      <c r="AB11" s="51" t="str">
        <f aca="false">IF(Tasks[[#This Row],[Task Name]]="","",IF(IF(Tasks[[#This Row],[_IsSummary]],COUNTIF(INDEX(Tasks[_LeafCritical],Tasks[[#This Row],[_Row]]+1):INDEX(Tasks[_LeafCritical],Tasks[[#This Row],[_Row]]+Tasks[[#This Row],[_Descendants]]),TRUE())&gt;0,Tasks[[#This Row],[_LeafCritical]]),"Yes",""))</f>
        <v/>
      </c>
      <c r="AC1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 s="51" t="str">
        <f aca="false">IF(Tasks[[#This Row],[Task Name]]="","",IF(Tasks[[#This Row],[_Level]]&lt;=OutlineShowLevel,"Yes","No"))</f>
        <v/>
      </c>
      <c r="AE11" s="7"/>
      <c r="AF11" s="52"/>
      <c r="AG11" s="53"/>
      <c r="AH11" s="7"/>
      <c r="AI1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 s="31" t="str">
        <f aca="false">IF(Tasks[[#This Row],[Task Name]]="","",IF(N(Tasks[[#This Row],[Baseline Start]])&gt;0,Tasks[[#This Row],[Baseline Start]],Tasks[[#This Row],[_CalcStart]]))</f>
        <v/>
      </c>
      <c r="AK11" s="31" t="str">
        <f aca="false">IF(Tasks[[#This Row],[Task Name]]="","",IF(N(Tasks[[#This Row],[Baseline Finish]])&gt;0,Tasks[[#This Row],[Baseline Finish]],Tasks[[#This Row],[_CalcFinish]]))</f>
        <v/>
      </c>
      <c r="AL1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 s="31" t="str">
        <f aca="false">IF(Tasks[[#This Row],[Task Name]]="","",IF(Tasks[[#This Row],[_IsSummary]],MIN(INDEX(Tasks[_LeafLateStart],Tasks[[#This Row],[_Row]]+1):INDEX(Tasks[_LeafLateStart],Tasks[[#This Row],[_Row]]+Tasks[[#This Row],[_Descendants]])),Tasks[[#This Row],[_LeafLateStart]]))</f>
        <v/>
      </c>
      <c r="AN11" s="31" t="str">
        <f aca="false">IF(Tasks[[#This Row],[Task Name]]="","",IF(Tasks[[#This Row],[_IsSummary]],MAX(INDEX(Tasks[_LeafLateFinish],Tasks[[#This Row],[_Row]]+1):INDEX(Tasks[_LeafLateFinish],Tasks[[#This Row],[_Row]]+Tasks[[#This Row],[_Descendants]])),Tasks[[#This Row],[_LeafLateFinish]]))</f>
        <v/>
      </c>
      <c r="AO11" s="51" t="str">
        <f aca="false">IF(Tasks[[#This Row],[Task Name]]="","",IF(Tasks[[#This Row],[_IsSummary]],MIN(INDEX(Tasks[_LeafTotalSlack],Tasks[[#This Row],[_Row]]+1):INDEX(Tasks[_LeafTotalSlack],Tasks[[#This Row],[_Row]]+Tasks[[#This Row],[_Descendants]])),Tasks[[#This Row],[_LeafTotalSlack]]))</f>
        <v/>
      </c>
      <c r="AP1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 s="110" t="str">
        <f aca="false">IF(Tasks[[#This Row],[Task Name]]="","",IF(Tasks[[#This Row],[_IsSummary]],SUM(INDEX(Tasks[_LeafTotalWork],Tasks[[#This Row],[_Row]]+1):INDEX(Tasks[_LeafTotalWork],Tasks[[#This Row],[_Row]]+Tasks[[#This Row],[_Descendants]])),Tasks[[#This Row],[_LeafTotalWork]]))</f>
        <v/>
      </c>
      <c r="AV1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 s="111" t="str">
        <f aca="false">IF(Tasks[[#This Row],[Task Name]]="","",IF(Tasks[[#This Row],[_IsSummary]],SUM(INDEX(Tasks[_LeafTotalCost],Tasks[[#This Row],[_Row]]+1):INDEX(Tasks[_LeafTotalCost],Tasks[[#This Row],[_Row]]+Tasks[[#This Row],[_Descendants]])),Tasks[[#This Row],[_LeafTotalCost]]))</f>
        <v/>
      </c>
      <c r="AY11" s="112"/>
      <c r="AZ1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 s="52"/>
      <c r="BB11" s="98"/>
      <c r="BC11" s="51" t="str">
        <f aca="false">IF(OR(Tasks[[#This Row],[Task Name]]="",Tasks[[#This Row],[Baseline Duration]]=""),"",Tasks[[#This Row],[BL Source Duration]]-N(Tasks[[#This Row],[Baseline Duration]]))</f>
        <v/>
      </c>
      <c r="BD11" s="110" t="str">
        <f aca="false">IF(OR(Tasks[[#This Row],[Task Name]]="",Tasks[[#This Row],[Baseline Work]]=""),"",Tasks[[#This Row],[Work]]-N(Tasks[[#This Row],[Baseline Work]]))</f>
        <v/>
      </c>
      <c r="BE11" s="111" t="str">
        <f aca="false">IF(OR(Tasks[[#This Row],[Task Name]]="",Tasks[[#This Row],[Baseline Cost]]=""),"",Tasks[[#This Row],[Cost]]-N(Tasks[[#This Row],[Baseline Cost]]))</f>
        <v/>
      </c>
      <c r="BF11" s="31" t="str">
        <f aca="false">IF(Tasks[[#This Row],[Task Name]]="","",Tasks[[#This Row],[Forecast Start]])</f>
        <v/>
      </c>
      <c r="BG11" s="31" t="str">
        <f aca="false">IF(Tasks[[#This Row],[Task Name]]="","",Tasks[[#This Row],[Forecast Finish]])</f>
        <v/>
      </c>
      <c r="BH11" s="51" t="str">
        <f aca="false">IF(Tasks[[#This Row],[Task Name]]="","",IF(Tasks[[#This Row],[_IsSummary]],NETWORKDAYS.INTL(Tasks[[#This Row],[Forecast Start]],Tasks[[#This Row],[Forecast Finish]],WorkWeek,Holidays),N(Tasks[[#This Row],[Duration]])))</f>
        <v/>
      </c>
      <c r="BI11" s="110" t="str">
        <f aca="false">IF(Tasks[[#This Row],[Task Name]]="","",Tasks[[#This Row],[Work]])</f>
        <v/>
      </c>
      <c r="BJ11" s="111" t="str">
        <f aca="false">IF(Tasks[[#This Row],[Task Name]]="","",Tasks[[#This Row],[Cost]])</f>
        <v/>
      </c>
      <c r="BK11" s="7"/>
      <c r="BL11" s="7"/>
      <c r="BM11" s="52"/>
      <c r="BN11" s="113"/>
      <c r="BO11" s="112"/>
      <c r="BP11" s="111" t="str">
        <f aca="false">IF(Tasks[[#This Row],[Task Name]]="","",IF(Tasks[[#This Row],[_IsSummary]],SUM(INDEX(Tasks[_LeafEV],Tasks[[#This Row],[_Row]]+1):INDEX(Tasks[_LeafEV],Tasks[[#This Row],[_Row]]+Tasks[[#This Row],[_Descendants]])),Tasks[[#This Row],[_LeafEV]]))</f>
        <v/>
      </c>
      <c r="BQ11" s="111" t="str">
        <f aca="false">IF(Tasks[[#This Row],[Task Name]]="","",IF(Tasks[[#This Row],[_IsSummary]],SUM(INDEX(Tasks[_LeafBudget],Tasks[[#This Row],[_Row]]+1):INDEX(Tasks[_LeafBudget],Tasks[[#This Row],[_Row]]+Tasks[[#This Row],[_Descendants]])),Tasks[[#This Row],[_LeafBudget]]))</f>
        <v/>
      </c>
      <c r="BR11" s="111" t="str">
        <f aca="false">IF(Tasks[[#This Row],[Task Name]]="","",IF(Tasks[[#This Row],[_IsSummary]],SUM(INDEX(Tasks[_LeafPV],Tasks[[#This Row],[_Row]]+1):INDEX(Tasks[_LeafPV],Tasks[[#This Row],[_Row]]+Tasks[[#This Row],[_Descendants]])),Tasks[[#This Row],[_LeafPV]]))</f>
        <v/>
      </c>
      <c r="BS11" s="111" t="str">
        <f aca="false">IF(Tasks[[#This Row],[Task Name]]="","",IF(Tasks[[#This Row],[_IsSummary]],SUM(INDEX(Tasks[_LeafAC],Tasks[[#This Row],[_Row]]+1):INDEX(Tasks[_LeafAC],Tasks[[#This Row],[_Row]]+Tasks[[#This Row],[_Descendants]])),Tasks[[#This Row],[_LeafAC]]))</f>
        <v/>
      </c>
      <c r="BT11" s="38" t="str">
        <f aca="false">IF(Tasks[[#This Row],[Task Name]]="","",MAX(1,N(Tasks[[#This Row],[Level]])))</f>
        <v/>
      </c>
      <c r="BU11" s="38" t="n">
        <f aca="false">ROW()-ROW(Tasks[[#Headers],[ID]])</f>
        <v>6</v>
      </c>
      <c r="BV11" s="38" t="n">
        <f aca="false">IF(OR(Tasks[[#This Row],[Task Name]]="",Tasks[[#This Row],[_Level]]&lt;=1),0,IFERROR(LOOKUP(2,1/(Tasks[[#Headers],[_Level]]:Tasks[[#This Row],[_Level]]=Tasks[[#This Row],[_Level]]-1),ROW(Tasks[[#Headers],[_Level]]:Tasks[[#This Row],[_Level]])),0))</f>
        <v>0</v>
      </c>
      <c r="BW11" s="38" t="n">
        <f aca="false">IFERROR(N(INDEX(Tasks[_Level],Tasks[[#This Row],[_Row]]+1)),0)</f>
        <v>0</v>
      </c>
      <c r="BX11" s="114" t="b">
        <f aca="false">AND(Tasks[[#This Row],[Task Name]]&lt;&gt;"",Tasks[[#This Row],[_NextLevel]]&gt;Tasks[[#This Row],[_Level]])</f>
        <v>0</v>
      </c>
      <c r="BY11" s="38" t="n">
        <f aca="false">IF(Tasks[[#This Row],[_IsSummary]],COUNTIF(Tasks[WBS],Tasks[[#This Row],[WBS]]&amp;".*"),0)</f>
        <v>0</v>
      </c>
      <c r="BZ11" s="38" t="n">
        <f aca="false">IF(AND(Tasks[[#This Row],[Task Name]]&lt;&gt;"",NOT(Tasks[[#This Row],[_IsSummary]])),1,0)</f>
        <v>0</v>
      </c>
      <c r="CA11" s="38" t="n">
        <f aca="false">IF(N(Tasks[[#This Row],[Pred1 UID]])=0,0,IFERROR(MATCH(Tasks[[#This Row],[Pred1 UID]],Tasks[UID],0),-1))</f>
        <v>0</v>
      </c>
      <c r="CB11" s="38" t="n">
        <f aca="false">IF(N(Tasks[[#This Row],[Pred2 UID]])=0,0,IFERROR(MATCH(Tasks[[#This Row],[Pred2 UID]],Tasks[UID],0),-1))</f>
        <v>0</v>
      </c>
      <c r="CC11" s="38" t="n">
        <f aca="false">IF(N(Tasks[[#This Row],[Pred3 UID]])=0,0,IFERROR(MATCH(Tasks[[#This Row],[Pred3 UID]],Tasks[UID],0),-1))</f>
        <v>0</v>
      </c>
      <c r="CD11" s="38" t="n">
        <f aca="false">IF(N(Tasks[[#This Row],[Pred4 UID]])=0,0,IFERROR(MATCH(Tasks[[#This Row],[Pred4 UID]],Tasks[UID],0),-1))</f>
        <v>0</v>
      </c>
      <c r="CE1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 s="115" t="n">
        <f aca="false">IF(OR(Tasks[[#This Row],[_ConstraintCode]]=2,Tasks[[#This Row],[_ConstraintCode]]=3,Tasks[[#This Row],[_ConstraintCode]]=4,Tasks[[#This Row],[_ConstraintCode]]=6),Tasks[[#This Row],[_ConstraintStart]],0)</f>
        <v>0</v>
      </c>
      <c r="CH11" s="115" t="n">
        <f aca="false">IF(OR(Tasks[[#This Row],[_ConstraintCode]]=2,Tasks[[#This Row],[_ConstraintCode]]=3,Tasks[[#This Row],[_ConstraintCode]]=5,Tasks[[#This Row],[_ConstraintCode]]=7),Tasks[[#This Row],[_ConstraintStart]],2958465)</f>
        <v>2958465</v>
      </c>
      <c r="CI1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 s="115" t="str">
        <f aca="false">IF(NOT(Tasks[[#This Row],[_IsLeaf]]=1),"",IF(N(Tasks[[#This Row],[Duration]])&lt;=0,Tasks[[#This Row],[_LeafCalcStart]],WORKDAY.INTL(Tasks[[#This Row],[_LeafCalcStart]],Tasks[[#This Row],[Duration]]-1,WorkWeek,Holidays)))</f>
        <v/>
      </c>
      <c r="CK1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 s="38" t="n">
        <f aca="false">IF(NOT(Tasks[[#This Row],[_IsLeaf]]=1),0,IF(N(Tasks[[#This Row],[Actual Finish]])&gt;0,1,MIN(1,N(Tasks[[#This Row],[% Complete]]))))</f>
        <v>0</v>
      </c>
      <c r="CN11" s="38" t="n">
        <f aca="false">IF(OR(NOT(Tasks[[#This Row],[_IsLeaf]]=1),Tasks[[#This Row],[Resource]]=""),0,N(Tasks[[#This Row],[Duration]])*HoursPerDay*IF(Tasks[[#This Row],[Units]]="",DefaultUnits,Tasks[[#This Row],[Units]]))</f>
        <v>0</v>
      </c>
      <c r="CO11" s="38" t="n">
        <f aca="false">IF(Tasks[[#This Row],[_LeafWork]]=0,0,Tasks[[#This Row],[_LeafWork]]*IFERROR(INDEX(res_Rate,MATCH(Tasks[[#This Row],[Resource]],res_Name,0)),0))</f>
        <v>0</v>
      </c>
      <c r="CP11" s="38" t="n">
        <f aca="false">Tasks[[#This Row],[_LeafWork]]+IF(Tasks[[#This Row],[_IsLeaf]]=1,SUMIFS(asg_Work,asg_TaskUID,Tasks[[#This Row],[UID]],asg_Valid,1),0)</f>
        <v>0</v>
      </c>
      <c r="CQ11" s="38" t="n">
        <f aca="false">Tasks[[#This Row],[_LeafCost]]+IF(Tasks[[#This Row],[_IsLeaf]]=1,SUMIFS(asg_Cost,asg_TaskUID,Tasks[[#This Row],[UID]],asg_Valid,1),0)</f>
        <v>0</v>
      </c>
      <c r="CR11" s="38" t="n">
        <f aca="false">IF(Tasks[[#This Row],[_LeafTotalCost]]=0,Tasks[[#This Row],[_LeafAC]],Tasks[[#This Row],[_LeafAC]]*Tasks[[#This Row],[_LeafCost]]/Tasks[[#This Row],[_LeafTotalCost]])</f>
        <v>0</v>
      </c>
      <c r="CS1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 s="38" t="n">
        <f aca="false">IF(NOT(Tasks[[#This Row],[_IsLeaf]]=1),0,MAX(_xlfn.MAXIFS(Tasks[_Row],Tasks[Pred1 UID],Tasks[[#This Row],[UID]]),_xlfn.MAXIFS(Tasks[_Row],Tasks[Pred2 UID],Tasks[[#This Row],[UID]]),_xlfn.MAXIFS(Tasks[_Row],Tasks[Pred3 UID],Tasks[[#This Row],[UID]]),_xlfn.MAXIFS(Tasks[_Row],Tasks[Pred4 UID],Tasks[[#This Row],[UID]])))</f>
        <v>0</v>
      </c>
      <c r="DB1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 s="115" t="str">
        <f aca="false">IF(NOT(Tasks[[#This Row],[_IsLeaf]]=1),"",IF(N(Tasks[[#This Row],[Duration]])&lt;=0,Tasks[[#This Row],[_LeafLateFinish]],WORKDAY.INTL(Tasks[[#This Row],[_LeafLateFinish]],-(Tasks[[#This Row],[Duration]]-1),WorkWeek,Holidays)))</f>
        <v/>
      </c>
      <c r="DE1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 s="114" t="b">
        <f aca="false">AND(Tasks[[#This Row],[_IsLeaf]]=1,Tasks[[#This Row],[_LeafProgress]]&lt;1,N(Tasks[[#This Row],[_LeafTotalSlack]])&lt;=CriticalSlackDays)</f>
        <v>0</v>
      </c>
      <c r="DG11" s="38" t="n">
        <f aca="false">IF(AND(Tasks[[#This Row],[_IsLeaf]]=1,Tasks[[#This Row],[_ConstraintCode]]=1,Tasks[[#This Row],[Mode]]&lt;&gt;"Manual",N(Tasks[[#This Row],[Actual Start]])=0),MAX(0,N(Tasks[[#This Row],[Free Slack]])),0)</f>
        <v>0</v>
      </c>
      <c r="DH11" s="115" t="str">
        <f aca="false">IF(NOT(Tasks[[#This Row],[_IsLeaf]]=1),"",IF(Tasks[[#This Row],[_AlapShift]]=0,Tasks[[#This Row],[_LeafCalcStart]],WORKDAY.INTL(Tasks[[#This Row],[_LeafCalcStart]],Tasks[[#This Row],[_AlapShift]],WorkWeek,Holidays)))</f>
        <v/>
      </c>
      <c r="DI11" s="115" t="str">
        <f aca="false">IF(NOT(Tasks[[#This Row],[_IsLeaf]]=1),"",IF(Tasks[[#This Row],[_AlapShift]]=0,Tasks[[#This Row],[_LeafCalcFinish]],WORKDAY.INTL(Tasks[[#This Row],[_LeafCalcFinish]],Tasks[[#This Row],[_AlapShift]],WorkWeek,Holidays)))</f>
        <v/>
      </c>
      <c r="DJ11" s="115" t="str">
        <f aca="false">IF(NOT(Tasks[[#This Row],[_IsLeaf]]=1),"",IF(Tasks[[#This Row],[_AlapShift]]=0,Tasks[[#This Row],[_LeafFcstStart]],WORKDAY.INTL(Tasks[[#This Row],[_LeafFcstStart]],Tasks[[#This Row],[_AlapShift]],WorkWeek,Holidays)))</f>
        <v/>
      </c>
      <c r="DK11" s="115" t="str">
        <f aca="false">IF(NOT(Tasks[[#This Row],[_IsLeaf]]=1),"",IF(Tasks[[#This Row],[_AlapShift]]=0,Tasks[[#This Row],[_LeafFcstFinish]],WORKDAY.INTL(Tasks[[#This Row],[_LeafFcstFinish]],Tasks[[#This Row],[_AlapShift]],WorkWeek,Holidays)))</f>
        <v/>
      </c>
      <c r="DL11" s="115" t="str">
        <f aca="false">IF(Tasks[[#This Row],[Task Name]]="","",IF(Tasks[[#This Row],[_IsSummary]],MIN(INDEX(Tasks[_ShownCalcStart],Tasks[[#This Row],[_Row]]+1):INDEX(Tasks[_ShownCalcStart],Tasks[[#This Row],[_Row]]+Tasks[[#This Row],[_Descendants]])),Tasks[[#This Row],[_ShownCalcStart]]))</f>
        <v/>
      </c>
      <c r="DM11" s="115" t="str">
        <f aca="false">IF(Tasks[[#This Row],[Task Name]]="","",IF(Tasks[[#This Row],[_IsSummary]],MAX(INDEX(Tasks[_ShownCalcFinish],Tasks[[#This Row],[_Row]]+1):INDEX(Tasks[_ShownCalcFinish],Tasks[[#This Row],[_Row]]+Tasks[[#This Row],[_Descendants]])),Tasks[[#This Row],[_ShownCalcFinish]]))</f>
        <v/>
      </c>
      <c r="DN1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 s="38" t="n">
        <f aca="false">IF(AND(Tasks[[#This Row],[_IsLeaf]]=1,Tasks[[#This Row],[_LeafTotalWork]]&gt;0),NETWORKDAYS.INTL(ProjectStart,Tasks[[#This Row],[_ShownFcstStart]],WorkWeek,Holidays),0)</f>
        <v>0</v>
      </c>
      <c r="EA11" s="38" t="n">
        <f aca="false">IF(AND(Tasks[[#This Row],[_IsLeaf]]=1,Tasks[[#This Row],[_LeafTotalWork]]&gt;0),MAX(Tasks[[#This Row],[_StartWorkday]],NETWORKDAYS.INTL(ProjectStart,Tasks[[#This Row],[_ShownFcstFinish]],WorkWeek,Holidays)),0)</f>
        <v>0</v>
      </c>
      <c r="EB11" s="38" t="n">
        <f aca="false">IF(AND(Tasks[[#This Row],[_IsLeaf]]=1,Tasks[[#This Row],[_LeafTotalWork]]&gt;0),Tasks[[#This Row],[_LeafWork]]/(Tasks[[#This Row],[_FinishWorkday]]-Tasks[[#This Row],[_StartWorkday]]+1),0)</f>
        <v>0</v>
      </c>
      <c r="EC11" s="38" t="n">
        <f aca="false">Tasks[[#This Row],[_WorkPerWorkday]]*(Tasks[[#This Row],[_StartWorkday]]-1)</f>
        <v>-0</v>
      </c>
      <c r="ED11" s="38" t="n">
        <f aca="false">IF(Tasks[[#This Row],[_IsLeaf]]=1,MAX(N(Tasks[[#This Row],[Duration]]),0.1),0)</f>
        <v>0</v>
      </c>
      <c r="EE11" s="38" t="n">
        <f aca="false">Tasks[[#This Row],[_WeightDur]]*Tasks[[#This Row],[_LeafProgress]]</f>
        <v>0</v>
      </c>
      <c r="EF1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 s="38" t="str">
        <f aca="false">IF(AND(Tasks[[#This Row],[_IsLeaf]]=1,N(Tasks[[#This Row],[Duration]])=0,Tasks[[#This Row],[_LeafProgress]]&lt;1),Tasks[[#This Row],[_ShownFcstFinish]]+Tasks[[#This Row],[_Row]]/100000,"")</f>
        <v/>
      </c>
      <c r="EH1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 s="38" t="n">
        <f aca="false">IF(NOT(Tasks[[#This Row],[_IsLeaf]]=1),0,IF(Tasks[[#This Row],[Baseline Cost]]="",Tasks[[#This Row],[_LeafTotalCost]],N(Tasks[[#This Row],[Baseline Cost]])))</f>
        <v>0</v>
      </c>
      <c r="EJ11" s="38" t="n">
        <f aca="false">Tasks[[#This Row],[_LeafBudget]]*Tasks[[#This Row],[_PlannedPct]]</f>
        <v>0</v>
      </c>
      <c r="EK11" s="38" t="n">
        <f aca="false">Tasks[[#This Row],[_LeafBudget]]*Tasks[[#This Row],[_LeafProgress]]</f>
        <v>0</v>
      </c>
      <c r="EL11" s="38" t="n">
        <f aca="false">IF(NOT(Tasks[[#This Row],[_IsLeaf]]=1),0,IF(Tasks[[#This Row],[Actual Cost]]="",Tasks[[#This Row],[_LeafTotalCost]]*Tasks[[#This Row],[_LeafProgress]],N(Tasks[[#This Row],[Actual Cost]])))</f>
        <v>0</v>
      </c>
      <c r="EM11" s="38" t="str">
        <f aca="false">IF(Tasks[[#This Row],[Task Name]]="","",LEFT(Tasks[[#This Row],[WBS]],FIND(".",Tasks[[#This Row],[WBS]]&amp;".")-1))</f>
        <v/>
      </c>
      <c r="EN11" s="38" t="str">
        <f aca="false">IF(AND(Tasks[[#This Row],[Task Name]]&lt;&gt;"",Tasks[[#This Row],[_Level]]=1),Tasks[[#This Row],[_Row]],"")</f>
        <v/>
      </c>
      <c r="EO11" s="38" t="str">
        <f aca="false">IF(AND(Tasks[[#This Row],[_IsLeaf]]=1,N(Tasks[[#This Row],[Duration]])=0),Tasks[[#This Row],[Planned Finish]]+Tasks[[#This Row],[_Row]]/100000,"")</f>
        <v/>
      </c>
      <c r="EP11" s="38" t="str">
        <f aca="false">IF(AND(Tasks[[#This Row],[_IsLeaf]]=1,Tasks[[#This Row],[_LeafProgress]]&lt;1,OR(N(Tasks[[#This Row],[Finish Var]])&gt;0,Tasks[[#This Row],[Status]]="Late Start")),MAX(0,Tasks[[#This Row],[Finish Var]])+1-Tasks[[#This Row],[_Row]]/1000000,"")</f>
        <v/>
      </c>
      <c r="EQ11" s="38" t="str">
        <f aca="false">IF(AND(Tasks[[#This Row],[_IsLeaf]]=1,N(Tasks[[#This Row],[Actual Start]])=0,Tasks[[#This Row],[_ShownFcstStart]]&gt;=StatusDate,Tasks[[#This Row],[_ShownFcstStart]]&lt;=LookaheadEnd),Tasks[[#This Row],[_ShownFcstStart]]+Tasks[[#This Row],[_Row]]/100000,"")</f>
        <v/>
      </c>
      <c r="ER11" s="38" t="str">
        <f aca="false">IF(AND(Tasks[[#This Row],[_IsLeaf]]=1,Tasks[[#This Row],[_LeafProgress]]&lt;1,Tasks[[#This Row],[_ShownFcstFinish]]&gt;=StatusDate,Tasks[[#This Row],[_ShownFcstFinish]]&lt;=LookaheadEnd),Tasks[[#This Row],[_ShownFcstFinish]]+Tasks[[#This Row],[_Row]]/100000,"")</f>
        <v/>
      </c>
      <c r="ES11" s="38" t="str">
        <f aca="false">IF(Tasks[[#This Row],[_LeafCritical]],Tasks[[#This Row],[_ShownFcstStart]]+Tasks[[#This Row],[_Row]]/100000,"")</f>
        <v/>
      </c>
      <c r="ET11" s="38" t="n">
        <f aca="false">Tasks[[#This Row],[_LeafWork]]*Tasks[[#This Row],[_LeafProgress]]</f>
        <v>0</v>
      </c>
      <c r="EU11" s="115" t="str">
        <f aca="false">IF(AND(Tasks[[#This Row],[_IsLeaf]]=1,Tasks[[#This Row],[_LeafProgress]]&gt;=1),IF(N(Tasks[[#This Row],[Actual Finish]])&gt;0,Tasks[[#This Row],[Actual Finish]],Tasks[[#This Row],[_ShownFcstFinish]]),"")</f>
        <v/>
      </c>
      <c r="EV11" s="38" t="n">
        <f aca="false">IF(Tasks[[#This Row],[_IsLeaf]]=1,N(Tasks[[#This Row],[Story Points]]),0)</f>
        <v>0</v>
      </c>
      <c r="EW11" s="38" t="str">
        <f aca="false">IF(AND(Tasks[[#This Row],[_IsLeaf]]=1,CurrentSprint&lt;&gt;"",Tasks[[#This Row],[Sprint]]=CurrentSprint),Tasks[[#This Row],[_Row]],"")</f>
        <v/>
      </c>
    </row>
    <row r="12" customFormat="false" ht="15" hidden="false" customHeight="false" outlineLevel="0" collapsed="false">
      <c r="A12" s="51" t="str">
        <f aca="false">IF(Tasks[[#This Row],[Task Name]]="","",COUNTA(Tasks[[#Headers],[Task Name]]:Tasks[[#This Row],[Task Name]])-1)</f>
        <v/>
      </c>
      <c r="B12" s="52" t="n">
        <v>7</v>
      </c>
      <c r="C1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 s="52"/>
      <c r="E12" s="53"/>
      <c r="F12" s="52"/>
      <c r="G12" s="52"/>
      <c r="H12" s="52"/>
      <c r="I12" s="52"/>
      <c r="J12" s="52"/>
      <c r="K12" s="52"/>
      <c r="L12" s="52"/>
      <c r="M12" s="52"/>
      <c r="N12" s="52"/>
      <c r="O12" s="52"/>
      <c r="P12" s="52"/>
      <c r="Q12" s="52"/>
      <c r="R12" s="52"/>
      <c r="S12" s="53"/>
      <c r="T12" s="102"/>
      <c r="U12" s="102"/>
      <c r="V12" s="7"/>
      <c r="W12" s="7"/>
      <c r="X12" s="53"/>
      <c r="Y12" s="31" t="str">
        <f aca="false">IF(Tasks[[#This Row],[Task Name]]="","",IF(Tasks[[#This Row],[_IsSummary]],MIN(INDEX(Tasks[_ShownFcstStart],Tasks[[#This Row],[_Row]]+1):INDEX(Tasks[_ShownFcstStart],Tasks[[#This Row],[_Row]]+Tasks[[#This Row],[_Descendants]])),Tasks[[#This Row],[_ShownFcstStart]]))</f>
        <v/>
      </c>
      <c r="Z12" s="31" t="str">
        <f aca="false">IF(Tasks[[#This Row],[Task Name]]="","",IF(Tasks[[#This Row],[_IsSummary]],MAX(INDEX(Tasks[_ShownFcstFinish],Tasks[[#This Row],[_Row]]+1):INDEX(Tasks[_ShownFcstFinish],Tasks[[#This Row],[_Row]]+Tasks[[#This Row],[_Descendants]])),Tasks[[#This Row],[_ShownFcstFinish]]))</f>
        <v/>
      </c>
      <c r="AA12" s="51" t="str">
        <f aca="false">IF(Tasks[[#This Row],[Task Name]]="","",IF(Tasks[[#This Row],[Progress]]&gt;=1,"Complete",IF(OR(N(Tasks[[#This Row],[Actual Start]])&gt;0,Tasks[[#This Row],[Progress]]&gt;0),IF(Tasks[[#This Row],[Finish Var]]&gt;0,"Behind","In Progress"),IF(Tasks[[#This Row],[Planned Start]]&lt;StatusDate,"Late Start","Not Started"))))</f>
        <v/>
      </c>
      <c r="AB12" s="51" t="str">
        <f aca="false">IF(Tasks[[#This Row],[Task Name]]="","",IF(IF(Tasks[[#This Row],[_IsSummary]],COUNTIF(INDEX(Tasks[_LeafCritical],Tasks[[#This Row],[_Row]]+1):INDEX(Tasks[_LeafCritical],Tasks[[#This Row],[_Row]]+Tasks[[#This Row],[_Descendants]]),TRUE())&gt;0,Tasks[[#This Row],[_LeafCritical]]),"Yes",""))</f>
        <v/>
      </c>
      <c r="AC1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 s="51" t="str">
        <f aca="false">IF(Tasks[[#This Row],[Task Name]]="","",IF(Tasks[[#This Row],[_Level]]&lt;=OutlineShowLevel,"Yes","No"))</f>
        <v/>
      </c>
      <c r="AE12" s="7"/>
      <c r="AF12" s="52"/>
      <c r="AG12" s="53"/>
      <c r="AH12" s="7"/>
      <c r="AI1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 s="31" t="str">
        <f aca="false">IF(Tasks[[#This Row],[Task Name]]="","",IF(N(Tasks[[#This Row],[Baseline Start]])&gt;0,Tasks[[#This Row],[Baseline Start]],Tasks[[#This Row],[_CalcStart]]))</f>
        <v/>
      </c>
      <c r="AK12" s="31" t="str">
        <f aca="false">IF(Tasks[[#This Row],[Task Name]]="","",IF(N(Tasks[[#This Row],[Baseline Finish]])&gt;0,Tasks[[#This Row],[Baseline Finish]],Tasks[[#This Row],[_CalcFinish]]))</f>
        <v/>
      </c>
      <c r="AL1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 s="31" t="str">
        <f aca="false">IF(Tasks[[#This Row],[Task Name]]="","",IF(Tasks[[#This Row],[_IsSummary]],MIN(INDEX(Tasks[_LeafLateStart],Tasks[[#This Row],[_Row]]+1):INDEX(Tasks[_LeafLateStart],Tasks[[#This Row],[_Row]]+Tasks[[#This Row],[_Descendants]])),Tasks[[#This Row],[_LeafLateStart]]))</f>
        <v/>
      </c>
      <c r="AN12" s="31" t="str">
        <f aca="false">IF(Tasks[[#This Row],[Task Name]]="","",IF(Tasks[[#This Row],[_IsSummary]],MAX(INDEX(Tasks[_LeafLateFinish],Tasks[[#This Row],[_Row]]+1):INDEX(Tasks[_LeafLateFinish],Tasks[[#This Row],[_Row]]+Tasks[[#This Row],[_Descendants]])),Tasks[[#This Row],[_LeafLateFinish]]))</f>
        <v/>
      </c>
      <c r="AO12" s="51" t="str">
        <f aca="false">IF(Tasks[[#This Row],[Task Name]]="","",IF(Tasks[[#This Row],[_IsSummary]],MIN(INDEX(Tasks[_LeafTotalSlack],Tasks[[#This Row],[_Row]]+1):INDEX(Tasks[_LeafTotalSlack],Tasks[[#This Row],[_Row]]+Tasks[[#This Row],[_Descendants]])),Tasks[[#This Row],[_LeafTotalSlack]]))</f>
        <v/>
      </c>
      <c r="AP1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 s="110" t="str">
        <f aca="false">IF(Tasks[[#This Row],[Task Name]]="","",IF(Tasks[[#This Row],[_IsSummary]],SUM(INDEX(Tasks[_LeafTotalWork],Tasks[[#This Row],[_Row]]+1):INDEX(Tasks[_LeafTotalWork],Tasks[[#This Row],[_Row]]+Tasks[[#This Row],[_Descendants]])),Tasks[[#This Row],[_LeafTotalWork]]))</f>
        <v/>
      </c>
      <c r="AV1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 s="111" t="str">
        <f aca="false">IF(Tasks[[#This Row],[Task Name]]="","",IF(Tasks[[#This Row],[_IsSummary]],SUM(INDEX(Tasks[_LeafTotalCost],Tasks[[#This Row],[_Row]]+1):INDEX(Tasks[_LeafTotalCost],Tasks[[#This Row],[_Row]]+Tasks[[#This Row],[_Descendants]])),Tasks[[#This Row],[_LeafTotalCost]]))</f>
        <v/>
      </c>
      <c r="AY12" s="112"/>
      <c r="AZ1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 s="52"/>
      <c r="BB12" s="98"/>
      <c r="BC12" s="51" t="str">
        <f aca="false">IF(OR(Tasks[[#This Row],[Task Name]]="",Tasks[[#This Row],[Baseline Duration]]=""),"",Tasks[[#This Row],[BL Source Duration]]-N(Tasks[[#This Row],[Baseline Duration]]))</f>
        <v/>
      </c>
      <c r="BD12" s="110" t="str">
        <f aca="false">IF(OR(Tasks[[#This Row],[Task Name]]="",Tasks[[#This Row],[Baseline Work]]=""),"",Tasks[[#This Row],[Work]]-N(Tasks[[#This Row],[Baseline Work]]))</f>
        <v/>
      </c>
      <c r="BE12" s="111" t="str">
        <f aca="false">IF(OR(Tasks[[#This Row],[Task Name]]="",Tasks[[#This Row],[Baseline Cost]]=""),"",Tasks[[#This Row],[Cost]]-N(Tasks[[#This Row],[Baseline Cost]]))</f>
        <v/>
      </c>
      <c r="BF12" s="31" t="str">
        <f aca="false">IF(Tasks[[#This Row],[Task Name]]="","",Tasks[[#This Row],[Forecast Start]])</f>
        <v/>
      </c>
      <c r="BG12" s="31" t="str">
        <f aca="false">IF(Tasks[[#This Row],[Task Name]]="","",Tasks[[#This Row],[Forecast Finish]])</f>
        <v/>
      </c>
      <c r="BH12" s="51" t="str">
        <f aca="false">IF(Tasks[[#This Row],[Task Name]]="","",IF(Tasks[[#This Row],[_IsSummary]],NETWORKDAYS.INTL(Tasks[[#This Row],[Forecast Start]],Tasks[[#This Row],[Forecast Finish]],WorkWeek,Holidays),N(Tasks[[#This Row],[Duration]])))</f>
        <v/>
      </c>
      <c r="BI12" s="110" t="str">
        <f aca="false">IF(Tasks[[#This Row],[Task Name]]="","",Tasks[[#This Row],[Work]])</f>
        <v/>
      </c>
      <c r="BJ12" s="111" t="str">
        <f aca="false">IF(Tasks[[#This Row],[Task Name]]="","",Tasks[[#This Row],[Cost]])</f>
        <v/>
      </c>
      <c r="BK12" s="7"/>
      <c r="BL12" s="7"/>
      <c r="BM12" s="52"/>
      <c r="BN12" s="113"/>
      <c r="BO12" s="112"/>
      <c r="BP12" s="111" t="str">
        <f aca="false">IF(Tasks[[#This Row],[Task Name]]="","",IF(Tasks[[#This Row],[_IsSummary]],SUM(INDEX(Tasks[_LeafEV],Tasks[[#This Row],[_Row]]+1):INDEX(Tasks[_LeafEV],Tasks[[#This Row],[_Row]]+Tasks[[#This Row],[_Descendants]])),Tasks[[#This Row],[_LeafEV]]))</f>
        <v/>
      </c>
      <c r="BQ12" s="111" t="str">
        <f aca="false">IF(Tasks[[#This Row],[Task Name]]="","",IF(Tasks[[#This Row],[_IsSummary]],SUM(INDEX(Tasks[_LeafBudget],Tasks[[#This Row],[_Row]]+1):INDEX(Tasks[_LeafBudget],Tasks[[#This Row],[_Row]]+Tasks[[#This Row],[_Descendants]])),Tasks[[#This Row],[_LeafBudget]]))</f>
        <v/>
      </c>
      <c r="BR12" s="111" t="str">
        <f aca="false">IF(Tasks[[#This Row],[Task Name]]="","",IF(Tasks[[#This Row],[_IsSummary]],SUM(INDEX(Tasks[_LeafPV],Tasks[[#This Row],[_Row]]+1):INDEX(Tasks[_LeafPV],Tasks[[#This Row],[_Row]]+Tasks[[#This Row],[_Descendants]])),Tasks[[#This Row],[_LeafPV]]))</f>
        <v/>
      </c>
      <c r="BS12" s="111" t="str">
        <f aca="false">IF(Tasks[[#This Row],[Task Name]]="","",IF(Tasks[[#This Row],[_IsSummary]],SUM(INDEX(Tasks[_LeafAC],Tasks[[#This Row],[_Row]]+1):INDEX(Tasks[_LeafAC],Tasks[[#This Row],[_Row]]+Tasks[[#This Row],[_Descendants]])),Tasks[[#This Row],[_LeafAC]]))</f>
        <v/>
      </c>
      <c r="BT12" s="38" t="str">
        <f aca="false">IF(Tasks[[#This Row],[Task Name]]="","",MAX(1,N(Tasks[[#This Row],[Level]])))</f>
        <v/>
      </c>
      <c r="BU12" s="38" t="n">
        <f aca="false">ROW()-ROW(Tasks[[#Headers],[ID]])</f>
        <v>7</v>
      </c>
      <c r="BV12" s="38" t="n">
        <f aca="false">IF(OR(Tasks[[#This Row],[Task Name]]="",Tasks[[#This Row],[_Level]]&lt;=1),0,IFERROR(LOOKUP(2,1/(Tasks[[#Headers],[_Level]]:Tasks[[#This Row],[_Level]]=Tasks[[#This Row],[_Level]]-1),ROW(Tasks[[#Headers],[_Level]]:Tasks[[#This Row],[_Level]])),0))</f>
        <v>0</v>
      </c>
      <c r="BW12" s="38" t="n">
        <f aca="false">IFERROR(N(INDEX(Tasks[_Level],Tasks[[#This Row],[_Row]]+1)),0)</f>
        <v>0</v>
      </c>
      <c r="BX12" s="114" t="b">
        <f aca="false">AND(Tasks[[#This Row],[Task Name]]&lt;&gt;"",Tasks[[#This Row],[_NextLevel]]&gt;Tasks[[#This Row],[_Level]])</f>
        <v>0</v>
      </c>
      <c r="BY12" s="38" t="n">
        <f aca="false">IF(Tasks[[#This Row],[_IsSummary]],COUNTIF(Tasks[WBS],Tasks[[#This Row],[WBS]]&amp;".*"),0)</f>
        <v>0</v>
      </c>
      <c r="BZ12" s="38" t="n">
        <f aca="false">IF(AND(Tasks[[#This Row],[Task Name]]&lt;&gt;"",NOT(Tasks[[#This Row],[_IsSummary]])),1,0)</f>
        <v>0</v>
      </c>
      <c r="CA12" s="38" t="n">
        <f aca="false">IF(N(Tasks[[#This Row],[Pred1 UID]])=0,0,IFERROR(MATCH(Tasks[[#This Row],[Pred1 UID]],Tasks[UID],0),-1))</f>
        <v>0</v>
      </c>
      <c r="CB12" s="38" t="n">
        <f aca="false">IF(N(Tasks[[#This Row],[Pred2 UID]])=0,0,IFERROR(MATCH(Tasks[[#This Row],[Pred2 UID]],Tasks[UID],0),-1))</f>
        <v>0</v>
      </c>
      <c r="CC12" s="38" t="n">
        <f aca="false">IF(N(Tasks[[#This Row],[Pred3 UID]])=0,0,IFERROR(MATCH(Tasks[[#This Row],[Pred3 UID]],Tasks[UID],0),-1))</f>
        <v>0</v>
      </c>
      <c r="CD12" s="38" t="n">
        <f aca="false">IF(N(Tasks[[#This Row],[Pred4 UID]])=0,0,IFERROR(MATCH(Tasks[[#This Row],[Pred4 UID]],Tasks[UID],0),-1))</f>
        <v>0</v>
      </c>
      <c r="CE1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 s="115" t="n">
        <f aca="false">IF(OR(Tasks[[#This Row],[_ConstraintCode]]=2,Tasks[[#This Row],[_ConstraintCode]]=3,Tasks[[#This Row],[_ConstraintCode]]=4,Tasks[[#This Row],[_ConstraintCode]]=6),Tasks[[#This Row],[_ConstraintStart]],0)</f>
        <v>0</v>
      </c>
      <c r="CH12" s="115" t="n">
        <f aca="false">IF(OR(Tasks[[#This Row],[_ConstraintCode]]=2,Tasks[[#This Row],[_ConstraintCode]]=3,Tasks[[#This Row],[_ConstraintCode]]=5,Tasks[[#This Row],[_ConstraintCode]]=7),Tasks[[#This Row],[_ConstraintStart]],2958465)</f>
        <v>2958465</v>
      </c>
      <c r="CI1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 s="115" t="str">
        <f aca="false">IF(NOT(Tasks[[#This Row],[_IsLeaf]]=1),"",IF(N(Tasks[[#This Row],[Duration]])&lt;=0,Tasks[[#This Row],[_LeafCalcStart]],WORKDAY.INTL(Tasks[[#This Row],[_LeafCalcStart]],Tasks[[#This Row],[Duration]]-1,WorkWeek,Holidays)))</f>
        <v/>
      </c>
      <c r="CK1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 s="38" t="n">
        <f aca="false">IF(NOT(Tasks[[#This Row],[_IsLeaf]]=1),0,IF(N(Tasks[[#This Row],[Actual Finish]])&gt;0,1,MIN(1,N(Tasks[[#This Row],[% Complete]]))))</f>
        <v>0</v>
      </c>
      <c r="CN12" s="38" t="n">
        <f aca="false">IF(OR(NOT(Tasks[[#This Row],[_IsLeaf]]=1),Tasks[[#This Row],[Resource]]=""),0,N(Tasks[[#This Row],[Duration]])*HoursPerDay*IF(Tasks[[#This Row],[Units]]="",DefaultUnits,Tasks[[#This Row],[Units]]))</f>
        <v>0</v>
      </c>
      <c r="CO12" s="38" t="n">
        <f aca="false">IF(Tasks[[#This Row],[_LeafWork]]=0,0,Tasks[[#This Row],[_LeafWork]]*IFERROR(INDEX(res_Rate,MATCH(Tasks[[#This Row],[Resource]],res_Name,0)),0))</f>
        <v>0</v>
      </c>
      <c r="CP12" s="38" t="n">
        <f aca="false">Tasks[[#This Row],[_LeafWork]]+IF(Tasks[[#This Row],[_IsLeaf]]=1,SUMIFS(asg_Work,asg_TaskUID,Tasks[[#This Row],[UID]],asg_Valid,1),0)</f>
        <v>0</v>
      </c>
      <c r="CQ12" s="38" t="n">
        <f aca="false">Tasks[[#This Row],[_LeafCost]]+IF(Tasks[[#This Row],[_IsLeaf]]=1,SUMIFS(asg_Cost,asg_TaskUID,Tasks[[#This Row],[UID]],asg_Valid,1),0)</f>
        <v>0</v>
      </c>
      <c r="CR12" s="38" t="n">
        <f aca="false">IF(Tasks[[#This Row],[_LeafTotalCost]]=0,Tasks[[#This Row],[_LeafAC]],Tasks[[#This Row],[_LeafAC]]*Tasks[[#This Row],[_LeafCost]]/Tasks[[#This Row],[_LeafTotalCost]])</f>
        <v>0</v>
      </c>
      <c r="CS1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 s="38" t="n">
        <f aca="false">IF(NOT(Tasks[[#This Row],[_IsLeaf]]=1),0,MAX(_xlfn.MAXIFS(Tasks[_Row],Tasks[Pred1 UID],Tasks[[#This Row],[UID]]),_xlfn.MAXIFS(Tasks[_Row],Tasks[Pred2 UID],Tasks[[#This Row],[UID]]),_xlfn.MAXIFS(Tasks[_Row],Tasks[Pred3 UID],Tasks[[#This Row],[UID]]),_xlfn.MAXIFS(Tasks[_Row],Tasks[Pred4 UID],Tasks[[#This Row],[UID]])))</f>
        <v>0</v>
      </c>
      <c r="DB1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 s="115" t="str">
        <f aca="false">IF(NOT(Tasks[[#This Row],[_IsLeaf]]=1),"",IF(N(Tasks[[#This Row],[Duration]])&lt;=0,Tasks[[#This Row],[_LeafLateFinish]],WORKDAY.INTL(Tasks[[#This Row],[_LeafLateFinish]],-(Tasks[[#This Row],[Duration]]-1),WorkWeek,Holidays)))</f>
        <v/>
      </c>
      <c r="DE1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 s="114" t="b">
        <f aca="false">AND(Tasks[[#This Row],[_IsLeaf]]=1,Tasks[[#This Row],[_LeafProgress]]&lt;1,N(Tasks[[#This Row],[_LeafTotalSlack]])&lt;=CriticalSlackDays)</f>
        <v>0</v>
      </c>
      <c r="DG12" s="38" t="n">
        <f aca="false">IF(AND(Tasks[[#This Row],[_IsLeaf]]=1,Tasks[[#This Row],[_ConstraintCode]]=1,Tasks[[#This Row],[Mode]]&lt;&gt;"Manual",N(Tasks[[#This Row],[Actual Start]])=0),MAX(0,N(Tasks[[#This Row],[Free Slack]])),0)</f>
        <v>0</v>
      </c>
      <c r="DH12" s="115" t="str">
        <f aca="false">IF(NOT(Tasks[[#This Row],[_IsLeaf]]=1),"",IF(Tasks[[#This Row],[_AlapShift]]=0,Tasks[[#This Row],[_LeafCalcStart]],WORKDAY.INTL(Tasks[[#This Row],[_LeafCalcStart]],Tasks[[#This Row],[_AlapShift]],WorkWeek,Holidays)))</f>
        <v/>
      </c>
      <c r="DI12" s="115" t="str">
        <f aca="false">IF(NOT(Tasks[[#This Row],[_IsLeaf]]=1),"",IF(Tasks[[#This Row],[_AlapShift]]=0,Tasks[[#This Row],[_LeafCalcFinish]],WORKDAY.INTL(Tasks[[#This Row],[_LeafCalcFinish]],Tasks[[#This Row],[_AlapShift]],WorkWeek,Holidays)))</f>
        <v/>
      </c>
      <c r="DJ12" s="115" t="str">
        <f aca="false">IF(NOT(Tasks[[#This Row],[_IsLeaf]]=1),"",IF(Tasks[[#This Row],[_AlapShift]]=0,Tasks[[#This Row],[_LeafFcstStart]],WORKDAY.INTL(Tasks[[#This Row],[_LeafFcstStart]],Tasks[[#This Row],[_AlapShift]],WorkWeek,Holidays)))</f>
        <v/>
      </c>
      <c r="DK12" s="115" t="str">
        <f aca="false">IF(NOT(Tasks[[#This Row],[_IsLeaf]]=1),"",IF(Tasks[[#This Row],[_AlapShift]]=0,Tasks[[#This Row],[_LeafFcstFinish]],WORKDAY.INTL(Tasks[[#This Row],[_LeafFcstFinish]],Tasks[[#This Row],[_AlapShift]],WorkWeek,Holidays)))</f>
        <v/>
      </c>
      <c r="DL12" s="115" t="str">
        <f aca="false">IF(Tasks[[#This Row],[Task Name]]="","",IF(Tasks[[#This Row],[_IsSummary]],MIN(INDEX(Tasks[_ShownCalcStart],Tasks[[#This Row],[_Row]]+1):INDEX(Tasks[_ShownCalcStart],Tasks[[#This Row],[_Row]]+Tasks[[#This Row],[_Descendants]])),Tasks[[#This Row],[_ShownCalcStart]]))</f>
        <v/>
      </c>
      <c r="DM12" s="115" t="str">
        <f aca="false">IF(Tasks[[#This Row],[Task Name]]="","",IF(Tasks[[#This Row],[_IsSummary]],MAX(INDEX(Tasks[_ShownCalcFinish],Tasks[[#This Row],[_Row]]+1):INDEX(Tasks[_ShownCalcFinish],Tasks[[#This Row],[_Row]]+Tasks[[#This Row],[_Descendants]])),Tasks[[#This Row],[_ShownCalcFinish]]))</f>
        <v/>
      </c>
      <c r="DN1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 s="38" t="n">
        <f aca="false">IF(AND(Tasks[[#This Row],[_IsLeaf]]=1,Tasks[[#This Row],[_LeafTotalWork]]&gt;0),NETWORKDAYS.INTL(ProjectStart,Tasks[[#This Row],[_ShownFcstStart]],WorkWeek,Holidays),0)</f>
        <v>0</v>
      </c>
      <c r="EA12" s="38" t="n">
        <f aca="false">IF(AND(Tasks[[#This Row],[_IsLeaf]]=1,Tasks[[#This Row],[_LeafTotalWork]]&gt;0),MAX(Tasks[[#This Row],[_StartWorkday]],NETWORKDAYS.INTL(ProjectStart,Tasks[[#This Row],[_ShownFcstFinish]],WorkWeek,Holidays)),0)</f>
        <v>0</v>
      </c>
      <c r="EB12" s="38" t="n">
        <f aca="false">IF(AND(Tasks[[#This Row],[_IsLeaf]]=1,Tasks[[#This Row],[_LeafTotalWork]]&gt;0),Tasks[[#This Row],[_LeafWork]]/(Tasks[[#This Row],[_FinishWorkday]]-Tasks[[#This Row],[_StartWorkday]]+1),0)</f>
        <v>0</v>
      </c>
      <c r="EC12" s="38" t="n">
        <f aca="false">Tasks[[#This Row],[_WorkPerWorkday]]*(Tasks[[#This Row],[_StartWorkday]]-1)</f>
        <v>-0</v>
      </c>
      <c r="ED12" s="38" t="n">
        <f aca="false">IF(Tasks[[#This Row],[_IsLeaf]]=1,MAX(N(Tasks[[#This Row],[Duration]]),0.1),0)</f>
        <v>0</v>
      </c>
      <c r="EE12" s="38" t="n">
        <f aca="false">Tasks[[#This Row],[_WeightDur]]*Tasks[[#This Row],[_LeafProgress]]</f>
        <v>0</v>
      </c>
      <c r="EF1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 s="38" t="str">
        <f aca="false">IF(AND(Tasks[[#This Row],[_IsLeaf]]=1,N(Tasks[[#This Row],[Duration]])=0,Tasks[[#This Row],[_LeafProgress]]&lt;1),Tasks[[#This Row],[_ShownFcstFinish]]+Tasks[[#This Row],[_Row]]/100000,"")</f>
        <v/>
      </c>
      <c r="EH1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 s="38" t="n">
        <f aca="false">IF(NOT(Tasks[[#This Row],[_IsLeaf]]=1),0,IF(Tasks[[#This Row],[Baseline Cost]]="",Tasks[[#This Row],[_LeafTotalCost]],N(Tasks[[#This Row],[Baseline Cost]])))</f>
        <v>0</v>
      </c>
      <c r="EJ12" s="38" t="n">
        <f aca="false">Tasks[[#This Row],[_LeafBudget]]*Tasks[[#This Row],[_PlannedPct]]</f>
        <v>0</v>
      </c>
      <c r="EK12" s="38" t="n">
        <f aca="false">Tasks[[#This Row],[_LeafBudget]]*Tasks[[#This Row],[_LeafProgress]]</f>
        <v>0</v>
      </c>
      <c r="EL12" s="38" t="n">
        <f aca="false">IF(NOT(Tasks[[#This Row],[_IsLeaf]]=1),0,IF(Tasks[[#This Row],[Actual Cost]]="",Tasks[[#This Row],[_LeafTotalCost]]*Tasks[[#This Row],[_LeafProgress]],N(Tasks[[#This Row],[Actual Cost]])))</f>
        <v>0</v>
      </c>
      <c r="EM12" s="38" t="str">
        <f aca="false">IF(Tasks[[#This Row],[Task Name]]="","",LEFT(Tasks[[#This Row],[WBS]],FIND(".",Tasks[[#This Row],[WBS]]&amp;".")-1))</f>
        <v/>
      </c>
      <c r="EN12" s="38" t="str">
        <f aca="false">IF(AND(Tasks[[#This Row],[Task Name]]&lt;&gt;"",Tasks[[#This Row],[_Level]]=1),Tasks[[#This Row],[_Row]],"")</f>
        <v/>
      </c>
      <c r="EO12" s="38" t="str">
        <f aca="false">IF(AND(Tasks[[#This Row],[_IsLeaf]]=1,N(Tasks[[#This Row],[Duration]])=0),Tasks[[#This Row],[Planned Finish]]+Tasks[[#This Row],[_Row]]/100000,"")</f>
        <v/>
      </c>
      <c r="EP12" s="38" t="str">
        <f aca="false">IF(AND(Tasks[[#This Row],[_IsLeaf]]=1,Tasks[[#This Row],[_LeafProgress]]&lt;1,OR(N(Tasks[[#This Row],[Finish Var]])&gt;0,Tasks[[#This Row],[Status]]="Late Start")),MAX(0,Tasks[[#This Row],[Finish Var]])+1-Tasks[[#This Row],[_Row]]/1000000,"")</f>
        <v/>
      </c>
      <c r="EQ12" s="38" t="str">
        <f aca="false">IF(AND(Tasks[[#This Row],[_IsLeaf]]=1,N(Tasks[[#This Row],[Actual Start]])=0,Tasks[[#This Row],[_ShownFcstStart]]&gt;=StatusDate,Tasks[[#This Row],[_ShownFcstStart]]&lt;=LookaheadEnd),Tasks[[#This Row],[_ShownFcstStart]]+Tasks[[#This Row],[_Row]]/100000,"")</f>
        <v/>
      </c>
      <c r="ER12" s="38" t="str">
        <f aca="false">IF(AND(Tasks[[#This Row],[_IsLeaf]]=1,Tasks[[#This Row],[_LeafProgress]]&lt;1,Tasks[[#This Row],[_ShownFcstFinish]]&gt;=StatusDate,Tasks[[#This Row],[_ShownFcstFinish]]&lt;=LookaheadEnd),Tasks[[#This Row],[_ShownFcstFinish]]+Tasks[[#This Row],[_Row]]/100000,"")</f>
        <v/>
      </c>
      <c r="ES12" s="38" t="str">
        <f aca="false">IF(Tasks[[#This Row],[_LeafCritical]],Tasks[[#This Row],[_ShownFcstStart]]+Tasks[[#This Row],[_Row]]/100000,"")</f>
        <v/>
      </c>
      <c r="ET12" s="38" t="n">
        <f aca="false">Tasks[[#This Row],[_LeafWork]]*Tasks[[#This Row],[_LeafProgress]]</f>
        <v>0</v>
      </c>
      <c r="EU12" s="115" t="str">
        <f aca="false">IF(AND(Tasks[[#This Row],[_IsLeaf]]=1,Tasks[[#This Row],[_LeafProgress]]&gt;=1),IF(N(Tasks[[#This Row],[Actual Finish]])&gt;0,Tasks[[#This Row],[Actual Finish]],Tasks[[#This Row],[_ShownFcstFinish]]),"")</f>
        <v/>
      </c>
      <c r="EV12" s="38" t="n">
        <f aca="false">IF(Tasks[[#This Row],[_IsLeaf]]=1,N(Tasks[[#This Row],[Story Points]]),0)</f>
        <v>0</v>
      </c>
      <c r="EW12" s="38" t="str">
        <f aca="false">IF(AND(Tasks[[#This Row],[_IsLeaf]]=1,CurrentSprint&lt;&gt;"",Tasks[[#This Row],[Sprint]]=CurrentSprint),Tasks[[#This Row],[_Row]],"")</f>
        <v/>
      </c>
    </row>
    <row r="13" customFormat="false" ht="15" hidden="false" customHeight="false" outlineLevel="0" collapsed="false">
      <c r="A13" s="51" t="str">
        <f aca="false">IF(Tasks[[#This Row],[Task Name]]="","",COUNTA(Tasks[[#Headers],[Task Name]]:Tasks[[#This Row],[Task Name]])-1)</f>
        <v/>
      </c>
      <c r="B13" s="52" t="n">
        <v>8</v>
      </c>
      <c r="C1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 s="52"/>
      <c r="E13" s="53"/>
      <c r="F13" s="52"/>
      <c r="G13" s="52"/>
      <c r="H13" s="52"/>
      <c r="I13" s="52"/>
      <c r="J13" s="52"/>
      <c r="K13" s="52"/>
      <c r="L13" s="52"/>
      <c r="M13" s="52"/>
      <c r="N13" s="52"/>
      <c r="O13" s="52"/>
      <c r="P13" s="52"/>
      <c r="Q13" s="52"/>
      <c r="R13" s="52"/>
      <c r="S13" s="53"/>
      <c r="T13" s="102"/>
      <c r="U13" s="102"/>
      <c r="V13" s="7"/>
      <c r="W13" s="7"/>
      <c r="X13" s="53"/>
      <c r="Y13" s="31" t="str">
        <f aca="false">IF(Tasks[[#This Row],[Task Name]]="","",IF(Tasks[[#This Row],[_IsSummary]],MIN(INDEX(Tasks[_ShownFcstStart],Tasks[[#This Row],[_Row]]+1):INDEX(Tasks[_ShownFcstStart],Tasks[[#This Row],[_Row]]+Tasks[[#This Row],[_Descendants]])),Tasks[[#This Row],[_ShownFcstStart]]))</f>
        <v/>
      </c>
      <c r="Z13" s="31" t="str">
        <f aca="false">IF(Tasks[[#This Row],[Task Name]]="","",IF(Tasks[[#This Row],[_IsSummary]],MAX(INDEX(Tasks[_ShownFcstFinish],Tasks[[#This Row],[_Row]]+1):INDEX(Tasks[_ShownFcstFinish],Tasks[[#This Row],[_Row]]+Tasks[[#This Row],[_Descendants]])),Tasks[[#This Row],[_ShownFcstFinish]]))</f>
        <v/>
      </c>
      <c r="AA13" s="51" t="str">
        <f aca="false">IF(Tasks[[#This Row],[Task Name]]="","",IF(Tasks[[#This Row],[Progress]]&gt;=1,"Complete",IF(OR(N(Tasks[[#This Row],[Actual Start]])&gt;0,Tasks[[#This Row],[Progress]]&gt;0),IF(Tasks[[#This Row],[Finish Var]]&gt;0,"Behind","In Progress"),IF(Tasks[[#This Row],[Planned Start]]&lt;StatusDate,"Late Start","Not Started"))))</f>
        <v/>
      </c>
      <c r="AB13" s="51" t="str">
        <f aca="false">IF(Tasks[[#This Row],[Task Name]]="","",IF(IF(Tasks[[#This Row],[_IsSummary]],COUNTIF(INDEX(Tasks[_LeafCritical],Tasks[[#This Row],[_Row]]+1):INDEX(Tasks[_LeafCritical],Tasks[[#This Row],[_Row]]+Tasks[[#This Row],[_Descendants]]),TRUE())&gt;0,Tasks[[#This Row],[_LeafCritical]]),"Yes",""))</f>
        <v/>
      </c>
      <c r="AC1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 s="51" t="str">
        <f aca="false">IF(Tasks[[#This Row],[Task Name]]="","",IF(Tasks[[#This Row],[_Level]]&lt;=OutlineShowLevel,"Yes","No"))</f>
        <v/>
      </c>
      <c r="AE13" s="7"/>
      <c r="AF13" s="52"/>
      <c r="AG13" s="53"/>
      <c r="AH13" s="7"/>
      <c r="AI1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 s="31" t="str">
        <f aca="false">IF(Tasks[[#This Row],[Task Name]]="","",IF(N(Tasks[[#This Row],[Baseline Start]])&gt;0,Tasks[[#This Row],[Baseline Start]],Tasks[[#This Row],[_CalcStart]]))</f>
        <v/>
      </c>
      <c r="AK13" s="31" t="str">
        <f aca="false">IF(Tasks[[#This Row],[Task Name]]="","",IF(N(Tasks[[#This Row],[Baseline Finish]])&gt;0,Tasks[[#This Row],[Baseline Finish]],Tasks[[#This Row],[_CalcFinish]]))</f>
        <v/>
      </c>
      <c r="AL1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 s="31" t="str">
        <f aca="false">IF(Tasks[[#This Row],[Task Name]]="","",IF(Tasks[[#This Row],[_IsSummary]],MIN(INDEX(Tasks[_LeafLateStart],Tasks[[#This Row],[_Row]]+1):INDEX(Tasks[_LeafLateStart],Tasks[[#This Row],[_Row]]+Tasks[[#This Row],[_Descendants]])),Tasks[[#This Row],[_LeafLateStart]]))</f>
        <v/>
      </c>
      <c r="AN13" s="31" t="str">
        <f aca="false">IF(Tasks[[#This Row],[Task Name]]="","",IF(Tasks[[#This Row],[_IsSummary]],MAX(INDEX(Tasks[_LeafLateFinish],Tasks[[#This Row],[_Row]]+1):INDEX(Tasks[_LeafLateFinish],Tasks[[#This Row],[_Row]]+Tasks[[#This Row],[_Descendants]])),Tasks[[#This Row],[_LeafLateFinish]]))</f>
        <v/>
      </c>
      <c r="AO13" s="51" t="str">
        <f aca="false">IF(Tasks[[#This Row],[Task Name]]="","",IF(Tasks[[#This Row],[_IsSummary]],MIN(INDEX(Tasks[_LeafTotalSlack],Tasks[[#This Row],[_Row]]+1):INDEX(Tasks[_LeafTotalSlack],Tasks[[#This Row],[_Row]]+Tasks[[#This Row],[_Descendants]])),Tasks[[#This Row],[_LeafTotalSlack]]))</f>
        <v/>
      </c>
      <c r="AP1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 s="110" t="str">
        <f aca="false">IF(Tasks[[#This Row],[Task Name]]="","",IF(Tasks[[#This Row],[_IsSummary]],SUM(INDEX(Tasks[_LeafTotalWork],Tasks[[#This Row],[_Row]]+1):INDEX(Tasks[_LeafTotalWork],Tasks[[#This Row],[_Row]]+Tasks[[#This Row],[_Descendants]])),Tasks[[#This Row],[_LeafTotalWork]]))</f>
        <v/>
      </c>
      <c r="AV1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 s="111" t="str">
        <f aca="false">IF(Tasks[[#This Row],[Task Name]]="","",IF(Tasks[[#This Row],[_IsSummary]],SUM(INDEX(Tasks[_LeafTotalCost],Tasks[[#This Row],[_Row]]+1):INDEX(Tasks[_LeafTotalCost],Tasks[[#This Row],[_Row]]+Tasks[[#This Row],[_Descendants]])),Tasks[[#This Row],[_LeafTotalCost]]))</f>
        <v/>
      </c>
      <c r="AY13" s="112"/>
      <c r="AZ1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 s="52"/>
      <c r="BB13" s="98"/>
      <c r="BC13" s="51" t="str">
        <f aca="false">IF(OR(Tasks[[#This Row],[Task Name]]="",Tasks[[#This Row],[Baseline Duration]]=""),"",Tasks[[#This Row],[BL Source Duration]]-N(Tasks[[#This Row],[Baseline Duration]]))</f>
        <v/>
      </c>
      <c r="BD13" s="110" t="str">
        <f aca="false">IF(OR(Tasks[[#This Row],[Task Name]]="",Tasks[[#This Row],[Baseline Work]]=""),"",Tasks[[#This Row],[Work]]-N(Tasks[[#This Row],[Baseline Work]]))</f>
        <v/>
      </c>
      <c r="BE13" s="111" t="str">
        <f aca="false">IF(OR(Tasks[[#This Row],[Task Name]]="",Tasks[[#This Row],[Baseline Cost]]=""),"",Tasks[[#This Row],[Cost]]-N(Tasks[[#This Row],[Baseline Cost]]))</f>
        <v/>
      </c>
      <c r="BF13" s="31" t="str">
        <f aca="false">IF(Tasks[[#This Row],[Task Name]]="","",Tasks[[#This Row],[Forecast Start]])</f>
        <v/>
      </c>
      <c r="BG13" s="31" t="str">
        <f aca="false">IF(Tasks[[#This Row],[Task Name]]="","",Tasks[[#This Row],[Forecast Finish]])</f>
        <v/>
      </c>
      <c r="BH13" s="51" t="str">
        <f aca="false">IF(Tasks[[#This Row],[Task Name]]="","",IF(Tasks[[#This Row],[_IsSummary]],NETWORKDAYS.INTL(Tasks[[#This Row],[Forecast Start]],Tasks[[#This Row],[Forecast Finish]],WorkWeek,Holidays),N(Tasks[[#This Row],[Duration]])))</f>
        <v/>
      </c>
      <c r="BI13" s="110" t="str">
        <f aca="false">IF(Tasks[[#This Row],[Task Name]]="","",Tasks[[#This Row],[Work]])</f>
        <v/>
      </c>
      <c r="BJ13" s="111" t="str">
        <f aca="false">IF(Tasks[[#This Row],[Task Name]]="","",Tasks[[#This Row],[Cost]])</f>
        <v/>
      </c>
      <c r="BK13" s="7"/>
      <c r="BL13" s="7"/>
      <c r="BM13" s="52"/>
      <c r="BN13" s="113"/>
      <c r="BO13" s="112"/>
      <c r="BP13" s="111" t="str">
        <f aca="false">IF(Tasks[[#This Row],[Task Name]]="","",IF(Tasks[[#This Row],[_IsSummary]],SUM(INDEX(Tasks[_LeafEV],Tasks[[#This Row],[_Row]]+1):INDEX(Tasks[_LeafEV],Tasks[[#This Row],[_Row]]+Tasks[[#This Row],[_Descendants]])),Tasks[[#This Row],[_LeafEV]]))</f>
        <v/>
      </c>
      <c r="BQ13" s="111" t="str">
        <f aca="false">IF(Tasks[[#This Row],[Task Name]]="","",IF(Tasks[[#This Row],[_IsSummary]],SUM(INDEX(Tasks[_LeafBudget],Tasks[[#This Row],[_Row]]+1):INDEX(Tasks[_LeafBudget],Tasks[[#This Row],[_Row]]+Tasks[[#This Row],[_Descendants]])),Tasks[[#This Row],[_LeafBudget]]))</f>
        <v/>
      </c>
      <c r="BR13" s="111" t="str">
        <f aca="false">IF(Tasks[[#This Row],[Task Name]]="","",IF(Tasks[[#This Row],[_IsSummary]],SUM(INDEX(Tasks[_LeafPV],Tasks[[#This Row],[_Row]]+1):INDEX(Tasks[_LeafPV],Tasks[[#This Row],[_Row]]+Tasks[[#This Row],[_Descendants]])),Tasks[[#This Row],[_LeafPV]]))</f>
        <v/>
      </c>
      <c r="BS13" s="111" t="str">
        <f aca="false">IF(Tasks[[#This Row],[Task Name]]="","",IF(Tasks[[#This Row],[_IsSummary]],SUM(INDEX(Tasks[_LeafAC],Tasks[[#This Row],[_Row]]+1):INDEX(Tasks[_LeafAC],Tasks[[#This Row],[_Row]]+Tasks[[#This Row],[_Descendants]])),Tasks[[#This Row],[_LeafAC]]))</f>
        <v/>
      </c>
      <c r="BT13" s="38" t="str">
        <f aca="false">IF(Tasks[[#This Row],[Task Name]]="","",MAX(1,N(Tasks[[#This Row],[Level]])))</f>
        <v/>
      </c>
      <c r="BU13" s="38" t="n">
        <f aca="false">ROW()-ROW(Tasks[[#Headers],[ID]])</f>
        <v>8</v>
      </c>
      <c r="BV13" s="38" t="n">
        <f aca="false">IF(OR(Tasks[[#This Row],[Task Name]]="",Tasks[[#This Row],[_Level]]&lt;=1),0,IFERROR(LOOKUP(2,1/(Tasks[[#Headers],[_Level]]:Tasks[[#This Row],[_Level]]=Tasks[[#This Row],[_Level]]-1),ROW(Tasks[[#Headers],[_Level]]:Tasks[[#This Row],[_Level]])),0))</f>
        <v>0</v>
      </c>
      <c r="BW13" s="38" t="n">
        <f aca="false">IFERROR(N(INDEX(Tasks[_Level],Tasks[[#This Row],[_Row]]+1)),0)</f>
        <v>0</v>
      </c>
      <c r="BX13" s="114" t="b">
        <f aca="false">AND(Tasks[[#This Row],[Task Name]]&lt;&gt;"",Tasks[[#This Row],[_NextLevel]]&gt;Tasks[[#This Row],[_Level]])</f>
        <v>0</v>
      </c>
      <c r="BY13" s="38" t="n">
        <f aca="false">IF(Tasks[[#This Row],[_IsSummary]],COUNTIF(Tasks[WBS],Tasks[[#This Row],[WBS]]&amp;".*"),0)</f>
        <v>0</v>
      </c>
      <c r="BZ13" s="38" t="n">
        <f aca="false">IF(AND(Tasks[[#This Row],[Task Name]]&lt;&gt;"",NOT(Tasks[[#This Row],[_IsSummary]])),1,0)</f>
        <v>0</v>
      </c>
      <c r="CA13" s="38" t="n">
        <f aca="false">IF(N(Tasks[[#This Row],[Pred1 UID]])=0,0,IFERROR(MATCH(Tasks[[#This Row],[Pred1 UID]],Tasks[UID],0),-1))</f>
        <v>0</v>
      </c>
      <c r="CB13" s="38" t="n">
        <f aca="false">IF(N(Tasks[[#This Row],[Pred2 UID]])=0,0,IFERROR(MATCH(Tasks[[#This Row],[Pred2 UID]],Tasks[UID],0),-1))</f>
        <v>0</v>
      </c>
      <c r="CC13" s="38" t="n">
        <f aca="false">IF(N(Tasks[[#This Row],[Pred3 UID]])=0,0,IFERROR(MATCH(Tasks[[#This Row],[Pred3 UID]],Tasks[UID],0),-1))</f>
        <v>0</v>
      </c>
      <c r="CD13" s="38" t="n">
        <f aca="false">IF(N(Tasks[[#This Row],[Pred4 UID]])=0,0,IFERROR(MATCH(Tasks[[#This Row],[Pred4 UID]],Tasks[UID],0),-1))</f>
        <v>0</v>
      </c>
      <c r="CE1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 s="115" t="n">
        <f aca="false">IF(OR(Tasks[[#This Row],[_ConstraintCode]]=2,Tasks[[#This Row],[_ConstraintCode]]=3,Tasks[[#This Row],[_ConstraintCode]]=4,Tasks[[#This Row],[_ConstraintCode]]=6),Tasks[[#This Row],[_ConstraintStart]],0)</f>
        <v>0</v>
      </c>
      <c r="CH13" s="115" t="n">
        <f aca="false">IF(OR(Tasks[[#This Row],[_ConstraintCode]]=2,Tasks[[#This Row],[_ConstraintCode]]=3,Tasks[[#This Row],[_ConstraintCode]]=5,Tasks[[#This Row],[_ConstraintCode]]=7),Tasks[[#This Row],[_ConstraintStart]],2958465)</f>
        <v>2958465</v>
      </c>
      <c r="CI1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 s="115" t="str">
        <f aca="false">IF(NOT(Tasks[[#This Row],[_IsLeaf]]=1),"",IF(N(Tasks[[#This Row],[Duration]])&lt;=0,Tasks[[#This Row],[_LeafCalcStart]],WORKDAY.INTL(Tasks[[#This Row],[_LeafCalcStart]],Tasks[[#This Row],[Duration]]-1,WorkWeek,Holidays)))</f>
        <v/>
      </c>
      <c r="CK1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 s="38" t="n">
        <f aca="false">IF(NOT(Tasks[[#This Row],[_IsLeaf]]=1),0,IF(N(Tasks[[#This Row],[Actual Finish]])&gt;0,1,MIN(1,N(Tasks[[#This Row],[% Complete]]))))</f>
        <v>0</v>
      </c>
      <c r="CN13" s="38" t="n">
        <f aca="false">IF(OR(NOT(Tasks[[#This Row],[_IsLeaf]]=1),Tasks[[#This Row],[Resource]]=""),0,N(Tasks[[#This Row],[Duration]])*HoursPerDay*IF(Tasks[[#This Row],[Units]]="",DefaultUnits,Tasks[[#This Row],[Units]]))</f>
        <v>0</v>
      </c>
      <c r="CO13" s="38" t="n">
        <f aca="false">IF(Tasks[[#This Row],[_LeafWork]]=0,0,Tasks[[#This Row],[_LeafWork]]*IFERROR(INDEX(res_Rate,MATCH(Tasks[[#This Row],[Resource]],res_Name,0)),0))</f>
        <v>0</v>
      </c>
      <c r="CP13" s="38" t="n">
        <f aca="false">Tasks[[#This Row],[_LeafWork]]+IF(Tasks[[#This Row],[_IsLeaf]]=1,SUMIFS(asg_Work,asg_TaskUID,Tasks[[#This Row],[UID]],asg_Valid,1),0)</f>
        <v>0</v>
      </c>
      <c r="CQ13" s="38" t="n">
        <f aca="false">Tasks[[#This Row],[_LeafCost]]+IF(Tasks[[#This Row],[_IsLeaf]]=1,SUMIFS(asg_Cost,asg_TaskUID,Tasks[[#This Row],[UID]],asg_Valid,1),0)</f>
        <v>0</v>
      </c>
      <c r="CR13" s="38" t="n">
        <f aca="false">IF(Tasks[[#This Row],[_LeafTotalCost]]=0,Tasks[[#This Row],[_LeafAC]],Tasks[[#This Row],[_LeafAC]]*Tasks[[#This Row],[_LeafCost]]/Tasks[[#This Row],[_LeafTotalCost]])</f>
        <v>0</v>
      </c>
      <c r="CS1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 s="38" t="n">
        <f aca="false">IF(NOT(Tasks[[#This Row],[_IsLeaf]]=1),0,MAX(_xlfn.MAXIFS(Tasks[_Row],Tasks[Pred1 UID],Tasks[[#This Row],[UID]]),_xlfn.MAXIFS(Tasks[_Row],Tasks[Pred2 UID],Tasks[[#This Row],[UID]]),_xlfn.MAXIFS(Tasks[_Row],Tasks[Pred3 UID],Tasks[[#This Row],[UID]]),_xlfn.MAXIFS(Tasks[_Row],Tasks[Pred4 UID],Tasks[[#This Row],[UID]])))</f>
        <v>0</v>
      </c>
      <c r="DB1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 s="115" t="str">
        <f aca="false">IF(NOT(Tasks[[#This Row],[_IsLeaf]]=1),"",IF(N(Tasks[[#This Row],[Duration]])&lt;=0,Tasks[[#This Row],[_LeafLateFinish]],WORKDAY.INTL(Tasks[[#This Row],[_LeafLateFinish]],-(Tasks[[#This Row],[Duration]]-1),WorkWeek,Holidays)))</f>
        <v/>
      </c>
      <c r="DE1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 s="114" t="b">
        <f aca="false">AND(Tasks[[#This Row],[_IsLeaf]]=1,Tasks[[#This Row],[_LeafProgress]]&lt;1,N(Tasks[[#This Row],[_LeafTotalSlack]])&lt;=CriticalSlackDays)</f>
        <v>0</v>
      </c>
      <c r="DG13" s="38" t="n">
        <f aca="false">IF(AND(Tasks[[#This Row],[_IsLeaf]]=1,Tasks[[#This Row],[_ConstraintCode]]=1,Tasks[[#This Row],[Mode]]&lt;&gt;"Manual",N(Tasks[[#This Row],[Actual Start]])=0),MAX(0,N(Tasks[[#This Row],[Free Slack]])),0)</f>
        <v>0</v>
      </c>
      <c r="DH13" s="115" t="str">
        <f aca="false">IF(NOT(Tasks[[#This Row],[_IsLeaf]]=1),"",IF(Tasks[[#This Row],[_AlapShift]]=0,Tasks[[#This Row],[_LeafCalcStart]],WORKDAY.INTL(Tasks[[#This Row],[_LeafCalcStart]],Tasks[[#This Row],[_AlapShift]],WorkWeek,Holidays)))</f>
        <v/>
      </c>
      <c r="DI13" s="115" t="str">
        <f aca="false">IF(NOT(Tasks[[#This Row],[_IsLeaf]]=1),"",IF(Tasks[[#This Row],[_AlapShift]]=0,Tasks[[#This Row],[_LeafCalcFinish]],WORKDAY.INTL(Tasks[[#This Row],[_LeafCalcFinish]],Tasks[[#This Row],[_AlapShift]],WorkWeek,Holidays)))</f>
        <v/>
      </c>
      <c r="DJ13" s="115" t="str">
        <f aca="false">IF(NOT(Tasks[[#This Row],[_IsLeaf]]=1),"",IF(Tasks[[#This Row],[_AlapShift]]=0,Tasks[[#This Row],[_LeafFcstStart]],WORKDAY.INTL(Tasks[[#This Row],[_LeafFcstStart]],Tasks[[#This Row],[_AlapShift]],WorkWeek,Holidays)))</f>
        <v/>
      </c>
      <c r="DK13" s="115" t="str">
        <f aca="false">IF(NOT(Tasks[[#This Row],[_IsLeaf]]=1),"",IF(Tasks[[#This Row],[_AlapShift]]=0,Tasks[[#This Row],[_LeafFcstFinish]],WORKDAY.INTL(Tasks[[#This Row],[_LeafFcstFinish]],Tasks[[#This Row],[_AlapShift]],WorkWeek,Holidays)))</f>
        <v/>
      </c>
      <c r="DL13" s="115" t="str">
        <f aca="false">IF(Tasks[[#This Row],[Task Name]]="","",IF(Tasks[[#This Row],[_IsSummary]],MIN(INDEX(Tasks[_ShownCalcStart],Tasks[[#This Row],[_Row]]+1):INDEX(Tasks[_ShownCalcStart],Tasks[[#This Row],[_Row]]+Tasks[[#This Row],[_Descendants]])),Tasks[[#This Row],[_ShownCalcStart]]))</f>
        <v/>
      </c>
      <c r="DM13" s="115" t="str">
        <f aca="false">IF(Tasks[[#This Row],[Task Name]]="","",IF(Tasks[[#This Row],[_IsSummary]],MAX(INDEX(Tasks[_ShownCalcFinish],Tasks[[#This Row],[_Row]]+1):INDEX(Tasks[_ShownCalcFinish],Tasks[[#This Row],[_Row]]+Tasks[[#This Row],[_Descendants]])),Tasks[[#This Row],[_ShownCalcFinish]]))</f>
        <v/>
      </c>
      <c r="DN1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 s="38" t="n">
        <f aca="false">IF(AND(Tasks[[#This Row],[_IsLeaf]]=1,Tasks[[#This Row],[_LeafTotalWork]]&gt;0),NETWORKDAYS.INTL(ProjectStart,Tasks[[#This Row],[_ShownFcstStart]],WorkWeek,Holidays),0)</f>
        <v>0</v>
      </c>
      <c r="EA13" s="38" t="n">
        <f aca="false">IF(AND(Tasks[[#This Row],[_IsLeaf]]=1,Tasks[[#This Row],[_LeafTotalWork]]&gt;0),MAX(Tasks[[#This Row],[_StartWorkday]],NETWORKDAYS.INTL(ProjectStart,Tasks[[#This Row],[_ShownFcstFinish]],WorkWeek,Holidays)),0)</f>
        <v>0</v>
      </c>
      <c r="EB13" s="38" t="n">
        <f aca="false">IF(AND(Tasks[[#This Row],[_IsLeaf]]=1,Tasks[[#This Row],[_LeafTotalWork]]&gt;0),Tasks[[#This Row],[_LeafWork]]/(Tasks[[#This Row],[_FinishWorkday]]-Tasks[[#This Row],[_StartWorkday]]+1),0)</f>
        <v>0</v>
      </c>
      <c r="EC13" s="38" t="n">
        <f aca="false">Tasks[[#This Row],[_WorkPerWorkday]]*(Tasks[[#This Row],[_StartWorkday]]-1)</f>
        <v>-0</v>
      </c>
      <c r="ED13" s="38" t="n">
        <f aca="false">IF(Tasks[[#This Row],[_IsLeaf]]=1,MAX(N(Tasks[[#This Row],[Duration]]),0.1),0)</f>
        <v>0</v>
      </c>
      <c r="EE13" s="38" t="n">
        <f aca="false">Tasks[[#This Row],[_WeightDur]]*Tasks[[#This Row],[_LeafProgress]]</f>
        <v>0</v>
      </c>
      <c r="EF1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 s="38" t="str">
        <f aca="false">IF(AND(Tasks[[#This Row],[_IsLeaf]]=1,N(Tasks[[#This Row],[Duration]])=0,Tasks[[#This Row],[_LeafProgress]]&lt;1),Tasks[[#This Row],[_ShownFcstFinish]]+Tasks[[#This Row],[_Row]]/100000,"")</f>
        <v/>
      </c>
      <c r="EH1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 s="38" t="n">
        <f aca="false">IF(NOT(Tasks[[#This Row],[_IsLeaf]]=1),0,IF(Tasks[[#This Row],[Baseline Cost]]="",Tasks[[#This Row],[_LeafTotalCost]],N(Tasks[[#This Row],[Baseline Cost]])))</f>
        <v>0</v>
      </c>
      <c r="EJ13" s="38" t="n">
        <f aca="false">Tasks[[#This Row],[_LeafBudget]]*Tasks[[#This Row],[_PlannedPct]]</f>
        <v>0</v>
      </c>
      <c r="EK13" s="38" t="n">
        <f aca="false">Tasks[[#This Row],[_LeafBudget]]*Tasks[[#This Row],[_LeafProgress]]</f>
        <v>0</v>
      </c>
      <c r="EL13" s="38" t="n">
        <f aca="false">IF(NOT(Tasks[[#This Row],[_IsLeaf]]=1),0,IF(Tasks[[#This Row],[Actual Cost]]="",Tasks[[#This Row],[_LeafTotalCost]]*Tasks[[#This Row],[_LeafProgress]],N(Tasks[[#This Row],[Actual Cost]])))</f>
        <v>0</v>
      </c>
      <c r="EM13" s="38" t="str">
        <f aca="false">IF(Tasks[[#This Row],[Task Name]]="","",LEFT(Tasks[[#This Row],[WBS]],FIND(".",Tasks[[#This Row],[WBS]]&amp;".")-1))</f>
        <v/>
      </c>
      <c r="EN13" s="38" t="str">
        <f aca="false">IF(AND(Tasks[[#This Row],[Task Name]]&lt;&gt;"",Tasks[[#This Row],[_Level]]=1),Tasks[[#This Row],[_Row]],"")</f>
        <v/>
      </c>
      <c r="EO13" s="38" t="str">
        <f aca="false">IF(AND(Tasks[[#This Row],[_IsLeaf]]=1,N(Tasks[[#This Row],[Duration]])=0),Tasks[[#This Row],[Planned Finish]]+Tasks[[#This Row],[_Row]]/100000,"")</f>
        <v/>
      </c>
      <c r="EP13" s="38" t="str">
        <f aca="false">IF(AND(Tasks[[#This Row],[_IsLeaf]]=1,Tasks[[#This Row],[_LeafProgress]]&lt;1,OR(N(Tasks[[#This Row],[Finish Var]])&gt;0,Tasks[[#This Row],[Status]]="Late Start")),MAX(0,Tasks[[#This Row],[Finish Var]])+1-Tasks[[#This Row],[_Row]]/1000000,"")</f>
        <v/>
      </c>
      <c r="EQ13" s="38" t="str">
        <f aca="false">IF(AND(Tasks[[#This Row],[_IsLeaf]]=1,N(Tasks[[#This Row],[Actual Start]])=0,Tasks[[#This Row],[_ShownFcstStart]]&gt;=StatusDate,Tasks[[#This Row],[_ShownFcstStart]]&lt;=LookaheadEnd),Tasks[[#This Row],[_ShownFcstStart]]+Tasks[[#This Row],[_Row]]/100000,"")</f>
        <v/>
      </c>
      <c r="ER13" s="38" t="str">
        <f aca="false">IF(AND(Tasks[[#This Row],[_IsLeaf]]=1,Tasks[[#This Row],[_LeafProgress]]&lt;1,Tasks[[#This Row],[_ShownFcstFinish]]&gt;=StatusDate,Tasks[[#This Row],[_ShownFcstFinish]]&lt;=LookaheadEnd),Tasks[[#This Row],[_ShownFcstFinish]]+Tasks[[#This Row],[_Row]]/100000,"")</f>
        <v/>
      </c>
      <c r="ES13" s="38" t="str">
        <f aca="false">IF(Tasks[[#This Row],[_LeafCritical]],Tasks[[#This Row],[_ShownFcstStart]]+Tasks[[#This Row],[_Row]]/100000,"")</f>
        <v/>
      </c>
      <c r="ET13" s="38" t="n">
        <f aca="false">Tasks[[#This Row],[_LeafWork]]*Tasks[[#This Row],[_LeafProgress]]</f>
        <v>0</v>
      </c>
      <c r="EU13" s="115" t="str">
        <f aca="false">IF(AND(Tasks[[#This Row],[_IsLeaf]]=1,Tasks[[#This Row],[_LeafProgress]]&gt;=1),IF(N(Tasks[[#This Row],[Actual Finish]])&gt;0,Tasks[[#This Row],[Actual Finish]],Tasks[[#This Row],[_ShownFcstFinish]]),"")</f>
        <v/>
      </c>
      <c r="EV13" s="38" t="n">
        <f aca="false">IF(Tasks[[#This Row],[_IsLeaf]]=1,N(Tasks[[#This Row],[Story Points]]),0)</f>
        <v>0</v>
      </c>
      <c r="EW13" s="38" t="str">
        <f aca="false">IF(AND(Tasks[[#This Row],[_IsLeaf]]=1,CurrentSprint&lt;&gt;"",Tasks[[#This Row],[Sprint]]=CurrentSprint),Tasks[[#This Row],[_Row]],"")</f>
        <v/>
      </c>
    </row>
    <row r="14" customFormat="false" ht="15" hidden="false" customHeight="false" outlineLevel="0" collapsed="false">
      <c r="A14" s="51" t="str">
        <f aca="false">IF(Tasks[[#This Row],[Task Name]]="","",COUNTA(Tasks[[#Headers],[Task Name]]:Tasks[[#This Row],[Task Name]])-1)</f>
        <v/>
      </c>
      <c r="B14" s="52" t="n">
        <v>9</v>
      </c>
      <c r="C1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 s="52"/>
      <c r="E14" s="53"/>
      <c r="F14" s="52"/>
      <c r="G14" s="52"/>
      <c r="H14" s="52"/>
      <c r="I14" s="52"/>
      <c r="J14" s="52"/>
      <c r="K14" s="52"/>
      <c r="L14" s="52"/>
      <c r="M14" s="52"/>
      <c r="N14" s="52"/>
      <c r="O14" s="52"/>
      <c r="P14" s="52"/>
      <c r="Q14" s="52"/>
      <c r="R14" s="52"/>
      <c r="S14" s="53"/>
      <c r="T14" s="102"/>
      <c r="U14" s="102"/>
      <c r="V14" s="7"/>
      <c r="W14" s="7"/>
      <c r="X14" s="53"/>
      <c r="Y14" s="31" t="str">
        <f aca="false">IF(Tasks[[#This Row],[Task Name]]="","",IF(Tasks[[#This Row],[_IsSummary]],MIN(INDEX(Tasks[_ShownFcstStart],Tasks[[#This Row],[_Row]]+1):INDEX(Tasks[_ShownFcstStart],Tasks[[#This Row],[_Row]]+Tasks[[#This Row],[_Descendants]])),Tasks[[#This Row],[_ShownFcstStart]]))</f>
        <v/>
      </c>
      <c r="Z14" s="31" t="str">
        <f aca="false">IF(Tasks[[#This Row],[Task Name]]="","",IF(Tasks[[#This Row],[_IsSummary]],MAX(INDEX(Tasks[_ShownFcstFinish],Tasks[[#This Row],[_Row]]+1):INDEX(Tasks[_ShownFcstFinish],Tasks[[#This Row],[_Row]]+Tasks[[#This Row],[_Descendants]])),Tasks[[#This Row],[_ShownFcstFinish]]))</f>
        <v/>
      </c>
      <c r="AA14" s="51" t="str">
        <f aca="false">IF(Tasks[[#This Row],[Task Name]]="","",IF(Tasks[[#This Row],[Progress]]&gt;=1,"Complete",IF(OR(N(Tasks[[#This Row],[Actual Start]])&gt;0,Tasks[[#This Row],[Progress]]&gt;0),IF(Tasks[[#This Row],[Finish Var]]&gt;0,"Behind","In Progress"),IF(Tasks[[#This Row],[Planned Start]]&lt;StatusDate,"Late Start","Not Started"))))</f>
        <v/>
      </c>
      <c r="AB14" s="51" t="str">
        <f aca="false">IF(Tasks[[#This Row],[Task Name]]="","",IF(IF(Tasks[[#This Row],[_IsSummary]],COUNTIF(INDEX(Tasks[_LeafCritical],Tasks[[#This Row],[_Row]]+1):INDEX(Tasks[_LeafCritical],Tasks[[#This Row],[_Row]]+Tasks[[#This Row],[_Descendants]]),TRUE())&gt;0,Tasks[[#This Row],[_LeafCritical]]),"Yes",""))</f>
        <v/>
      </c>
      <c r="AC1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 s="51" t="str">
        <f aca="false">IF(Tasks[[#This Row],[Task Name]]="","",IF(Tasks[[#This Row],[_Level]]&lt;=OutlineShowLevel,"Yes","No"))</f>
        <v/>
      </c>
      <c r="AE14" s="7"/>
      <c r="AF14" s="52"/>
      <c r="AG14" s="53"/>
      <c r="AH14" s="7"/>
      <c r="AI1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 s="31" t="str">
        <f aca="false">IF(Tasks[[#This Row],[Task Name]]="","",IF(N(Tasks[[#This Row],[Baseline Start]])&gt;0,Tasks[[#This Row],[Baseline Start]],Tasks[[#This Row],[_CalcStart]]))</f>
        <v/>
      </c>
      <c r="AK14" s="31" t="str">
        <f aca="false">IF(Tasks[[#This Row],[Task Name]]="","",IF(N(Tasks[[#This Row],[Baseline Finish]])&gt;0,Tasks[[#This Row],[Baseline Finish]],Tasks[[#This Row],[_CalcFinish]]))</f>
        <v/>
      </c>
      <c r="AL1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 s="31" t="str">
        <f aca="false">IF(Tasks[[#This Row],[Task Name]]="","",IF(Tasks[[#This Row],[_IsSummary]],MIN(INDEX(Tasks[_LeafLateStart],Tasks[[#This Row],[_Row]]+1):INDEX(Tasks[_LeafLateStart],Tasks[[#This Row],[_Row]]+Tasks[[#This Row],[_Descendants]])),Tasks[[#This Row],[_LeafLateStart]]))</f>
        <v/>
      </c>
      <c r="AN14" s="31" t="str">
        <f aca="false">IF(Tasks[[#This Row],[Task Name]]="","",IF(Tasks[[#This Row],[_IsSummary]],MAX(INDEX(Tasks[_LeafLateFinish],Tasks[[#This Row],[_Row]]+1):INDEX(Tasks[_LeafLateFinish],Tasks[[#This Row],[_Row]]+Tasks[[#This Row],[_Descendants]])),Tasks[[#This Row],[_LeafLateFinish]]))</f>
        <v/>
      </c>
      <c r="AO14" s="51" t="str">
        <f aca="false">IF(Tasks[[#This Row],[Task Name]]="","",IF(Tasks[[#This Row],[_IsSummary]],MIN(INDEX(Tasks[_LeafTotalSlack],Tasks[[#This Row],[_Row]]+1):INDEX(Tasks[_LeafTotalSlack],Tasks[[#This Row],[_Row]]+Tasks[[#This Row],[_Descendants]])),Tasks[[#This Row],[_LeafTotalSlack]]))</f>
        <v/>
      </c>
      <c r="AP1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 s="110" t="str">
        <f aca="false">IF(Tasks[[#This Row],[Task Name]]="","",IF(Tasks[[#This Row],[_IsSummary]],SUM(INDEX(Tasks[_LeafTotalWork],Tasks[[#This Row],[_Row]]+1):INDEX(Tasks[_LeafTotalWork],Tasks[[#This Row],[_Row]]+Tasks[[#This Row],[_Descendants]])),Tasks[[#This Row],[_LeafTotalWork]]))</f>
        <v/>
      </c>
      <c r="AV1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 s="111" t="str">
        <f aca="false">IF(Tasks[[#This Row],[Task Name]]="","",IF(Tasks[[#This Row],[_IsSummary]],SUM(INDEX(Tasks[_LeafTotalCost],Tasks[[#This Row],[_Row]]+1):INDEX(Tasks[_LeafTotalCost],Tasks[[#This Row],[_Row]]+Tasks[[#This Row],[_Descendants]])),Tasks[[#This Row],[_LeafTotalCost]]))</f>
        <v/>
      </c>
      <c r="AY14" s="112"/>
      <c r="AZ1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 s="52"/>
      <c r="BB14" s="98"/>
      <c r="BC14" s="51" t="str">
        <f aca="false">IF(OR(Tasks[[#This Row],[Task Name]]="",Tasks[[#This Row],[Baseline Duration]]=""),"",Tasks[[#This Row],[BL Source Duration]]-N(Tasks[[#This Row],[Baseline Duration]]))</f>
        <v/>
      </c>
      <c r="BD14" s="110" t="str">
        <f aca="false">IF(OR(Tasks[[#This Row],[Task Name]]="",Tasks[[#This Row],[Baseline Work]]=""),"",Tasks[[#This Row],[Work]]-N(Tasks[[#This Row],[Baseline Work]]))</f>
        <v/>
      </c>
      <c r="BE14" s="111" t="str">
        <f aca="false">IF(OR(Tasks[[#This Row],[Task Name]]="",Tasks[[#This Row],[Baseline Cost]]=""),"",Tasks[[#This Row],[Cost]]-N(Tasks[[#This Row],[Baseline Cost]]))</f>
        <v/>
      </c>
      <c r="BF14" s="31" t="str">
        <f aca="false">IF(Tasks[[#This Row],[Task Name]]="","",Tasks[[#This Row],[Forecast Start]])</f>
        <v/>
      </c>
      <c r="BG14" s="31" t="str">
        <f aca="false">IF(Tasks[[#This Row],[Task Name]]="","",Tasks[[#This Row],[Forecast Finish]])</f>
        <v/>
      </c>
      <c r="BH14" s="51" t="str">
        <f aca="false">IF(Tasks[[#This Row],[Task Name]]="","",IF(Tasks[[#This Row],[_IsSummary]],NETWORKDAYS.INTL(Tasks[[#This Row],[Forecast Start]],Tasks[[#This Row],[Forecast Finish]],WorkWeek,Holidays),N(Tasks[[#This Row],[Duration]])))</f>
        <v/>
      </c>
      <c r="BI14" s="110" t="str">
        <f aca="false">IF(Tasks[[#This Row],[Task Name]]="","",Tasks[[#This Row],[Work]])</f>
        <v/>
      </c>
      <c r="BJ14" s="111" t="str">
        <f aca="false">IF(Tasks[[#This Row],[Task Name]]="","",Tasks[[#This Row],[Cost]])</f>
        <v/>
      </c>
      <c r="BK14" s="7"/>
      <c r="BL14" s="7"/>
      <c r="BM14" s="52"/>
      <c r="BN14" s="113"/>
      <c r="BO14" s="112"/>
      <c r="BP14" s="111" t="str">
        <f aca="false">IF(Tasks[[#This Row],[Task Name]]="","",IF(Tasks[[#This Row],[_IsSummary]],SUM(INDEX(Tasks[_LeafEV],Tasks[[#This Row],[_Row]]+1):INDEX(Tasks[_LeafEV],Tasks[[#This Row],[_Row]]+Tasks[[#This Row],[_Descendants]])),Tasks[[#This Row],[_LeafEV]]))</f>
        <v/>
      </c>
      <c r="BQ14" s="111" t="str">
        <f aca="false">IF(Tasks[[#This Row],[Task Name]]="","",IF(Tasks[[#This Row],[_IsSummary]],SUM(INDEX(Tasks[_LeafBudget],Tasks[[#This Row],[_Row]]+1):INDEX(Tasks[_LeafBudget],Tasks[[#This Row],[_Row]]+Tasks[[#This Row],[_Descendants]])),Tasks[[#This Row],[_LeafBudget]]))</f>
        <v/>
      </c>
      <c r="BR14" s="111" t="str">
        <f aca="false">IF(Tasks[[#This Row],[Task Name]]="","",IF(Tasks[[#This Row],[_IsSummary]],SUM(INDEX(Tasks[_LeafPV],Tasks[[#This Row],[_Row]]+1):INDEX(Tasks[_LeafPV],Tasks[[#This Row],[_Row]]+Tasks[[#This Row],[_Descendants]])),Tasks[[#This Row],[_LeafPV]]))</f>
        <v/>
      </c>
      <c r="BS14" s="111" t="str">
        <f aca="false">IF(Tasks[[#This Row],[Task Name]]="","",IF(Tasks[[#This Row],[_IsSummary]],SUM(INDEX(Tasks[_LeafAC],Tasks[[#This Row],[_Row]]+1):INDEX(Tasks[_LeafAC],Tasks[[#This Row],[_Row]]+Tasks[[#This Row],[_Descendants]])),Tasks[[#This Row],[_LeafAC]]))</f>
        <v/>
      </c>
      <c r="BT14" s="38" t="str">
        <f aca="false">IF(Tasks[[#This Row],[Task Name]]="","",MAX(1,N(Tasks[[#This Row],[Level]])))</f>
        <v/>
      </c>
      <c r="BU14" s="38" t="n">
        <f aca="false">ROW()-ROW(Tasks[[#Headers],[ID]])</f>
        <v>9</v>
      </c>
      <c r="BV14" s="38" t="n">
        <f aca="false">IF(OR(Tasks[[#This Row],[Task Name]]="",Tasks[[#This Row],[_Level]]&lt;=1),0,IFERROR(LOOKUP(2,1/(Tasks[[#Headers],[_Level]]:Tasks[[#This Row],[_Level]]=Tasks[[#This Row],[_Level]]-1),ROW(Tasks[[#Headers],[_Level]]:Tasks[[#This Row],[_Level]])),0))</f>
        <v>0</v>
      </c>
      <c r="BW14" s="38" t="n">
        <f aca="false">IFERROR(N(INDEX(Tasks[_Level],Tasks[[#This Row],[_Row]]+1)),0)</f>
        <v>0</v>
      </c>
      <c r="BX14" s="114" t="b">
        <f aca="false">AND(Tasks[[#This Row],[Task Name]]&lt;&gt;"",Tasks[[#This Row],[_NextLevel]]&gt;Tasks[[#This Row],[_Level]])</f>
        <v>0</v>
      </c>
      <c r="BY14" s="38" t="n">
        <f aca="false">IF(Tasks[[#This Row],[_IsSummary]],COUNTIF(Tasks[WBS],Tasks[[#This Row],[WBS]]&amp;".*"),0)</f>
        <v>0</v>
      </c>
      <c r="BZ14" s="38" t="n">
        <f aca="false">IF(AND(Tasks[[#This Row],[Task Name]]&lt;&gt;"",NOT(Tasks[[#This Row],[_IsSummary]])),1,0)</f>
        <v>0</v>
      </c>
      <c r="CA14" s="38" t="n">
        <f aca="false">IF(N(Tasks[[#This Row],[Pred1 UID]])=0,0,IFERROR(MATCH(Tasks[[#This Row],[Pred1 UID]],Tasks[UID],0),-1))</f>
        <v>0</v>
      </c>
      <c r="CB14" s="38" t="n">
        <f aca="false">IF(N(Tasks[[#This Row],[Pred2 UID]])=0,0,IFERROR(MATCH(Tasks[[#This Row],[Pred2 UID]],Tasks[UID],0),-1))</f>
        <v>0</v>
      </c>
      <c r="CC14" s="38" t="n">
        <f aca="false">IF(N(Tasks[[#This Row],[Pred3 UID]])=0,0,IFERROR(MATCH(Tasks[[#This Row],[Pred3 UID]],Tasks[UID],0),-1))</f>
        <v>0</v>
      </c>
      <c r="CD14" s="38" t="n">
        <f aca="false">IF(N(Tasks[[#This Row],[Pred4 UID]])=0,0,IFERROR(MATCH(Tasks[[#This Row],[Pred4 UID]],Tasks[UID],0),-1))</f>
        <v>0</v>
      </c>
      <c r="CE1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 s="115" t="n">
        <f aca="false">IF(OR(Tasks[[#This Row],[_ConstraintCode]]=2,Tasks[[#This Row],[_ConstraintCode]]=3,Tasks[[#This Row],[_ConstraintCode]]=4,Tasks[[#This Row],[_ConstraintCode]]=6),Tasks[[#This Row],[_ConstraintStart]],0)</f>
        <v>0</v>
      </c>
      <c r="CH14" s="115" t="n">
        <f aca="false">IF(OR(Tasks[[#This Row],[_ConstraintCode]]=2,Tasks[[#This Row],[_ConstraintCode]]=3,Tasks[[#This Row],[_ConstraintCode]]=5,Tasks[[#This Row],[_ConstraintCode]]=7),Tasks[[#This Row],[_ConstraintStart]],2958465)</f>
        <v>2958465</v>
      </c>
      <c r="CI1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 s="115" t="str">
        <f aca="false">IF(NOT(Tasks[[#This Row],[_IsLeaf]]=1),"",IF(N(Tasks[[#This Row],[Duration]])&lt;=0,Tasks[[#This Row],[_LeafCalcStart]],WORKDAY.INTL(Tasks[[#This Row],[_LeafCalcStart]],Tasks[[#This Row],[Duration]]-1,WorkWeek,Holidays)))</f>
        <v/>
      </c>
      <c r="CK1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 s="38" t="n">
        <f aca="false">IF(NOT(Tasks[[#This Row],[_IsLeaf]]=1),0,IF(N(Tasks[[#This Row],[Actual Finish]])&gt;0,1,MIN(1,N(Tasks[[#This Row],[% Complete]]))))</f>
        <v>0</v>
      </c>
      <c r="CN14" s="38" t="n">
        <f aca="false">IF(OR(NOT(Tasks[[#This Row],[_IsLeaf]]=1),Tasks[[#This Row],[Resource]]=""),0,N(Tasks[[#This Row],[Duration]])*HoursPerDay*IF(Tasks[[#This Row],[Units]]="",DefaultUnits,Tasks[[#This Row],[Units]]))</f>
        <v>0</v>
      </c>
      <c r="CO14" s="38" t="n">
        <f aca="false">IF(Tasks[[#This Row],[_LeafWork]]=0,0,Tasks[[#This Row],[_LeafWork]]*IFERROR(INDEX(res_Rate,MATCH(Tasks[[#This Row],[Resource]],res_Name,0)),0))</f>
        <v>0</v>
      </c>
      <c r="CP14" s="38" t="n">
        <f aca="false">Tasks[[#This Row],[_LeafWork]]+IF(Tasks[[#This Row],[_IsLeaf]]=1,SUMIFS(asg_Work,asg_TaskUID,Tasks[[#This Row],[UID]],asg_Valid,1),0)</f>
        <v>0</v>
      </c>
      <c r="CQ14" s="38" t="n">
        <f aca="false">Tasks[[#This Row],[_LeafCost]]+IF(Tasks[[#This Row],[_IsLeaf]]=1,SUMIFS(asg_Cost,asg_TaskUID,Tasks[[#This Row],[UID]],asg_Valid,1),0)</f>
        <v>0</v>
      </c>
      <c r="CR14" s="38" t="n">
        <f aca="false">IF(Tasks[[#This Row],[_LeafTotalCost]]=0,Tasks[[#This Row],[_LeafAC]],Tasks[[#This Row],[_LeafAC]]*Tasks[[#This Row],[_LeafCost]]/Tasks[[#This Row],[_LeafTotalCost]])</f>
        <v>0</v>
      </c>
      <c r="CS1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 s="38" t="n">
        <f aca="false">IF(NOT(Tasks[[#This Row],[_IsLeaf]]=1),0,MAX(_xlfn.MAXIFS(Tasks[_Row],Tasks[Pred1 UID],Tasks[[#This Row],[UID]]),_xlfn.MAXIFS(Tasks[_Row],Tasks[Pred2 UID],Tasks[[#This Row],[UID]]),_xlfn.MAXIFS(Tasks[_Row],Tasks[Pred3 UID],Tasks[[#This Row],[UID]]),_xlfn.MAXIFS(Tasks[_Row],Tasks[Pred4 UID],Tasks[[#This Row],[UID]])))</f>
        <v>0</v>
      </c>
      <c r="DB1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 s="115" t="str">
        <f aca="false">IF(NOT(Tasks[[#This Row],[_IsLeaf]]=1),"",IF(N(Tasks[[#This Row],[Duration]])&lt;=0,Tasks[[#This Row],[_LeafLateFinish]],WORKDAY.INTL(Tasks[[#This Row],[_LeafLateFinish]],-(Tasks[[#This Row],[Duration]]-1),WorkWeek,Holidays)))</f>
        <v/>
      </c>
      <c r="DE1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 s="114" t="b">
        <f aca="false">AND(Tasks[[#This Row],[_IsLeaf]]=1,Tasks[[#This Row],[_LeafProgress]]&lt;1,N(Tasks[[#This Row],[_LeafTotalSlack]])&lt;=CriticalSlackDays)</f>
        <v>0</v>
      </c>
      <c r="DG14" s="38" t="n">
        <f aca="false">IF(AND(Tasks[[#This Row],[_IsLeaf]]=1,Tasks[[#This Row],[_ConstraintCode]]=1,Tasks[[#This Row],[Mode]]&lt;&gt;"Manual",N(Tasks[[#This Row],[Actual Start]])=0),MAX(0,N(Tasks[[#This Row],[Free Slack]])),0)</f>
        <v>0</v>
      </c>
      <c r="DH14" s="115" t="str">
        <f aca="false">IF(NOT(Tasks[[#This Row],[_IsLeaf]]=1),"",IF(Tasks[[#This Row],[_AlapShift]]=0,Tasks[[#This Row],[_LeafCalcStart]],WORKDAY.INTL(Tasks[[#This Row],[_LeafCalcStart]],Tasks[[#This Row],[_AlapShift]],WorkWeek,Holidays)))</f>
        <v/>
      </c>
      <c r="DI14" s="115" t="str">
        <f aca="false">IF(NOT(Tasks[[#This Row],[_IsLeaf]]=1),"",IF(Tasks[[#This Row],[_AlapShift]]=0,Tasks[[#This Row],[_LeafCalcFinish]],WORKDAY.INTL(Tasks[[#This Row],[_LeafCalcFinish]],Tasks[[#This Row],[_AlapShift]],WorkWeek,Holidays)))</f>
        <v/>
      </c>
      <c r="DJ14" s="115" t="str">
        <f aca="false">IF(NOT(Tasks[[#This Row],[_IsLeaf]]=1),"",IF(Tasks[[#This Row],[_AlapShift]]=0,Tasks[[#This Row],[_LeafFcstStart]],WORKDAY.INTL(Tasks[[#This Row],[_LeafFcstStart]],Tasks[[#This Row],[_AlapShift]],WorkWeek,Holidays)))</f>
        <v/>
      </c>
      <c r="DK14" s="115" t="str">
        <f aca="false">IF(NOT(Tasks[[#This Row],[_IsLeaf]]=1),"",IF(Tasks[[#This Row],[_AlapShift]]=0,Tasks[[#This Row],[_LeafFcstFinish]],WORKDAY.INTL(Tasks[[#This Row],[_LeafFcstFinish]],Tasks[[#This Row],[_AlapShift]],WorkWeek,Holidays)))</f>
        <v/>
      </c>
      <c r="DL14" s="115" t="str">
        <f aca="false">IF(Tasks[[#This Row],[Task Name]]="","",IF(Tasks[[#This Row],[_IsSummary]],MIN(INDEX(Tasks[_ShownCalcStart],Tasks[[#This Row],[_Row]]+1):INDEX(Tasks[_ShownCalcStart],Tasks[[#This Row],[_Row]]+Tasks[[#This Row],[_Descendants]])),Tasks[[#This Row],[_ShownCalcStart]]))</f>
        <v/>
      </c>
      <c r="DM14" s="115" t="str">
        <f aca="false">IF(Tasks[[#This Row],[Task Name]]="","",IF(Tasks[[#This Row],[_IsSummary]],MAX(INDEX(Tasks[_ShownCalcFinish],Tasks[[#This Row],[_Row]]+1):INDEX(Tasks[_ShownCalcFinish],Tasks[[#This Row],[_Row]]+Tasks[[#This Row],[_Descendants]])),Tasks[[#This Row],[_ShownCalcFinish]]))</f>
        <v/>
      </c>
      <c r="DN1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 s="38" t="n">
        <f aca="false">IF(AND(Tasks[[#This Row],[_IsLeaf]]=1,Tasks[[#This Row],[_LeafTotalWork]]&gt;0),NETWORKDAYS.INTL(ProjectStart,Tasks[[#This Row],[_ShownFcstStart]],WorkWeek,Holidays),0)</f>
        <v>0</v>
      </c>
      <c r="EA14" s="38" t="n">
        <f aca="false">IF(AND(Tasks[[#This Row],[_IsLeaf]]=1,Tasks[[#This Row],[_LeafTotalWork]]&gt;0),MAX(Tasks[[#This Row],[_StartWorkday]],NETWORKDAYS.INTL(ProjectStart,Tasks[[#This Row],[_ShownFcstFinish]],WorkWeek,Holidays)),0)</f>
        <v>0</v>
      </c>
      <c r="EB14" s="38" t="n">
        <f aca="false">IF(AND(Tasks[[#This Row],[_IsLeaf]]=1,Tasks[[#This Row],[_LeafTotalWork]]&gt;0),Tasks[[#This Row],[_LeafWork]]/(Tasks[[#This Row],[_FinishWorkday]]-Tasks[[#This Row],[_StartWorkday]]+1),0)</f>
        <v>0</v>
      </c>
      <c r="EC14" s="38" t="n">
        <f aca="false">Tasks[[#This Row],[_WorkPerWorkday]]*(Tasks[[#This Row],[_StartWorkday]]-1)</f>
        <v>-0</v>
      </c>
      <c r="ED14" s="38" t="n">
        <f aca="false">IF(Tasks[[#This Row],[_IsLeaf]]=1,MAX(N(Tasks[[#This Row],[Duration]]),0.1),0)</f>
        <v>0</v>
      </c>
      <c r="EE14" s="38" t="n">
        <f aca="false">Tasks[[#This Row],[_WeightDur]]*Tasks[[#This Row],[_LeafProgress]]</f>
        <v>0</v>
      </c>
      <c r="EF1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 s="38" t="str">
        <f aca="false">IF(AND(Tasks[[#This Row],[_IsLeaf]]=1,N(Tasks[[#This Row],[Duration]])=0,Tasks[[#This Row],[_LeafProgress]]&lt;1),Tasks[[#This Row],[_ShownFcstFinish]]+Tasks[[#This Row],[_Row]]/100000,"")</f>
        <v/>
      </c>
      <c r="EH1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 s="38" t="n">
        <f aca="false">IF(NOT(Tasks[[#This Row],[_IsLeaf]]=1),0,IF(Tasks[[#This Row],[Baseline Cost]]="",Tasks[[#This Row],[_LeafTotalCost]],N(Tasks[[#This Row],[Baseline Cost]])))</f>
        <v>0</v>
      </c>
      <c r="EJ14" s="38" t="n">
        <f aca="false">Tasks[[#This Row],[_LeafBudget]]*Tasks[[#This Row],[_PlannedPct]]</f>
        <v>0</v>
      </c>
      <c r="EK14" s="38" t="n">
        <f aca="false">Tasks[[#This Row],[_LeafBudget]]*Tasks[[#This Row],[_LeafProgress]]</f>
        <v>0</v>
      </c>
      <c r="EL14" s="38" t="n">
        <f aca="false">IF(NOT(Tasks[[#This Row],[_IsLeaf]]=1),0,IF(Tasks[[#This Row],[Actual Cost]]="",Tasks[[#This Row],[_LeafTotalCost]]*Tasks[[#This Row],[_LeafProgress]],N(Tasks[[#This Row],[Actual Cost]])))</f>
        <v>0</v>
      </c>
      <c r="EM14" s="38" t="str">
        <f aca="false">IF(Tasks[[#This Row],[Task Name]]="","",LEFT(Tasks[[#This Row],[WBS]],FIND(".",Tasks[[#This Row],[WBS]]&amp;".")-1))</f>
        <v/>
      </c>
      <c r="EN14" s="38" t="str">
        <f aca="false">IF(AND(Tasks[[#This Row],[Task Name]]&lt;&gt;"",Tasks[[#This Row],[_Level]]=1),Tasks[[#This Row],[_Row]],"")</f>
        <v/>
      </c>
      <c r="EO14" s="38" t="str">
        <f aca="false">IF(AND(Tasks[[#This Row],[_IsLeaf]]=1,N(Tasks[[#This Row],[Duration]])=0),Tasks[[#This Row],[Planned Finish]]+Tasks[[#This Row],[_Row]]/100000,"")</f>
        <v/>
      </c>
      <c r="EP14" s="38" t="str">
        <f aca="false">IF(AND(Tasks[[#This Row],[_IsLeaf]]=1,Tasks[[#This Row],[_LeafProgress]]&lt;1,OR(N(Tasks[[#This Row],[Finish Var]])&gt;0,Tasks[[#This Row],[Status]]="Late Start")),MAX(0,Tasks[[#This Row],[Finish Var]])+1-Tasks[[#This Row],[_Row]]/1000000,"")</f>
        <v/>
      </c>
      <c r="EQ14" s="38" t="str">
        <f aca="false">IF(AND(Tasks[[#This Row],[_IsLeaf]]=1,N(Tasks[[#This Row],[Actual Start]])=0,Tasks[[#This Row],[_ShownFcstStart]]&gt;=StatusDate,Tasks[[#This Row],[_ShownFcstStart]]&lt;=LookaheadEnd),Tasks[[#This Row],[_ShownFcstStart]]+Tasks[[#This Row],[_Row]]/100000,"")</f>
        <v/>
      </c>
      <c r="ER14" s="38" t="str">
        <f aca="false">IF(AND(Tasks[[#This Row],[_IsLeaf]]=1,Tasks[[#This Row],[_LeafProgress]]&lt;1,Tasks[[#This Row],[_ShownFcstFinish]]&gt;=StatusDate,Tasks[[#This Row],[_ShownFcstFinish]]&lt;=LookaheadEnd),Tasks[[#This Row],[_ShownFcstFinish]]+Tasks[[#This Row],[_Row]]/100000,"")</f>
        <v/>
      </c>
      <c r="ES14" s="38" t="str">
        <f aca="false">IF(Tasks[[#This Row],[_LeafCritical]],Tasks[[#This Row],[_ShownFcstStart]]+Tasks[[#This Row],[_Row]]/100000,"")</f>
        <v/>
      </c>
      <c r="ET14" s="38" t="n">
        <f aca="false">Tasks[[#This Row],[_LeafWork]]*Tasks[[#This Row],[_LeafProgress]]</f>
        <v>0</v>
      </c>
      <c r="EU14" s="115" t="str">
        <f aca="false">IF(AND(Tasks[[#This Row],[_IsLeaf]]=1,Tasks[[#This Row],[_LeafProgress]]&gt;=1),IF(N(Tasks[[#This Row],[Actual Finish]])&gt;0,Tasks[[#This Row],[Actual Finish]],Tasks[[#This Row],[_ShownFcstFinish]]),"")</f>
        <v/>
      </c>
      <c r="EV14" s="38" t="n">
        <f aca="false">IF(Tasks[[#This Row],[_IsLeaf]]=1,N(Tasks[[#This Row],[Story Points]]),0)</f>
        <v>0</v>
      </c>
      <c r="EW14" s="38" t="str">
        <f aca="false">IF(AND(Tasks[[#This Row],[_IsLeaf]]=1,CurrentSprint&lt;&gt;"",Tasks[[#This Row],[Sprint]]=CurrentSprint),Tasks[[#This Row],[_Row]],"")</f>
        <v/>
      </c>
    </row>
    <row r="15" customFormat="false" ht="15" hidden="false" customHeight="false" outlineLevel="0" collapsed="false">
      <c r="A15" s="51" t="str">
        <f aca="false">IF(Tasks[[#This Row],[Task Name]]="","",COUNTA(Tasks[[#Headers],[Task Name]]:Tasks[[#This Row],[Task Name]])-1)</f>
        <v/>
      </c>
      <c r="B15" s="52" t="n">
        <v>10</v>
      </c>
      <c r="C1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 s="52"/>
      <c r="E15" s="53"/>
      <c r="F15" s="52"/>
      <c r="G15" s="52"/>
      <c r="H15" s="52"/>
      <c r="I15" s="52"/>
      <c r="J15" s="52"/>
      <c r="K15" s="52"/>
      <c r="L15" s="52"/>
      <c r="M15" s="52"/>
      <c r="N15" s="52"/>
      <c r="O15" s="52"/>
      <c r="P15" s="52"/>
      <c r="Q15" s="52"/>
      <c r="R15" s="52"/>
      <c r="S15" s="53"/>
      <c r="T15" s="102"/>
      <c r="U15" s="102"/>
      <c r="V15" s="7"/>
      <c r="W15" s="7"/>
      <c r="X15" s="53"/>
      <c r="Y15" s="31" t="str">
        <f aca="false">IF(Tasks[[#This Row],[Task Name]]="","",IF(Tasks[[#This Row],[_IsSummary]],MIN(INDEX(Tasks[_ShownFcstStart],Tasks[[#This Row],[_Row]]+1):INDEX(Tasks[_ShownFcstStart],Tasks[[#This Row],[_Row]]+Tasks[[#This Row],[_Descendants]])),Tasks[[#This Row],[_ShownFcstStart]]))</f>
        <v/>
      </c>
      <c r="Z15" s="31" t="str">
        <f aca="false">IF(Tasks[[#This Row],[Task Name]]="","",IF(Tasks[[#This Row],[_IsSummary]],MAX(INDEX(Tasks[_ShownFcstFinish],Tasks[[#This Row],[_Row]]+1):INDEX(Tasks[_ShownFcstFinish],Tasks[[#This Row],[_Row]]+Tasks[[#This Row],[_Descendants]])),Tasks[[#This Row],[_ShownFcstFinish]]))</f>
        <v/>
      </c>
      <c r="AA15" s="51" t="str">
        <f aca="false">IF(Tasks[[#This Row],[Task Name]]="","",IF(Tasks[[#This Row],[Progress]]&gt;=1,"Complete",IF(OR(N(Tasks[[#This Row],[Actual Start]])&gt;0,Tasks[[#This Row],[Progress]]&gt;0),IF(Tasks[[#This Row],[Finish Var]]&gt;0,"Behind","In Progress"),IF(Tasks[[#This Row],[Planned Start]]&lt;StatusDate,"Late Start","Not Started"))))</f>
        <v/>
      </c>
      <c r="AB15" s="51" t="str">
        <f aca="false">IF(Tasks[[#This Row],[Task Name]]="","",IF(IF(Tasks[[#This Row],[_IsSummary]],COUNTIF(INDEX(Tasks[_LeafCritical],Tasks[[#This Row],[_Row]]+1):INDEX(Tasks[_LeafCritical],Tasks[[#This Row],[_Row]]+Tasks[[#This Row],[_Descendants]]),TRUE())&gt;0,Tasks[[#This Row],[_LeafCritical]]),"Yes",""))</f>
        <v/>
      </c>
      <c r="AC1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 s="51" t="str">
        <f aca="false">IF(Tasks[[#This Row],[Task Name]]="","",IF(Tasks[[#This Row],[_Level]]&lt;=OutlineShowLevel,"Yes","No"))</f>
        <v/>
      </c>
      <c r="AE15" s="7"/>
      <c r="AF15" s="52"/>
      <c r="AG15" s="53"/>
      <c r="AH15" s="7"/>
      <c r="AI1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 s="31" t="str">
        <f aca="false">IF(Tasks[[#This Row],[Task Name]]="","",IF(N(Tasks[[#This Row],[Baseline Start]])&gt;0,Tasks[[#This Row],[Baseline Start]],Tasks[[#This Row],[_CalcStart]]))</f>
        <v/>
      </c>
      <c r="AK15" s="31" t="str">
        <f aca="false">IF(Tasks[[#This Row],[Task Name]]="","",IF(N(Tasks[[#This Row],[Baseline Finish]])&gt;0,Tasks[[#This Row],[Baseline Finish]],Tasks[[#This Row],[_CalcFinish]]))</f>
        <v/>
      </c>
      <c r="AL1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 s="31" t="str">
        <f aca="false">IF(Tasks[[#This Row],[Task Name]]="","",IF(Tasks[[#This Row],[_IsSummary]],MIN(INDEX(Tasks[_LeafLateStart],Tasks[[#This Row],[_Row]]+1):INDEX(Tasks[_LeafLateStart],Tasks[[#This Row],[_Row]]+Tasks[[#This Row],[_Descendants]])),Tasks[[#This Row],[_LeafLateStart]]))</f>
        <v/>
      </c>
      <c r="AN15" s="31" t="str">
        <f aca="false">IF(Tasks[[#This Row],[Task Name]]="","",IF(Tasks[[#This Row],[_IsSummary]],MAX(INDEX(Tasks[_LeafLateFinish],Tasks[[#This Row],[_Row]]+1):INDEX(Tasks[_LeafLateFinish],Tasks[[#This Row],[_Row]]+Tasks[[#This Row],[_Descendants]])),Tasks[[#This Row],[_LeafLateFinish]]))</f>
        <v/>
      </c>
      <c r="AO15" s="51" t="str">
        <f aca="false">IF(Tasks[[#This Row],[Task Name]]="","",IF(Tasks[[#This Row],[_IsSummary]],MIN(INDEX(Tasks[_LeafTotalSlack],Tasks[[#This Row],[_Row]]+1):INDEX(Tasks[_LeafTotalSlack],Tasks[[#This Row],[_Row]]+Tasks[[#This Row],[_Descendants]])),Tasks[[#This Row],[_LeafTotalSlack]]))</f>
        <v/>
      </c>
      <c r="AP1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 s="110" t="str">
        <f aca="false">IF(Tasks[[#This Row],[Task Name]]="","",IF(Tasks[[#This Row],[_IsSummary]],SUM(INDEX(Tasks[_LeafTotalWork],Tasks[[#This Row],[_Row]]+1):INDEX(Tasks[_LeafTotalWork],Tasks[[#This Row],[_Row]]+Tasks[[#This Row],[_Descendants]])),Tasks[[#This Row],[_LeafTotalWork]]))</f>
        <v/>
      </c>
      <c r="AV1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 s="111" t="str">
        <f aca="false">IF(Tasks[[#This Row],[Task Name]]="","",IF(Tasks[[#This Row],[_IsSummary]],SUM(INDEX(Tasks[_LeafTotalCost],Tasks[[#This Row],[_Row]]+1):INDEX(Tasks[_LeafTotalCost],Tasks[[#This Row],[_Row]]+Tasks[[#This Row],[_Descendants]])),Tasks[[#This Row],[_LeafTotalCost]]))</f>
        <v/>
      </c>
      <c r="AY15" s="112"/>
      <c r="AZ1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 s="52"/>
      <c r="BB15" s="98"/>
      <c r="BC15" s="51" t="str">
        <f aca="false">IF(OR(Tasks[[#This Row],[Task Name]]="",Tasks[[#This Row],[Baseline Duration]]=""),"",Tasks[[#This Row],[BL Source Duration]]-N(Tasks[[#This Row],[Baseline Duration]]))</f>
        <v/>
      </c>
      <c r="BD15" s="110" t="str">
        <f aca="false">IF(OR(Tasks[[#This Row],[Task Name]]="",Tasks[[#This Row],[Baseline Work]]=""),"",Tasks[[#This Row],[Work]]-N(Tasks[[#This Row],[Baseline Work]]))</f>
        <v/>
      </c>
      <c r="BE15" s="111" t="str">
        <f aca="false">IF(OR(Tasks[[#This Row],[Task Name]]="",Tasks[[#This Row],[Baseline Cost]]=""),"",Tasks[[#This Row],[Cost]]-N(Tasks[[#This Row],[Baseline Cost]]))</f>
        <v/>
      </c>
      <c r="BF15" s="31" t="str">
        <f aca="false">IF(Tasks[[#This Row],[Task Name]]="","",Tasks[[#This Row],[Forecast Start]])</f>
        <v/>
      </c>
      <c r="BG15" s="31" t="str">
        <f aca="false">IF(Tasks[[#This Row],[Task Name]]="","",Tasks[[#This Row],[Forecast Finish]])</f>
        <v/>
      </c>
      <c r="BH15" s="51" t="str">
        <f aca="false">IF(Tasks[[#This Row],[Task Name]]="","",IF(Tasks[[#This Row],[_IsSummary]],NETWORKDAYS.INTL(Tasks[[#This Row],[Forecast Start]],Tasks[[#This Row],[Forecast Finish]],WorkWeek,Holidays),N(Tasks[[#This Row],[Duration]])))</f>
        <v/>
      </c>
      <c r="BI15" s="110" t="str">
        <f aca="false">IF(Tasks[[#This Row],[Task Name]]="","",Tasks[[#This Row],[Work]])</f>
        <v/>
      </c>
      <c r="BJ15" s="111" t="str">
        <f aca="false">IF(Tasks[[#This Row],[Task Name]]="","",Tasks[[#This Row],[Cost]])</f>
        <v/>
      </c>
      <c r="BK15" s="7"/>
      <c r="BL15" s="7"/>
      <c r="BM15" s="52"/>
      <c r="BN15" s="113"/>
      <c r="BO15" s="112"/>
      <c r="BP15" s="111" t="str">
        <f aca="false">IF(Tasks[[#This Row],[Task Name]]="","",IF(Tasks[[#This Row],[_IsSummary]],SUM(INDEX(Tasks[_LeafEV],Tasks[[#This Row],[_Row]]+1):INDEX(Tasks[_LeafEV],Tasks[[#This Row],[_Row]]+Tasks[[#This Row],[_Descendants]])),Tasks[[#This Row],[_LeafEV]]))</f>
        <v/>
      </c>
      <c r="BQ15" s="111" t="str">
        <f aca="false">IF(Tasks[[#This Row],[Task Name]]="","",IF(Tasks[[#This Row],[_IsSummary]],SUM(INDEX(Tasks[_LeafBudget],Tasks[[#This Row],[_Row]]+1):INDEX(Tasks[_LeafBudget],Tasks[[#This Row],[_Row]]+Tasks[[#This Row],[_Descendants]])),Tasks[[#This Row],[_LeafBudget]]))</f>
        <v/>
      </c>
      <c r="BR15" s="111" t="str">
        <f aca="false">IF(Tasks[[#This Row],[Task Name]]="","",IF(Tasks[[#This Row],[_IsSummary]],SUM(INDEX(Tasks[_LeafPV],Tasks[[#This Row],[_Row]]+1):INDEX(Tasks[_LeafPV],Tasks[[#This Row],[_Row]]+Tasks[[#This Row],[_Descendants]])),Tasks[[#This Row],[_LeafPV]]))</f>
        <v/>
      </c>
      <c r="BS15" s="111" t="str">
        <f aca="false">IF(Tasks[[#This Row],[Task Name]]="","",IF(Tasks[[#This Row],[_IsSummary]],SUM(INDEX(Tasks[_LeafAC],Tasks[[#This Row],[_Row]]+1):INDEX(Tasks[_LeafAC],Tasks[[#This Row],[_Row]]+Tasks[[#This Row],[_Descendants]])),Tasks[[#This Row],[_LeafAC]]))</f>
        <v/>
      </c>
      <c r="BT15" s="38" t="str">
        <f aca="false">IF(Tasks[[#This Row],[Task Name]]="","",MAX(1,N(Tasks[[#This Row],[Level]])))</f>
        <v/>
      </c>
      <c r="BU15" s="38" t="n">
        <f aca="false">ROW()-ROW(Tasks[[#Headers],[ID]])</f>
        <v>10</v>
      </c>
      <c r="BV15" s="38" t="n">
        <f aca="false">IF(OR(Tasks[[#This Row],[Task Name]]="",Tasks[[#This Row],[_Level]]&lt;=1),0,IFERROR(LOOKUP(2,1/(Tasks[[#Headers],[_Level]]:Tasks[[#This Row],[_Level]]=Tasks[[#This Row],[_Level]]-1),ROW(Tasks[[#Headers],[_Level]]:Tasks[[#This Row],[_Level]])),0))</f>
        <v>0</v>
      </c>
      <c r="BW15" s="38" t="n">
        <f aca="false">IFERROR(N(INDEX(Tasks[_Level],Tasks[[#This Row],[_Row]]+1)),0)</f>
        <v>0</v>
      </c>
      <c r="BX15" s="114" t="b">
        <f aca="false">AND(Tasks[[#This Row],[Task Name]]&lt;&gt;"",Tasks[[#This Row],[_NextLevel]]&gt;Tasks[[#This Row],[_Level]])</f>
        <v>0</v>
      </c>
      <c r="BY15" s="38" t="n">
        <f aca="false">IF(Tasks[[#This Row],[_IsSummary]],COUNTIF(Tasks[WBS],Tasks[[#This Row],[WBS]]&amp;".*"),0)</f>
        <v>0</v>
      </c>
      <c r="BZ15" s="38" t="n">
        <f aca="false">IF(AND(Tasks[[#This Row],[Task Name]]&lt;&gt;"",NOT(Tasks[[#This Row],[_IsSummary]])),1,0)</f>
        <v>0</v>
      </c>
      <c r="CA15" s="38" t="n">
        <f aca="false">IF(N(Tasks[[#This Row],[Pred1 UID]])=0,0,IFERROR(MATCH(Tasks[[#This Row],[Pred1 UID]],Tasks[UID],0),-1))</f>
        <v>0</v>
      </c>
      <c r="CB15" s="38" t="n">
        <f aca="false">IF(N(Tasks[[#This Row],[Pred2 UID]])=0,0,IFERROR(MATCH(Tasks[[#This Row],[Pred2 UID]],Tasks[UID],0),-1))</f>
        <v>0</v>
      </c>
      <c r="CC15" s="38" t="n">
        <f aca="false">IF(N(Tasks[[#This Row],[Pred3 UID]])=0,0,IFERROR(MATCH(Tasks[[#This Row],[Pred3 UID]],Tasks[UID],0),-1))</f>
        <v>0</v>
      </c>
      <c r="CD15" s="38" t="n">
        <f aca="false">IF(N(Tasks[[#This Row],[Pred4 UID]])=0,0,IFERROR(MATCH(Tasks[[#This Row],[Pred4 UID]],Tasks[UID],0),-1))</f>
        <v>0</v>
      </c>
      <c r="CE1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 s="115" t="n">
        <f aca="false">IF(OR(Tasks[[#This Row],[_ConstraintCode]]=2,Tasks[[#This Row],[_ConstraintCode]]=3,Tasks[[#This Row],[_ConstraintCode]]=4,Tasks[[#This Row],[_ConstraintCode]]=6),Tasks[[#This Row],[_ConstraintStart]],0)</f>
        <v>0</v>
      </c>
      <c r="CH15" s="115" t="n">
        <f aca="false">IF(OR(Tasks[[#This Row],[_ConstraintCode]]=2,Tasks[[#This Row],[_ConstraintCode]]=3,Tasks[[#This Row],[_ConstraintCode]]=5,Tasks[[#This Row],[_ConstraintCode]]=7),Tasks[[#This Row],[_ConstraintStart]],2958465)</f>
        <v>2958465</v>
      </c>
      <c r="CI1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 s="115" t="str">
        <f aca="false">IF(NOT(Tasks[[#This Row],[_IsLeaf]]=1),"",IF(N(Tasks[[#This Row],[Duration]])&lt;=0,Tasks[[#This Row],[_LeafCalcStart]],WORKDAY.INTL(Tasks[[#This Row],[_LeafCalcStart]],Tasks[[#This Row],[Duration]]-1,WorkWeek,Holidays)))</f>
        <v/>
      </c>
      <c r="CK1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 s="38" t="n">
        <f aca="false">IF(NOT(Tasks[[#This Row],[_IsLeaf]]=1),0,IF(N(Tasks[[#This Row],[Actual Finish]])&gt;0,1,MIN(1,N(Tasks[[#This Row],[% Complete]]))))</f>
        <v>0</v>
      </c>
      <c r="CN15" s="38" t="n">
        <f aca="false">IF(OR(NOT(Tasks[[#This Row],[_IsLeaf]]=1),Tasks[[#This Row],[Resource]]=""),0,N(Tasks[[#This Row],[Duration]])*HoursPerDay*IF(Tasks[[#This Row],[Units]]="",DefaultUnits,Tasks[[#This Row],[Units]]))</f>
        <v>0</v>
      </c>
      <c r="CO15" s="38" t="n">
        <f aca="false">IF(Tasks[[#This Row],[_LeafWork]]=0,0,Tasks[[#This Row],[_LeafWork]]*IFERROR(INDEX(res_Rate,MATCH(Tasks[[#This Row],[Resource]],res_Name,0)),0))</f>
        <v>0</v>
      </c>
      <c r="CP15" s="38" t="n">
        <f aca="false">Tasks[[#This Row],[_LeafWork]]+IF(Tasks[[#This Row],[_IsLeaf]]=1,SUMIFS(asg_Work,asg_TaskUID,Tasks[[#This Row],[UID]],asg_Valid,1),0)</f>
        <v>0</v>
      </c>
      <c r="CQ15" s="38" t="n">
        <f aca="false">Tasks[[#This Row],[_LeafCost]]+IF(Tasks[[#This Row],[_IsLeaf]]=1,SUMIFS(asg_Cost,asg_TaskUID,Tasks[[#This Row],[UID]],asg_Valid,1),0)</f>
        <v>0</v>
      </c>
      <c r="CR15" s="38" t="n">
        <f aca="false">IF(Tasks[[#This Row],[_LeafTotalCost]]=0,Tasks[[#This Row],[_LeafAC]],Tasks[[#This Row],[_LeafAC]]*Tasks[[#This Row],[_LeafCost]]/Tasks[[#This Row],[_LeafTotalCost]])</f>
        <v>0</v>
      </c>
      <c r="CS1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 s="38" t="n">
        <f aca="false">IF(NOT(Tasks[[#This Row],[_IsLeaf]]=1),0,MAX(_xlfn.MAXIFS(Tasks[_Row],Tasks[Pred1 UID],Tasks[[#This Row],[UID]]),_xlfn.MAXIFS(Tasks[_Row],Tasks[Pred2 UID],Tasks[[#This Row],[UID]]),_xlfn.MAXIFS(Tasks[_Row],Tasks[Pred3 UID],Tasks[[#This Row],[UID]]),_xlfn.MAXIFS(Tasks[_Row],Tasks[Pred4 UID],Tasks[[#This Row],[UID]])))</f>
        <v>0</v>
      </c>
      <c r="DB1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 s="115" t="str">
        <f aca="false">IF(NOT(Tasks[[#This Row],[_IsLeaf]]=1),"",IF(N(Tasks[[#This Row],[Duration]])&lt;=0,Tasks[[#This Row],[_LeafLateFinish]],WORKDAY.INTL(Tasks[[#This Row],[_LeafLateFinish]],-(Tasks[[#This Row],[Duration]]-1),WorkWeek,Holidays)))</f>
        <v/>
      </c>
      <c r="DE1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 s="114" t="b">
        <f aca="false">AND(Tasks[[#This Row],[_IsLeaf]]=1,Tasks[[#This Row],[_LeafProgress]]&lt;1,N(Tasks[[#This Row],[_LeafTotalSlack]])&lt;=CriticalSlackDays)</f>
        <v>0</v>
      </c>
      <c r="DG15" s="38" t="n">
        <f aca="false">IF(AND(Tasks[[#This Row],[_IsLeaf]]=1,Tasks[[#This Row],[_ConstraintCode]]=1,Tasks[[#This Row],[Mode]]&lt;&gt;"Manual",N(Tasks[[#This Row],[Actual Start]])=0),MAX(0,N(Tasks[[#This Row],[Free Slack]])),0)</f>
        <v>0</v>
      </c>
      <c r="DH15" s="115" t="str">
        <f aca="false">IF(NOT(Tasks[[#This Row],[_IsLeaf]]=1),"",IF(Tasks[[#This Row],[_AlapShift]]=0,Tasks[[#This Row],[_LeafCalcStart]],WORKDAY.INTL(Tasks[[#This Row],[_LeafCalcStart]],Tasks[[#This Row],[_AlapShift]],WorkWeek,Holidays)))</f>
        <v/>
      </c>
      <c r="DI15" s="115" t="str">
        <f aca="false">IF(NOT(Tasks[[#This Row],[_IsLeaf]]=1),"",IF(Tasks[[#This Row],[_AlapShift]]=0,Tasks[[#This Row],[_LeafCalcFinish]],WORKDAY.INTL(Tasks[[#This Row],[_LeafCalcFinish]],Tasks[[#This Row],[_AlapShift]],WorkWeek,Holidays)))</f>
        <v/>
      </c>
      <c r="DJ15" s="115" t="str">
        <f aca="false">IF(NOT(Tasks[[#This Row],[_IsLeaf]]=1),"",IF(Tasks[[#This Row],[_AlapShift]]=0,Tasks[[#This Row],[_LeafFcstStart]],WORKDAY.INTL(Tasks[[#This Row],[_LeafFcstStart]],Tasks[[#This Row],[_AlapShift]],WorkWeek,Holidays)))</f>
        <v/>
      </c>
      <c r="DK15" s="115" t="str">
        <f aca="false">IF(NOT(Tasks[[#This Row],[_IsLeaf]]=1),"",IF(Tasks[[#This Row],[_AlapShift]]=0,Tasks[[#This Row],[_LeafFcstFinish]],WORKDAY.INTL(Tasks[[#This Row],[_LeafFcstFinish]],Tasks[[#This Row],[_AlapShift]],WorkWeek,Holidays)))</f>
        <v/>
      </c>
      <c r="DL15" s="115" t="str">
        <f aca="false">IF(Tasks[[#This Row],[Task Name]]="","",IF(Tasks[[#This Row],[_IsSummary]],MIN(INDEX(Tasks[_ShownCalcStart],Tasks[[#This Row],[_Row]]+1):INDEX(Tasks[_ShownCalcStart],Tasks[[#This Row],[_Row]]+Tasks[[#This Row],[_Descendants]])),Tasks[[#This Row],[_ShownCalcStart]]))</f>
        <v/>
      </c>
      <c r="DM15" s="115" t="str">
        <f aca="false">IF(Tasks[[#This Row],[Task Name]]="","",IF(Tasks[[#This Row],[_IsSummary]],MAX(INDEX(Tasks[_ShownCalcFinish],Tasks[[#This Row],[_Row]]+1):INDEX(Tasks[_ShownCalcFinish],Tasks[[#This Row],[_Row]]+Tasks[[#This Row],[_Descendants]])),Tasks[[#This Row],[_ShownCalcFinish]]))</f>
        <v/>
      </c>
      <c r="DN1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 s="38" t="n">
        <f aca="false">IF(AND(Tasks[[#This Row],[_IsLeaf]]=1,Tasks[[#This Row],[_LeafTotalWork]]&gt;0),NETWORKDAYS.INTL(ProjectStart,Tasks[[#This Row],[_ShownFcstStart]],WorkWeek,Holidays),0)</f>
        <v>0</v>
      </c>
      <c r="EA15" s="38" t="n">
        <f aca="false">IF(AND(Tasks[[#This Row],[_IsLeaf]]=1,Tasks[[#This Row],[_LeafTotalWork]]&gt;0),MAX(Tasks[[#This Row],[_StartWorkday]],NETWORKDAYS.INTL(ProjectStart,Tasks[[#This Row],[_ShownFcstFinish]],WorkWeek,Holidays)),0)</f>
        <v>0</v>
      </c>
      <c r="EB15" s="38" t="n">
        <f aca="false">IF(AND(Tasks[[#This Row],[_IsLeaf]]=1,Tasks[[#This Row],[_LeafTotalWork]]&gt;0),Tasks[[#This Row],[_LeafWork]]/(Tasks[[#This Row],[_FinishWorkday]]-Tasks[[#This Row],[_StartWorkday]]+1),0)</f>
        <v>0</v>
      </c>
      <c r="EC15" s="38" t="n">
        <f aca="false">Tasks[[#This Row],[_WorkPerWorkday]]*(Tasks[[#This Row],[_StartWorkday]]-1)</f>
        <v>-0</v>
      </c>
      <c r="ED15" s="38" t="n">
        <f aca="false">IF(Tasks[[#This Row],[_IsLeaf]]=1,MAX(N(Tasks[[#This Row],[Duration]]),0.1),0)</f>
        <v>0</v>
      </c>
      <c r="EE15" s="38" t="n">
        <f aca="false">Tasks[[#This Row],[_WeightDur]]*Tasks[[#This Row],[_LeafProgress]]</f>
        <v>0</v>
      </c>
      <c r="EF1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 s="38" t="str">
        <f aca="false">IF(AND(Tasks[[#This Row],[_IsLeaf]]=1,N(Tasks[[#This Row],[Duration]])=0,Tasks[[#This Row],[_LeafProgress]]&lt;1),Tasks[[#This Row],[_ShownFcstFinish]]+Tasks[[#This Row],[_Row]]/100000,"")</f>
        <v/>
      </c>
      <c r="EH1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 s="38" t="n">
        <f aca="false">IF(NOT(Tasks[[#This Row],[_IsLeaf]]=1),0,IF(Tasks[[#This Row],[Baseline Cost]]="",Tasks[[#This Row],[_LeafTotalCost]],N(Tasks[[#This Row],[Baseline Cost]])))</f>
        <v>0</v>
      </c>
      <c r="EJ15" s="38" t="n">
        <f aca="false">Tasks[[#This Row],[_LeafBudget]]*Tasks[[#This Row],[_PlannedPct]]</f>
        <v>0</v>
      </c>
      <c r="EK15" s="38" t="n">
        <f aca="false">Tasks[[#This Row],[_LeafBudget]]*Tasks[[#This Row],[_LeafProgress]]</f>
        <v>0</v>
      </c>
      <c r="EL15" s="38" t="n">
        <f aca="false">IF(NOT(Tasks[[#This Row],[_IsLeaf]]=1),0,IF(Tasks[[#This Row],[Actual Cost]]="",Tasks[[#This Row],[_LeafTotalCost]]*Tasks[[#This Row],[_LeafProgress]],N(Tasks[[#This Row],[Actual Cost]])))</f>
        <v>0</v>
      </c>
      <c r="EM15" s="38" t="str">
        <f aca="false">IF(Tasks[[#This Row],[Task Name]]="","",LEFT(Tasks[[#This Row],[WBS]],FIND(".",Tasks[[#This Row],[WBS]]&amp;".")-1))</f>
        <v/>
      </c>
      <c r="EN15" s="38" t="str">
        <f aca="false">IF(AND(Tasks[[#This Row],[Task Name]]&lt;&gt;"",Tasks[[#This Row],[_Level]]=1),Tasks[[#This Row],[_Row]],"")</f>
        <v/>
      </c>
      <c r="EO15" s="38" t="str">
        <f aca="false">IF(AND(Tasks[[#This Row],[_IsLeaf]]=1,N(Tasks[[#This Row],[Duration]])=0),Tasks[[#This Row],[Planned Finish]]+Tasks[[#This Row],[_Row]]/100000,"")</f>
        <v/>
      </c>
      <c r="EP15" s="38" t="str">
        <f aca="false">IF(AND(Tasks[[#This Row],[_IsLeaf]]=1,Tasks[[#This Row],[_LeafProgress]]&lt;1,OR(N(Tasks[[#This Row],[Finish Var]])&gt;0,Tasks[[#This Row],[Status]]="Late Start")),MAX(0,Tasks[[#This Row],[Finish Var]])+1-Tasks[[#This Row],[_Row]]/1000000,"")</f>
        <v/>
      </c>
      <c r="EQ15" s="38" t="str">
        <f aca="false">IF(AND(Tasks[[#This Row],[_IsLeaf]]=1,N(Tasks[[#This Row],[Actual Start]])=0,Tasks[[#This Row],[_ShownFcstStart]]&gt;=StatusDate,Tasks[[#This Row],[_ShownFcstStart]]&lt;=LookaheadEnd),Tasks[[#This Row],[_ShownFcstStart]]+Tasks[[#This Row],[_Row]]/100000,"")</f>
        <v/>
      </c>
      <c r="ER15" s="38" t="str">
        <f aca="false">IF(AND(Tasks[[#This Row],[_IsLeaf]]=1,Tasks[[#This Row],[_LeafProgress]]&lt;1,Tasks[[#This Row],[_ShownFcstFinish]]&gt;=StatusDate,Tasks[[#This Row],[_ShownFcstFinish]]&lt;=LookaheadEnd),Tasks[[#This Row],[_ShownFcstFinish]]+Tasks[[#This Row],[_Row]]/100000,"")</f>
        <v/>
      </c>
      <c r="ES15" s="38" t="str">
        <f aca="false">IF(Tasks[[#This Row],[_LeafCritical]],Tasks[[#This Row],[_ShownFcstStart]]+Tasks[[#This Row],[_Row]]/100000,"")</f>
        <v/>
      </c>
      <c r="ET15" s="38" t="n">
        <f aca="false">Tasks[[#This Row],[_LeafWork]]*Tasks[[#This Row],[_LeafProgress]]</f>
        <v>0</v>
      </c>
      <c r="EU15" s="115" t="str">
        <f aca="false">IF(AND(Tasks[[#This Row],[_IsLeaf]]=1,Tasks[[#This Row],[_LeafProgress]]&gt;=1),IF(N(Tasks[[#This Row],[Actual Finish]])&gt;0,Tasks[[#This Row],[Actual Finish]],Tasks[[#This Row],[_ShownFcstFinish]]),"")</f>
        <v/>
      </c>
      <c r="EV15" s="38" t="n">
        <f aca="false">IF(Tasks[[#This Row],[_IsLeaf]]=1,N(Tasks[[#This Row],[Story Points]]),0)</f>
        <v>0</v>
      </c>
      <c r="EW15" s="38" t="str">
        <f aca="false">IF(AND(Tasks[[#This Row],[_IsLeaf]]=1,CurrentSprint&lt;&gt;"",Tasks[[#This Row],[Sprint]]=CurrentSprint),Tasks[[#This Row],[_Row]],"")</f>
        <v/>
      </c>
    </row>
    <row r="16" customFormat="false" ht="15" hidden="false" customHeight="false" outlineLevel="0" collapsed="false">
      <c r="A16" s="51" t="str">
        <f aca="false">IF(Tasks[[#This Row],[Task Name]]="","",COUNTA(Tasks[[#Headers],[Task Name]]:Tasks[[#This Row],[Task Name]])-1)</f>
        <v/>
      </c>
      <c r="B16" s="52" t="n">
        <v>11</v>
      </c>
      <c r="C1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 s="52"/>
      <c r="E16" s="53"/>
      <c r="F16" s="52"/>
      <c r="G16" s="52"/>
      <c r="H16" s="52"/>
      <c r="I16" s="52"/>
      <c r="J16" s="52"/>
      <c r="K16" s="52"/>
      <c r="L16" s="52"/>
      <c r="M16" s="52"/>
      <c r="N16" s="52"/>
      <c r="O16" s="52"/>
      <c r="P16" s="52"/>
      <c r="Q16" s="52"/>
      <c r="R16" s="52"/>
      <c r="S16" s="53"/>
      <c r="T16" s="102"/>
      <c r="U16" s="102"/>
      <c r="V16" s="7"/>
      <c r="W16" s="7"/>
      <c r="X16" s="53"/>
      <c r="Y16" s="31" t="str">
        <f aca="false">IF(Tasks[[#This Row],[Task Name]]="","",IF(Tasks[[#This Row],[_IsSummary]],MIN(INDEX(Tasks[_ShownFcstStart],Tasks[[#This Row],[_Row]]+1):INDEX(Tasks[_ShownFcstStart],Tasks[[#This Row],[_Row]]+Tasks[[#This Row],[_Descendants]])),Tasks[[#This Row],[_ShownFcstStart]]))</f>
        <v/>
      </c>
      <c r="Z16" s="31" t="str">
        <f aca="false">IF(Tasks[[#This Row],[Task Name]]="","",IF(Tasks[[#This Row],[_IsSummary]],MAX(INDEX(Tasks[_ShownFcstFinish],Tasks[[#This Row],[_Row]]+1):INDEX(Tasks[_ShownFcstFinish],Tasks[[#This Row],[_Row]]+Tasks[[#This Row],[_Descendants]])),Tasks[[#This Row],[_ShownFcstFinish]]))</f>
        <v/>
      </c>
      <c r="AA16" s="51" t="str">
        <f aca="false">IF(Tasks[[#This Row],[Task Name]]="","",IF(Tasks[[#This Row],[Progress]]&gt;=1,"Complete",IF(OR(N(Tasks[[#This Row],[Actual Start]])&gt;0,Tasks[[#This Row],[Progress]]&gt;0),IF(Tasks[[#This Row],[Finish Var]]&gt;0,"Behind","In Progress"),IF(Tasks[[#This Row],[Planned Start]]&lt;StatusDate,"Late Start","Not Started"))))</f>
        <v/>
      </c>
      <c r="AB16" s="51" t="str">
        <f aca="false">IF(Tasks[[#This Row],[Task Name]]="","",IF(IF(Tasks[[#This Row],[_IsSummary]],COUNTIF(INDEX(Tasks[_LeafCritical],Tasks[[#This Row],[_Row]]+1):INDEX(Tasks[_LeafCritical],Tasks[[#This Row],[_Row]]+Tasks[[#This Row],[_Descendants]]),TRUE())&gt;0,Tasks[[#This Row],[_LeafCritical]]),"Yes",""))</f>
        <v/>
      </c>
      <c r="AC1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 s="51" t="str">
        <f aca="false">IF(Tasks[[#This Row],[Task Name]]="","",IF(Tasks[[#This Row],[_Level]]&lt;=OutlineShowLevel,"Yes","No"))</f>
        <v/>
      </c>
      <c r="AE16" s="7"/>
      <c r="AF16" s="52"/>
      <c r="AG16" s="53"/>
      <c r="AH16" s="7"/>
      <c r="AI1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 s="31" t="str">
        <f aca="false">IF(Tasks[[#This Row],[Task Name]]="","",IF(N(Tasks[[#This Row],[Baseline Start]])&gt;0,Tasks[[#This Row],[Baseline Start]],Tasks[[#This Row],[_CalcStart]]))</f>
        <v/>
      </c>
      <c r="AK16" s="31" t="str">
        <f aca="false">IF(Tasks[[#This Row],[Task Name]]="","",IF(N(Tasks[[#This Row],[Baseline Finish]])&gt;0,Tasks[[#This Row],[Baseline Finish]],Tasks[[#This Row],[_CalcFinish]]))</f>
        <v/>
      </c>
      <c r="AL1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 s="31" t="str">
        <f aca="false">IF(Tasks[[#This Row],[Task Name]]="","",IF(Tasks[[#This Row],[_IsSummary]],MIN(INDEX(Tasks[_LeafLateStart],Tasks[[#This Row],[_Row]]+1):INDEX(Tasks[_LeafLateStart],Tasks[[#This Row],[_Row]]+Tasks[[#This Row],[_Descendants]])),Tasks[[#This Row],[_LeafLateStart]]))</f>
        <v/>
      </c>
      <c r="AN16" s="31" t="str">
        <f aca="false">IF(Tasks[[#This Row],[Task Name]]="","",IF(Tasks[[#This Row],[_IsSummary]],MAX(INDEX(Tasks[_LeafLateFinish],Tasks[[#This Row],[_Row]]+1):INDEX(Tasks[_LeafLateFinish],Tasks[[#This Row],[_Row]]+Tasks[[#This Row],[_Descendants]])),Tasks[[#This Row],[_LeafLateFinish]]))</f>
        <v/>
      </c>
      <c r="AO16" s="51" t="str">
        <f aca="false">IF(Tasks[[#This Row],[Task Name]]="","",IF(Tasks[[#This Row],[_IsSummary]],MIN(INDEX(Tasks[_LeafTotalSlack],Tasks[[#This Row],[_Row]]+1):INDEX(Tasks[_LeafTotalSlack],Tasks[[#This Row],[_Row]]+Tasks[[#This Row],[_Descendants]])),Tasks[[#This Row],[_LeafTotalSlack]]))</f>
        <v/>
      </c>
      <c r="AP1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 s="110" t="str">
        <f aca="false">IF(Tasks[[#This Row],[Task Name]]="","",IF(Tasks[[#This Row],[_IsSummary]],SUM(INDEX(Tasks[_LeafTotalWork],Tasks[[#This Row],[_Row]]+1):INDEX(Tasks[_LeafTotalWork],Tasks[[#This Row],[_Row]]+Tasks[[#This Row],[_Descendants]])),Tasks[[#This Row],[_LeafTotalWork]]))</f>
        <v/>
      </c>
      <c r="AV1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 s="111" t="str">
        <f aca="false">IF(Tasks[[#This Row],[Task Name]]="","",IF(Tasks[[#This Row],[_IsSummary]],SUM(INDEX(Tasks[_LeafTotalCost],Tasks[[#This Row],[_Row]]+1):INDEX(Tasks[_LeafTotalCost],Tasks[[#This Row],[_Row]]+Tasks[[#This Row],[_Descendants]])),Tasks[[#This Row],[_LeafTotalCost]]))</f>
        <v/>
      </c>
      <c r="AY16" s="112"/>
      <c r="AZ1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 s="52"/>
      <c r="BB16" s="98"/>
      <c r="BC16" s="51" t="str">
        <f aca="false">IF(OR(Tasks[[#This Row],[Task Name]]="",Tasks[[#This Row],[Baseline Duration]]=""),"",Tasks[[#This Row],[BL Source Duration]]-N(Tasks[[#This Row],[Baseline Duration]]))</f>
        <v/>
      </c>
      <c r="BD16" s="110" t="str">
        <f aca="false">IF(OR(Tasks[[#This Row],[Task Name]]="",Tasks[[#This Row],[Baseline Work]]=""),"",Tasks[[#This Row],[Work]]-N(Tasks[[#This Row],[Baseline Work]]))</f>
        <v/>
      </c>
      <c r="BE16" s="111" t="str">
        <f aca="false">IF(OR(Tasks[[#This Row],[Task Name]]="",Tasks[[#This Row],[Baseline Cost]]=""),"",Tasks[[#This Row],[Cost]]-N(Tasks[[#This Row],[Baseline Cost]]))</f>
        <v/>
      </c>
      <c r="BF16" s="31" t="str">
        <f aca="false">IF(Tasks[[#This Row],[Task Name]]="","",Tasks[[#This Row],[Forecast Start]])</f>
        <v/>
      </c>
      <c r="BG16" s="31" t="str">
        <f aca="false">IF(Tasks[[#This Row],[Task Name]]="","",Tasks[[#This Row],[Forecast Finish]])</f>
        <v/>
      </c>
      <c r="BH16" s="51" t="str">
        <f aca="false">IF(Tasks[[#This Row],[Task Name]]="","",IF(Tasks[[#This Row],[_IsSummary]],NETWORKDAYS.INTL(Tasks[[#This Row],[Forecast Start]],Tasks[[#This Row],[Forecast Finish]],WorkWeek,Holidays),N(Tasks[[#This Row],[Duration]])))</f>
        <v/>
      </c>
      <c r="BI16" s="110" t="str">
        <f aca="false">IF(Tasks[[#This Row],[Task Name]]="","",Tasks[[#This Row],[Work]])</f>
        <v/>
      </c>
      <c r="BJ16" s="111" t="str">
        <f aca="false">IF(Tasks[[#This Row],[Task Name]]="","",Tasks[[#This Row],[Cost]])</f>
        <v/>
      </c>
      <c r="BK16" s="7"/>
      <c r="BL16" s="7"/>
      <c r="BM16" s="52"/>
      <c r="BN16" s="113"/>
      <c r="BO16" s="112"/>
      <c r="BP16" s="111" t="str">
        <f aca="false">IF(Tasks[[#This Row],[Task Name]]="","",IF(Tasks[[#This Row],[_IsSummary]],SUM(INDEX(Tasks[_LeafEV],Tasks[[#This Row],[_Row]]+1):INDEX(Tasks[_LeafEV],Tasks[[#This Row],[_Row]]+Tasks[[#This Row],[_Descendants]])),Tasks[[#This Row],[_LeafEV]]))</f>
        <v/>
      </c>
      <c r="BQ16" s="111" t="str">
        <f aca="false">IF(Tasks[[#This Row],[Task Name]]="","",IF(Tasks[[#This Row],[_IsSummary]],SUM(INDEX(Tasks[_LeafBudget],Tasks[[#This Row],[_Row]]+1):INDEX(Tasks[_LeafBudget],Tasks[[#This Row],[_Row]]+Tasks[[#This Row],[_Descendants]])),Tasks[[#This Row],[_LeafBudget]]))</f>
        <v/>
      </c>
      <c r="BR16" s="111" t="str">
        <f aca="false">IF(Tasks[[#This Row],[Task Name]]="","",IF(Tasks[[#This Row],[_IsSummary]],SUM(INDEX(Tasks[_LeafPV],Tasks[[#This Row],[_Row]]+1):INDEX(Tasks[_LeafPV],Tasks[[#This Row],[_Row]]+Tasks[[#This Row],[_Descendants]])),Tasks[[#This Row],[_LeafPV]]))</f>
        <v/>
      </c>
      <c r="BS16" s="111" t="str">
        <f aca="false">IF(Tasks[[#This Row],[Task Name]]="","",IF(Tasks[[#This Row],[_IsSummary]],SUM(INDEX(Tasks[_LeafAC],Tasks[[#This Row],[_Row]]+1):INDEX(Tasks[_LeafAC],Tasks[[#This Row],[_Row]]+Tasks[[#This Row],[_Descendants]])),Tasks[[#This Row],[_LeafAC]]))</f>
        <v/>
      </c>
      <c r="BT16" s="38" t="str">
        <f aca="false">IF(Tasks[[#This Row],[Task Name]]="","",MAX(1,N(Tasks[[#This Row],[Level]])))</f>
        <v/>
      </c>
      <c r="BU16" s="38" t="n">
        <f aca="false">ROW()-ROW(Tasks[[#Headers],[ID]])</f>
        <v>11</v>
      </c>
      <c r="BV16" s="38" t="n">
        <f aca="false">IF(OR(Tasks[[#This Row],[Task Name]]="",Tasks[[#This Row],[_Level]]&lt;=1),0,IFERROR(LOOKUP(2,1/(Tasks[[#Headers],[_Level]]:Tasks[[#This Row],[_Level]]=Tasks[[#This Row],[_Level]]-1),ROW(Tasks[[#Headers],[_Level]]:Tasks[[#This Row],[_Level]])),0))</f>
        <v>0</v>
      </c>
      <c r="BW16" s="38" t="n">
        <f aca="false">IFERROR(N(INDEX(Tasks[_Level],Tasks[[#This Row],[_Row]]+1)),0)</f>
        <v>0</v>
      </c>
      <c r="BX16" s="114" t="b">
        <f aca="false">AND(Tasks[[#This Row],[Task Name]]&lt;&gt;"",Tasks[[#This Row],[_NextLevel]]&gt;Tasks[[#This Row],[_Level]])</f>
        <v>0</v>
      </c>
      <c r="BY16" s="38" t="n">
        <f aca="false">IF(Tasks[[#This Row],[_IsSummary]],COUNTIF(Tasks[WBS],Tasks[[#This Row],[WBS]]&amp;".*"),0)</f>
        <v>0</v>
      </c>
      <c r="BZ16" s="38" t="n">
        <f aca="false">IF(AND(Tasks[[#This Row],[Task Name]]&lt;&gt;"",NOT(Tasks[[#This Row],[_IsSummary]])),1,0)</f>
        <v>0</v>
      </c>
      <c r="CA16" s="38" t="n">
        <f aca="false">IF(N(Tasks[[#This Row],[Pred1 UID]])=0,0,IFERROR(MATCH(Tasks[[#This Row],[Pred1 UID]],Tasks[UID],0),-1))</f>
        <v>0</v>
      </c>
      <c r="CB16" s="38" t="n">
        <f aca="false">IF(N(Tasks[[#This Row],[Pred2 UID]])=0,0,IFERROR(MATCH(Tasks[[#This Row],[Pred2 UID]],Tasks[UID],0),-1))</f>
        <v>0</v>
      </c>
      <c r="CC16" s="38" t="n">
        <f aca="false">IF(N(Tasks[[#This Row],[Pred3 UID]])=0,0,IFERROR(MATCH(Tasks[[#This Row],[Pred3 UID]],Tasks[UID],0),-1))</f>
        <v>0</v>
      </c>
      <c r="CD16" s="38" t="n">
        <f aca="false">IF(N(Tasks[[#This Row],[Pred4 UID]])=0,0,IFERROR(MATCH(Tasks[[#This Row],[Pred4 UID]],Tasks[UID],0),-1))</f>
        <v>0</v>
      </c>
      <c r="CE1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 s="115" t="n">
        <f aca="false">IF(OR(Tasks[[#This Row],[_ConstraintCode]]=2,Tasks[[#This Row],[_ConstraintCode]]=3,Tasks[[#This Row],[_ConstraintCode]]=4,Tasks[[#This Row],[_ConstraintCode]]=6),Tasks[[#This Row],[_ConstraintStart]],0)</f>
        <v>0</v>
      </c>
      <c r="CH16" s="115" t="n">
        <f aca="false">IF(OR(Tasks[[#This Row],[_ConstraintCode]]=2,Tasks[[#This Row],[_ConstraintCode]]=3,Tasks[[#This Row],[_ConstraintCode]]=5,Tasks[[#This Row],[_ConstraintCode]]=7),Tasks[[#This Row],[_ConstraintStart]],2958465)</f>
        <v>2958465</v>
      </c>
      <c r="CI1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 s="115" t="str">
        <f aca="false">IF(NOT(Tasks[[#This Row],[_IsLeaf]]=1),"",IF(N(Tasks[[#This Row],[Duration]])&lt;=0,Tasks[[#This Row],[_LeafCalcStart]],WORKDAY.INTL(Tasks[[#This Row],[_LeafCalcStart]],Tasks[[#This Row],[Duration]]-1,WorkWeek,Holidays)))</f>
        <v/>
      </c>
      <c r="CK1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 s="38" t="n">
        <f aca="false">IF(NOT(Tasks[[#This Row],[_IsLeaf]]=1),0,IF(N(Tasks[[#This Row],[Actual Finish]])&gt;0,1,MIN(1,N(Tasks[[#This Row],[% Complete]]))))</f>
        <v>0</v>
      </c>
      <c r="CN16" s="38" t="n">
        <f aca="false">IF(OR(NOT(Tasks[[#This Row],[_IsLeaf]]=1),Tasks[[#This Row],[Resource]]=""),0,N(Tasks[[#This Row],[Duration]])*HoursPerDay*IF(Tasks[[#This Row],[Units]]="",DefaultUnits,Tasks[[#This Row],[Units]]))</f>
        <v>0</v>
      </c>
      <c r="CO16" s="38" t="n">
        <f aca="false">IF(Tasks[[#This Row],[_LeafWork]]=0,0,Tasks[[#This Row],[_LeafWork]]*IFERROR(INDEX(res_Rate,MATCH(Tasks[[#This Row],[Resource]],res_Name,0)),0))</f>
        <v>0</v>
      </c>
      <c r="CP16" s="38" t="n">
        <f aca="false">Tasks[[#This Row],[_LeafWork]]+IF(Tasks[[#This Row],[_IsLeaf]]=1,SUMIFS(asg_Work,asg_TaskUID,Tasks[[#This Row],[UID]],asg_Valid,1),0)</f>
        <v>0</v>
      </c>
      <c r="CQ16" s="38" t="n">
        <f aca="false">Tasks[[#This Row],[_LeafCost]]+IF(Tasks[[#This Row],[_IsLeaf]]=1,SUMIFS(asg_Cost,asg_TaskUID,Tasks[[#This Row],[UID]],asg_Valid,1),0)</f>
        <v>0</v>
      </c>
      <c r="CR16" s="38" t="n">
        <f aca="false">IF(Tasks[[#This Row],[_LeafTotalCost]]=0,Tasks[[#This Row],[_LeafAC]],Tasks[[#This Row],[_LeafAC]]*Tasks[[#This Row],[_LeafCost]]/Tasks[[#This Row],[_LeafTotalCost]])</f>
        <v>0</v>
      </c>
      <c r="CS1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 s="38" t="n">
        <f aca="false">IF(NOT(Tasks[[#This Row],[_IsLeaf]]=1),0,MAX(_xlfn.MAXIFS(Tasks[_Row],Tasks[Pred1 UID],Tasks[[#This Row],[UID]]),_xlfn.MAXIFS(Tasks[_Row],Tasks[Pred2 UID],Tasks[[#This Row],[UID]]),_xlfn.MAXIFS(Tasks[_Row],Tasks[Pred3 UID],Tasks[[#This Row],[UID]]),_xlfn.MAXIFS(Tasks[_Row],Tasks[Pred4 UID],Tasks[[#This Row],[UID]])))</f>
        <v>0</v>
      </c>
      <c r="DB1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 s="115" t="str">
        <f aca="false">IF(NOT(Tasks[[#This Row],[_IsLeaf]]=1),"",IF(N(Tasks[[#This Row],[Duration]])&lt;=0,Tasks[[#This Row],[_LeafLateFinish]],WORKDAY.INTL(Tasks[[#This Row],[_LeafLateFinish]],-(Tasks[[#This Row],[Duration]]-1),WorkWeek,Holidays)))</f>
        <v/>
      </c>
      <c r="DE1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 s="114" t="b">
        <f aca="false">AND(Tasks[[#This Row],[_IsLeaf]]=1,Tasks[[#This Row],[_LeafProgress]]&lt;1,N(Tasks[[#This Row],[_LeafTotalSlack]])&lt;=CriticalSlackDays)</f>
        <v>0</v>
      </c>
      <c r="DG16" s="38" t="n">
        <f aca="false">IF(AND(Tasks[[#This Row],[_IsLeaf]]=1,Tasks[[#This Row],[_ConstraintCode]]=1,Tasks[[#This Row],[Mode]]&lt;&gt;"Manual",N(Tasks[[#This Row],[Actual Start]])=0),MAX(0,N(Tasks[[#This Row],[Free Slack]])),0)</f>
        <v>0</v>
      </c>
      <c r="DH16" s="115" t="str">
        <f aca="false">IF(NOT(Tasks[[#This Row],[_IsLeaf]]=1),"",IF(Tasks[[#This Row],[_AlapShift]]=0,Tasks[[#This Row],[_LeafCalcStart]],WORKDAY.INTL(Tasks[[#This Row],[_LeafCalcStart]],Tasks[[#This Row],[_AlapShift]],WorkWeek,Holidays)))</f>
        <v/>
      </c>
      <c r="DI16" s="115" t="str">
        <f aca="false">IF(NOT(Tasks[[#This Row],[_IsLeaf]]=1),"",IF(Tasks[[#This Row],[_AlapShift]]=0,Tasks[[#This Row],[_LeafCalcFinish]],WORKDAY.INTL(Tasks[[#This Row],[_LeafCalcFinish]],Tasks[[#This Row],[_AlapShift]],WorkWeek,Holidays)))</f>
        <v/>
      </c>
      <c r="DJ16" s="115" t="str">
        <f aca="false">IF(NOT(Tasks[[#This Row],[_IsLeaf]]=1),"",IF(Tasks[[#This Row],[_AlapShift]]=0,Tasks[[#This Row],[_LeafFcstStart]],WORKDAY.INTL(Tasks[[#This Row],[_LeafFcstStart]],Tasks[[#This Row],[_AlapShift]],WorkWeek,Holidays)))</f>
        <v/>
      </c>
      <c r="DK16" s="115" t="str">
        <f aca="false">IF(NOT(Tasks[[#This Row],[_IsLeaf]]=1),"",IF(Tasks[[#This Row],[_AlapShift]]=0,Tasks[[#This Row],[_LeafFcstFinish]],WORKDAY.INTL(Tasks[[#This Row],[_LeafFcstFinish]],Tasks[[#This Row],[_AlapShift]],WorkWeek,Holidays)))</f>
        <v/>
      </c>
      <c r="DL16" s="115" t="str">
        <f aca="false">IF(Tasks[[#This Row],[Task Name]]="","",IF(Tasks[[#This Row],[_IsSummary]],MIN(INDEX(Tasks[_ShownCalcStart],Tasks[[#This Row],[_Row]]+1):INDEX(Tasks[_ShownCalcStart],Tasks[[#This Row],[_Row]]+Tasks[[#This Row],[_Descendants]])),Tasks[[#This Row],[_ShownCalcStart]]))</f>
        <v/>
      </c>
      <c r="DM16" s="115" t="str">
        <f aca="false">IF(Tasks[[#This Row],[Task Name]]="","",IF(Tasks[[#This Row],[_IsSummary]],MAX(INDEX(Tasks[_ShownCalcFinish],Tasks[[#This Row],[_Row]]+1):INDEX(Tasks[_ShownCalcFinish],Tasks[[#This Row],[_Row]]+Tasks[[#This Row],[_Descendants]])),Tasks[[#This Row],[_ShownCalcFinish]]))</f>
        <v/>
      </c>
      <c r="DN1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 s="38" t="n">
        <f aca="false">IF(AND(Tasks[[#This Row],[_IsLeaf]]=1,Tasks[[#This Row],[_LeafTotalWork]]&gt;0),NETWORKDAYS.INTL(ProjectStart,Tasks[[#This Row],[_ShownFcstStart]],WorkWeek,Holidays),0)</f>
        <v>0</v>
      </c>
      <c r="EA16" s="38" t="n">
        <f aca="false">IF(AND(Tasks[[#This Row],[_IsLeaf]]=1,Tasks[[#This Row],[_LeafTotalWork]]&gt;0),MAX(Tasks[[#This Row],[_StartWorkday]],NETWORKDAYS.INTL(ProjectStart,Tasks[[#This Row],[_ShownFcstFinish]],WorkWeek,Holidays)),0)</f>
        <v>0</v>
      </c>
      <c r="EB16" s="38" t="n">
        <f aca="false">IF(AND(Tasks[[#This Row],[_IsLeaf]]=1,Tasks[[#This Row],[_LeafTotalWork]]&gt;0),Tasks[[#This Row],[_LeafWork]]/(Tasks[[#This Row],[_FinishWorkday]]-Tasks[[#This Row],[_StartWorkday]]+1),0)</f>
        <v>0</v>
      </c>
      <c r="EC16" s="38" t="n">
        <f aca="false">Tasks[[#This Row],[_WorkPerWorkday]]*(Tasks[[#This Row],[_StartWorkday]]-1)</f>
        <v>-0</v>
      </c>
      <c r="ED16" s="38" t="n">
        <f aca="false">IF(Tasks[[#This Row],[_IsLeaf]]=1,MAX(N(Tasks[[#This Row],[Duration]]),0.1),0)</f>
        <v>0</v>
      </c>
      <c r="EE16" s="38" t="n">
        <f aca="false">Tasks[[#This Row],[_WeightDur]]*Tasks[[#This Row],[_LeafProgress]]</f>
        <v>0</v>
      </c>
      <c r="EF1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 s="38" t="str">
        <f aca="false">IF(AND(Tasks[[#This Row],[_IsLeaf]]=1,N(Tasks[[#This Row],[Duration]])=0,Tasks[[#This Row],[_LeafProgress]]&lt;1),Tasks[[#This Row],[_ShownFcstFinish]]+Tasks[[#This Row],[_Row]]/100000,"")</f>
        <v/>
      </c>
      <c r="EH1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 s="38" t="n">
        <f aca="false">IF(NOT(Tasks[[#This Row],[_IsLeaf]]=1),0,IF(Tasks[[#This Row],[Baseline Cost]]="",Tasks[[#This Row],[_LeafTotalCost]],N(Tasks[[#This Row],[Baseline Cost]])))</f>
        <v>0</v>
      </c>
      <c r="EJ16" s="38" t="n">
        <f aca="false">Tasks[[#This Row],[_LeafBudget]]*Tasks[[#This Row],[_PlannedPct]]</f>
        <v>0</v>
      </c>
      <c r="EK16" s="38" t="n">
        <f aca="false">Tasks[[#This Row],[_LeafBudget]]*Tasks[[#This Row],[_LeafProgress]]</f>
        <v>0</v>
      </c>
      <c r="EL16" s="38" t="n">
        <f aca="false">IF(NOT(Tasks[[#This Row],[_IsLeaf]]=1),0,IF(Tasks[[#This Row],[Actual Cost]]="",Tasks[[#This Row],[_LeafTotalCost]]*Tasks[[#This Row],[_LeafProgress]],N(Tasks[[#This Row],[Actual Cost]])))</f>
        <v>0</v>
      </c>
      <c r="EM16" s="38" t="str">
        <f aca="false">IF(Tasks[[#This Row],[Task Name]]="","",LEFT(Tasks[[#This Row],[WBS]],FIND(".",Tasks[[#This Row],[WBS]]&amp;".")-1))</f>
        <v/>
      </c>
      <c r="EN16" s="38" t="str">
        <f aca="false">IF(AND(Tasks[[#This Row],[Task Name]]&lt;&gt;"",Tasks[[#This Row],[_Level]]=1),Tasks[[#This Row],[_Row]],"")</f>
        <v/>
      </c>
      <c r="EO16" s="38" t="str">
        <f aca="false">IF(AND(Tasks[[#This Row],[_IsLeaf]]=1,N(Tasks[[#This Row],[Duration]])=0),Tasks[[#This Row],[Planned Finish]]+Tasks[[#This Row],[_Row]]/100000,"")</f>
        <v/>
      </c>
      <c r="EP16" s="38" t="str">
        <f aca="false">IF(AND(Tasks[[#This Row],[_IsLeaf]]=1,Tasks[[#This Row],[_LeafProgress]]&lt;1,OR(N(Tasks[[#This Row],[Finish Var]])&gt;0,Tasks[[#This Row],[Status]]="Late Start")),MAX(0,Tasks[[#This Row],[Finish Var]])+1-Tasks[[#This Row],[_Row]]/1000000,"")</f>
        <v/>
      </c>
      <c r="EQ16" s="38" t="str">
        <f aca="false">IF(AND(Tasks[[#This Row],[_IsLeaf]]=1,N(Tasks[[#This Row],[Actual Start]])=0,Tasks[[#This Row],[_ShownFcstStart]]&gt;=StatusDate,Tasks[[#This Row],[_ShownFcstStart]]&lt;=LookaheadEnd),Tasks[[#This Row],[_ShownFcstStart]]+Tasks[[#This Row],[_Row]]/100000,"")</f>
        <v/>
      </c>
      <c r="ER16" s="38" t="str">
        <f aca="false">IF(AND(Tasks[[#This Row],[_IsLeaf]]=1,Tasks[[#This Row],[_LeafProgress]]&lt;1,Tasks[[#This Row],[_ShownFcstFinish]]&gt;=StatusDate,Tasks[[#This Row],[_ShownFcstFinish]]&lt;=LookaheadEnd),Tasks[[#This Row],[_ShownFcstFinish]]+Tasks[[#This Row],[_Row]]/100000,"")</f>
        <v/>
      </c>
      <c r="ES16" s="38" t="str">
        <f aca="false">IF(Tasks[[#This Row],[_LeafCritical]],Tasks[[#This Row],[_ShownFcstStart]]+Tasks[[#This Row],[_Row]]/100000,"")</f>
        <v/>
      </c>
      <c r="ET16" s="38" t="n">
        <f aca="false">Tasks[[#This Row],[_LeafWork]]*Tasks[[#This Row],[_LeafProgress]]</f>
        <v>0</v>
      </c>
      <c r="EU16" s="115" t="str">
        <f aca="false">IF(AND(Tasks[[#This Row],[_IsLeaf]]=1,Tasks[[#This Row],[_LeafProgress]]&gt;=1),IF(N(Tasks[[#This Row],[Actual Finish]])&gt;0,Tasks[[#This Row],[Actual Finish]],Tasks[[#This Row],[_ShownFcstFinish]]),"")</f>
        <v/>
      </c>
      <c r="EV16" s="38" t="n">
        <f aca="false">IF(Tasks[[#This Row],[_IsLeaf]]=1,N(Tasks[[#This Row],[Story Points]]),0)</f>
        <v>0</v>
      </c>
      <c r="EW16" s="38" t="str">
        <f aca="false">IF(AND(Tasks[[#This Row],[_IsLeaf]]=1,CurrentSprint&lt;&gt;"",Tasks[[#This Row],[Sprint]]=CurrentSprint),Tasks[[#This Row],[_Row]],"")</f>
        <v/>
      </c>
    </row>
    <row r="17" customFormat="false" ht="15" hidden="false" customHeight="false" outlineLevel="0" collapsed="false">
      <c r="A17" s="51" t="str">
        <f aca="false">IF(Tasks[[#This Row],[Task Name]]="","",COUNTA(Tasks[[#Headers],[Task Name]]:Tasks[[#This Row],[Task Name]])-1)</f>
        <v/>
      </c>
      <c r="B17" s="52" t="n">
        <v>12</v>
      </c>
      <c r="C1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 s="52"/>
      <c r="E17" s="53"/>
      <c r="F17" s="52"/>
      <c r="G17" s="52"/>
      <c r="H17" s="52"/>
      <c r="I17" s="52"/>
      <c r="J17" s="52"/>
      <c r="K17" s="52"/>
      <c r="L17" s="52"/>
      <c r="M17" s="52"/>
      <c r="N17" s="52"/>
      <c r="O17" s="52"/>
      <c r="P17" s="52"/>
      <c r="Q17" s="52"/>
      <c r="R17" s="52"/>
      <c r="S17" s="53"/>
      <c r="T17" s="102"/>
      <c r="U17" s="102"/>
      <c r="V17" s="7"/>
      <c r="W17" s="7"/>
      <c r="X17" s="53"/>
      <c r="Y17" s="31" t="str">
        <f aca="false">IF(Tasks[[#This Row],[Task Name]]="","",IF(Tasks[[#This Row],[_IsSummary]],MIN(INDEX(Tasks[_ShownFcstStart],Tasks[[#This Row],[_Row]]+1):INDEX(Tasks[_ShownFcstStart],Tasks[[#This Row],[_Row]]+Tasks[[#This Row],[_Descendants]])),Tasks[[#This Row],[_ShownFcstStart]]))</f>
        <v/>
      </c>
      <c r="Z17" s="31" t="str">
        <f aca="false">IF(Tasks[[#This Row],[Task Name]]="","",IF(Tasks[[#This Row],[_IsSummary]],MAX(INDEX(Tasks[_ShownFcstFinish],Tasks[[#This Row],[_Row]]+1):INDEX(Tasks[_ShownFcstFinish],Tasks[[#This Row],[_Row]]+Tasks[[#This Row],[_Descendants]])),Tasks[[#This Row],[_ShownFcstFinish]]))</f>
        <v/>
      </c>
      <c r="AA17" s="51" t="str">
        <f aca="false">IF(Tasks[[#This Row],[Task Name]]="","",IF(Tasks[[#This Row],[Progress]]&gt;=1,"Complete",IF(OR(N(Tasks[[#This Row],[Actual Start]])&gt;0,Tasks[[#This Row],[Progress]]&gt;0),IF(Tasks[[#This Row],[Finish Var]]&gt;0,"Behind","In Progress"),IF(Tasks[[#This Row],[Planned Start]]&lt;StatusDate,"Late Start","Not Started"))))</f>
        <v/>
      </c>
      <c r="AB17" s="51" t="str">
        <f aca="false">IF(Tasks[[#This Row],[Task Name]]="","",IF(IF(Tasks[[#This Row],[_IsSummary]],COUNTIF(INDEX(Tasks[_LeafCritical],Tasks[[#This Row],[_Row]]+1):INDEX(Tasks[_LeafCritical],Tasks[[#This Row],[_Row]]+Tasks[[#This Row],[_Descendants]]),TRUE())&gt;0,Tasks[[#This Row],[_LeafCritical]]),"Yes",""))</f>
        <v/>
      </c>
      <c r="AC1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 s="51" t="str">
        <f aca="false">IF(Tasks[[#This Row],[Task Name]]="","",IF(Tasks[[#This Row],[_Level]]&lt;=OutlineShowLevel,"Yes","No"))</f>
        <v/>
      </c>
      <c r="AE17" s="7"/>
      <c r="AF17" s="52"/>
      <c r="AG17" s="53"/>
      <c r="AH17" s="7"/>
      <c r="AI1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 s="31" t="str">
        <f aca="false">IF(Tasks[[#This Row],[Task Name]]="","",IF(N(Tasks[[#This Row],[Baseline Start]])&gt;0,Tasks[[#This Row],[Baseline Start]],Tasks[[#This Row],[_CalcStart]]))</f>
        <v/>
      </c>
      <c r="AK17" s="31" t="str">
        <f aca="false">IF(Tasks[[#This Row],[Task Name]]="","",IF(N(Tasks[[#This Row],[Baseline Finish]])&gt;0,Tasks[[#This Row],[Baseline Finish]],Tasks[[#This Row],[_CalcFinish]]))</f>
        <v/>
      </c>
      <c r="AL1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 s="31" t="str">
        <f aca="false">IF(Tasks[[#This Row],[Task Name]]="","",IF(Tasks[[#This Row],[_IsSummary]],MIN(INDEX(Tasks[_LeafLateStart],Tasks[[#This Row],[_Row]]+1):INDEX(Tasks[_LeafLateStart],Tasks[[#This Row],[_Row]]+Tasks[[#This Row],[_Descendants]])),Tasks[[#This Row],[_LeafLateStart]]))</f>
        <v/>
      </c>
      <c r="AN17" s="31" t="str">
        <f aca="false">IF(Tasks[[#This Row],[Task Name]]="","",IF(Tasks[[#This Row],[_IsSummary]],MAX(INDEX(Tasks[_LeafLateFinish],Tasks[[#This Row],[_Row]]+1):INDEX(Tasks[_LeafLateFinish],Tasks[[#This Row],[_Row]]+Tasks[[#This Row],[_Descendants]])),Tasks[[#This Row],[_LeafLateFinish]]))</f>
        <v/>
      </c>
      <c r="AO17" s="51" t="str">
        <f aca="false">IF(Tasks[[#This Row],[Task Name]]="","",IF(Tasks[[#This Row],[_IsSummary]],MIN(INDEX(Tasks[_LeafTotalSlack],Tasks[[#This Row],[_Row]]+1):INDEX(Tasks[_LeafTotalSlack],Tasks[[#This Row],[_Row]]+Tasks[[#This Row],[_Descendants]])),Tasks[[#This Row],[_LeafTotalSlack]]))</f>
        <v/>
      </c>
      <c r="AP1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 s="110" t="str">
        <f aca="false">IF(Tasks[[#This Row],[Task Name]]="","",IF(Tasks[[#This Row],[_IsSummary]],SUM(INDEX(Tasks[_LeafTotalWork],Tasks[[#This Row],[_Row]]+1):INDEX(Tasks[_LeafTotalWork],Tasks[[#This Row],[_Row]]+Tasks[[#This Row],[_Descendants]])),Tasks[[#This Row],[_LeafTotalWork]]))</f>
        <v/>
      </c>
      <c r="AV1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 s="111" t="str">
        <f aca="false">IF(Tasks[[#This Row],[Task Name]]="","",IF(Tasks[[#This Row],[_IsSummary]],SUM(INDEX(Tasks[_LeafTotalCost],Tasks[[#This Row],[_Row]]+1):INDEX(Tasks[_LeafTotalCost],Tasks[[#This Row],[_Row]]+Tasks[[#This Row],[_Descendants]])),Tasks[[#This Row],[_LeafTotalCost]]))</f>
        <v/>
      </c>
      <c r="AY17" s="112"/>
      <c r="AZ1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 s="52"/>
      <c r="BB17" s="98"/>
      <c r="BC17" s="51" t="str">
        <f aca="false">IF(OR(Tasks[[#This Row],[Task Name]]="",Tasks[[#This Row],[Baseline Duration]]=""),"",Tasks[[#This Row],[BL Source Duration]]-N(Tasks[[#This Row],[Baseline Duration]]))</f>
        <v/>
      </c>
      <c r="BD17" s="110" t="str">
        <f aca="false">IF(OR(Tasks[[#This Row],[Task Name]]="",Tasks[[#This Row],[Baseline Work]]=""),"",Tasks[[#This Row],[Work]]-N(Tasks[[#This Row],[Baseline Work]]))</f>
        <v/>
      </c>
      <c r="BE17" s="111" t="str">
        <f aca="false">IF(OR(Tasks[[#This Row],[Task Name]]="",Tasks[[#This Row],[Baseline Cost]]=""),"",Tasks[[#This Row],[Cost]]-N(Tasks[[#This Row],[Baseline Cost]]))</f>
        <v/>
      </c>
      <c r="BF17" s="31" t="str">
        <f aca="false">IF(Tasks[[#This Row],[Task Name]]="","",Tasks[[#This Row],[Forecast Start]])</f>
        <v/>
      </c>
      <c r="BG17" s="31" t="str">
        <f aca="false">IF(Tasks[[#This Row],[Task Name]]="","",Tasks[[#This Row],[Forecast Finish]])</f>
        <v/>
      </c>
      <c r="BH17" s="51" t="str">
        <f aca="false">IF(Tasks[[#This Row],[Task Name]]="","",IF(Tasks[[#This Row],[_IsSummary]],NETWORKDAYS.INTL(Tasks[[#This Row],[Forecast Start]],Tasks[[#This Row],[Forecast Finish]],WorkWeek,Holidays),N(Tasks[[#This Row],[Duration]])))</f>
        <v/>
      </c>
      <c r="BI17" s="110" t="str">
        <f aca="false">IF(Tasks[[#This Row],[Task Name]]="","",Tasks[[#This Row],[Work]])</f>
        <v/>
      </c>
      <c r="BJ17" s="111" t="str">
        <f aca="false">IF(Tasks[[#This Row],[Task Name]]="","",Tasks[[#This Row],[Cost]])</f>
        <v/>
      </c>
      <c r="BK17" s="7"/>
      <c r="BL17" s="7"/>
      <c r="BM17" s="52"/>
      <c r="BN17" s="113"/>
      <c r="BO17" s="112"/>
      <c r="BP17" s="111" t="str">
        <f aca="false">IF(Tasks[[#This Row],[Task Name]]="","",IF(Tasks[[#This Row],[_IsSummary]],SUM(INDEX(Tasks[_LeafEV],Tasks[[#This Row],[_Row]]+1):INDEX(Tasks[_LeafEV],Tasks[[#This Row],[_Row]]+Tasks[[#This Row],[_Descendants]])),Tasks[[#This Row],[_LeafEV]]))</f>
        <v/>
      </c>
      <c r="BQ17" s="111" t="str">
        <f aca="false">IF(Tasks[[#This Row],[Task Name]]="","",IF(Tasks[[#This Row],[_IsSummary]],SUM(INDEX(Tasks[_LeafBudget],Tasks[[#This Row],[_Row]]+1):INDEX(Tasks[_LeafBudget],Tasks[[#This Row],[_Row]]+Tasks[[#This Row],[_Descendants]])),Tasks[[#This Row],[_LeafBudget]]))</f>
        <v/>
      </c>
      <c r="BR17" s="111" t="str">
        <f aca="false">IF(Tasks[[#This Row],[Task Name]]="","",IF(Tasks[[#This Row],[_IsSummary]],SUM(INDEX(Tasks[_LeafPV],Tasks[[#This Row],[_Row]]+1):INDEX(Tasks[_LeafPV],Tasks[[#This Row],[_Row]]+Tasks[[#This Row],[_Descendants]])),Tasks[[#This Row],[_LeafPV]]))</f>
        <v/>
      </c>
      <c r="BS17" s="111" t="str">
        <f aca="false">IF(Tasks[[#This Row],[Task Name]]="","",IF(Tasks[[#This Row],[_IsSummary]],SUM(INDEX(Tasks[_LeafAC],Tasks[[#This Row],[_Row]]+1):INDEX(Tasks[_LeafAC],Tasks[[#This Row],[_Row]]+Tasks[[#This Row],[_Descendants]])),Tasks[[#This Row],[_LeafAC]]))</f>
        <v/>
      </c>
      <c r="BT17" s="38" t="str">
        <f aca="false">IF(Tasks[[#This Row],[Task Name]]="","",MAX(1,N(Tasks[[#This Row],[Level]])))</f>
        <v/>
      </c>
      <c r="BU17" s="38" t="n">
        <f aca="false">ROW()-ROW(Tasks[[#Headers],[ID]])</f>
        <v>12</v>
      </c>
      <c r="BV17" s="38" t="n">
        <f aca="false">IF(OR(Tasks[[#This Row],[Task Name]]="",Tasks[[#This Row],[_Level]]&lt;=1),0,IFERROR(LOOKUP(2,1/(Tasks[[#Headers],[_Level]]:Tasks[[#This Row],[_Level]]=Tasks[[#This Row],[_Level]]-1),ROW(Tasks[[#Headers],[_Level]]:Tasks[[#This Row],[_Level]])),0))</f>
        <v>0</v>
      </c>
      <c r="BW17" s="38" t="n">
        <f aca="false">IFERROR(N(INDEX(Tasks[_Level],Tasks[[#This Row],[_Row]]+1)),0)</f>
        <v>0</v>
      </c>
      <c r="BX17" s="114" t="b">
        <f aca="false">AND(Tasks[[#This Row],[Task Name]]&lt;&gt;"",Tasks[[#This Row],[_NextLevel]]&gt;Tasks[[#This Row],[_Level]])</f>
        <v>0</v>
      </c>
      <c r="BY17" s="38" t="n">
        <f aca="false">IF(Tasks[[#This Row],[_IsSummary]],COUNTIF(Tasks[WBS],Tasks[[#This Row],[WBS]]&amp;".*"),0)</f>
        <v>0</v>
      </c>
      <c r="BZ17" s="38" t="n">
        <f aca="false">IF(AND(Tasks[[#This Row],[Task Name]]&lt;&gt;"",NOT(Tasks[[#This Row],[_IsSummary]])),1,0)</f>
        <v>0</v>
      </c>
      <c r="CA17" s="38" t="n">
        <f aca="false">IF(N(Tasks[[#This Row],[Pred1 UID]])=0,0,IFERROR(MATCH(Tasks[[#This Row],[Pred1 UID]],Tasks[UID],0),-1))</f>
        <v>0</v>
      </c>
      <c r="CB17" s="38" t="n">
        <f aca="false">IF(N(Tasks[[#This Row],[Pred2 UID]])=0,0,IFERROR(MATCH(Tasks[[#This Row],[Pred2 UID]],Tasks[UID],0),-1))</f>
        <v>0</v>
      </c>
      <c r="CC17" s="38" t="n">
        <f aca="false">IF(N(Tasks[[#This Row],[Pred3 UID]])=0,0,IFERROR(MATCH(Tasks[[#This Row],[Pred3 UID]],Tasks[UID],0),-1))</f>
        <v>0</v>
      </c>
      <c r="CD17" s="38" t="n">
        <f aca="false">IF(N(Tasks[[#This Row],[Pred4 UID]])=0,0,IFERROR(MATCH(Tasks[[#This Row],[Pred4 UID]],Tasks[UID],0),-1))</f>
        <v>0</v>
      </c>
      <c r="CE1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 s="115" t="n">
        <f aca="false">IF(OR(Tasks[[#This Row],[_ConstraintCode]]=2,Tasks[[#This Row],[_ConstraintCode]]=3,Tasks[[#This Row],[_ConstraintCode]]=4,Tasks[[#This Row],[_ConstraintCode]]=6),Tasks[[#This Row],[_ConstraintStart]],0)</f>
        <v>0</v>
      </c>
      <c r="CH17" s="115" t="n">
        <f aca="false">IF(OR(Tasks[[#This Row],[_ConstraintCode]]=2,Tasks[[#This Row],[_ConstraintCode]]=3,Tasks[[#This Row],[_ConstraintCode]]=5,Tasks[[#This Row],[_ConstraintCode]]=7),Tasks[[#This Row],[_ConstraintStart]],2958465)</f>
        <v>2958465</v>
      </c>
      <c r="CI1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 s="115" t="str">
        <f aca="false">IF(NOT(Tasks[[#This Row],[_IsLeaf]]=1),"",IF(N(Tasks[[#This Row],[Duration]])&lt;=0,Tasks[[#This Row],[_LeafCalcStart]],WORKDAY.INTL(Tasks[[#This Row],[_LeafCalcStart]],Tasks[[#This Row],[Duration]]-1,WorkWeek,Holidays)))</f>
        <v/>
      </c>
      <c r="CK1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 s="38" t="n">
        <f aca="false">IF(NOT(Tasks[[#This Row],[_IsLeaf]]=1),0,IF(N(Tasks[[#This Row],[Actual Finish]])&gt;0,1,MIN(1,N(Tasks[[#This Row],[% Complete]]))))</f>
        <v>0</v>
      </c>
      <c r="CN17" s="38" t="n">
        <f aca="false">IF(OR(NOT(Tasks[[#This Row],[_IsLeaf]]=1),Tasks[[#This Row],[Resource]]=""),0,N(Tasks[[#This Row],[Duration]])*HoursPerDay*IF(Tasks[[#This Row],[Units]]="",DefaultUnits,Tasks[[#This Row],[Units]]))</f>
        <v>0</v>
      </c>
      <c r="CO17" s="38" t="n">
        <f aca="false">IF(Tasks[[#This Row],[_LeafWork]]=0,0,Tasks[[#This Row],[_LeafWork]]*IFERROR(INDEX(res_Rate,MATCH(Tasks[[#This Row],[Resource]],res_Name,0)),0))</f>
        <v>0</v>
      </c>
      <c r="CP17" s="38" t="n">
        <f aca="false">Tasks[[#This Row],[_LeafWork]]+IF(Tasks[[#This Row],[_IsLeaf]]=1,SUMIFS(asg_Work,asg_TaskUID,Tasks[[#This Row],[UID]],asg_Valid,1),0)</f>
        <v>0</v>
      </c>
      <c r="CQ17" s="38" t="n">
        <f aca="false">Tasks[[#This Row],[_LeafCost]]+IF(Tasks[[#This Row],[_IsLeaf]]=1,SUMIFS(asg_Cost,asg_TaskUID,Tasks[[#This Row],[UID]],asg_Valid,1),0)</f>
        <v>0</v>
      </c>
      <c r="CR17" s="38" t="n">
        <f aca="false">IF(Tasks[[#This Row],[_LeafTotalCost]]=0,Tasks[[#This Row],[_LeafAC]],Tasks[[#This Row],[_LeafAC]]*Tasks[[#This Row],[_LeafCost]]/Tasks[[#This Row],[_LeafTotalCost]])</f>
        <v>0</v>
      </c>
      <c r="CS1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 s="38" t="n">
        <f aca="false">IF(NOT(Tasks[[#This Row],[_IsLeaf]]=1),0,MAX(_xlfn.MAXIFS(Tasks[_Row],Tasks[Pred1 UID],Tasks[[#This Row],[UID]]),_xlfn.MAXIFS(Tasks[_Row],Tasks[Pred2 UID],Tasks[[#This Row],[UID]]),_xlfn.MAXIFS(Tasks[_Row],Tasks[Pred3 UID],Tasks[[#This Row],[UID]]),_xlfn.MAXIFS(Tasks[_Row],Tasks[Pred4 UID],Tasks[[#This Row],[UID]])))</f>
        <v>0</v>
      </c>
      <c r="DB1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 s="115" t="str">
        <f aca="false">IF(NOT(Tasks[[#This Row],[_IsLeaf]]=1),"",IF(N(Tasks[[#This Row],[Duration]])&lt;=0,Tasks[[#This Row],[_LeafLateFinish]],WORKDAY.INTL(Tasks[[#This Row],[_LeafLateFinish]],-(Tasks[[#This Row],[Duration]]-1),WorkWeek,Holidays)))</f>
        <v/>
      </c>
      <c r="DE1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 s="114" t="b">
        <f aca="false">AND(Tasks[[#This Row],[_IsLeaf]]=1,Tasks[[#This Row],[_LeafProgress]]&lt;1,N(Tasks[[#This Row],[_LeafTotalSlack]])&lt;=CriticalSlackDays)</f>
        <v>0</v>
      </c>
      <c r="DG17" s="38" t="n">
        <f aca="false">IF(AND(Tasks[[#This Row],[_IsLeaf]]=1,Tasks[[#This Row],[_ConstraintCode]]=1,Tasks[[#This Row],[Mode]]&lt;&gt;"Manual",N(Tasks[[#This Row],[Actual Start]])=0),MAX(0,N(Tasks[[#This Row],[Free Slack]])),0)</f>
        <v>0</v>
      </c>
      <c r="DH17" s="115" t="str">
        <f aca="false">IF(NOT(Tasks[[#This Row],[_IsLeaf]]=1),"",IF(Tasks[[#This Row],[_AlapShift]]=0,Tasks[[#This Row],[_LeafCalcStart]],WORKDAY.INTL(Tasks[[#This Row],[_LeafCalcStart]],Tasks[[#This Row],[_AlapShift]],WorkWeek,Holidays)))</f>
        <v/>
      </c>
      <c r="DI17" s="115" t="str">
        <f aca="false">IF(NOT(Tasks[[#This Row],[_IsLeaf]]=1),"",IF(Tasks[[#This Row],[_AlapShift]]=0,Tasks[[#This Row],[_LeafCalcFinish]],WORKDAY.INTL(Tasks[[#This Row],[_LeafCalcFinish]],Tasks[[#This Row],[_AlapShift]],WorkWeek,Holidays)))</f>
        <v/>
      </c>
      <c r="DJ17" s="115" t="str">
        <f aca="false">IF(NOT(Tasks[[#This Row],[_IsLeaf]]=1),"",IF(Tasks[[#This Row],[_AlapShift]]=0,Tasks[[#This Row],[_LeafFcstStart]],WORKDAY.INTL(Tasks[[#This Row],[_LeafFcstStart]],Tasks[[#This Row],[_AlapShift]],WorkWeek,Holidays)))</f>
        <v/>
      </c>
      <c r="DK17" s="115" t="str">
        <f aca="false">IF(NOT(Tasks[[#This Row],[_IsLeaf]]=1),"",IF(Tasks[[#This Row],[_AlapShift]]=0,Tasks[[#This Row],[_LeafFcstFinish]],WORKDAY.INTL(Tasks[[#This Row],[_LeafFcstFinish]],Tasks[[#This Row],[_AlapShift]],WorkWeek,Holidays)))</f>
        <v/>
      </c>
      <c r="DL17" s="115" t="str">
        <f aca="false">IF(Tasks[[#This Row],[Task Name]]="","",IF(Tasks[[#This Row],[_IsSummary]],MIN(INDEX(Tasks[_ShownCalcStart],Tasks[[#This Row],[_Row]]+1):INDEX(Tasks[_ShownCalcStart],Tasks[[#This Row],[_Row]]+Tasks[[#This Row],[_Descendants]])),Tasks[[#This Row],[_ShownCalcStart]]))</f>
        <v/>
      </c>
      <c r="DM17" s="115" t="str">
        <f aca="false">IF(Tasks[[#This Row],[Task Name]]="","",IF(Tasks[[#This Row],[_IsSummary]],MAX(INDEX(Tasks[_ShownCalcFinish],Tasks[[#This Row],[_Row]]+1):INDEX(Tasks[_ShownCalcFinish],Tasks[[#This Row],[_Row]]+Tasks[[#This Row],[_Descendants]])),Tasks[[#This Row],[_ShownCalcFinish]]))</f>
        <v/>
      </c>
      <c r="DN1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 s="38" t="n">
        <f aca="false">IF(AND(Tasks[[#This Row],[_IsLeaf]]=1,Tasks[[#This Row],[_LeafTotalWork]]&gt;0),NETWORKDAYS.INTL(ProjectStart,Tasks[[#This Row],[_ShownFcstStart]],WorkWeek,Holidays),0)</f>
        <v>0</v>
      </c>
      <c r="EA17" s="38" t="n">
        <f aca="false">IF(AND(Tasks[[#This Row],[_IsLeaf]]=1,Tasks[[#This Row],[_LeafTotalWork]]&gt;0),MAX(Tasks[[#This Row],[_StartWorkday]],NETWORKDAYS.INTL(ProjectStart,Tasks[[#This Row],[_ShownFcstFinish]],WorkWeek,Holidays)),0)</f>
        <v>0</v>
      </c>
      <c r="EB17" s="38" t="n">
        <f aca="false">IF(AND(Tasks[[#This Row],[_IsLeaf]]=1,Tasks[[#This Row],[_LeafTotalWork]]&gt;0),Tasks[[#This Row],[_LeafWork]]/(Tasks[[#This Row],[_FinishWorkday]]-Tasks[[#This Row],[_StartWorkday]]+1),0)</f>
        <v>0</v>
      </c>
      <c r="EC17" s="38" t="n">
        <f aca="false">Tasks[[#This Row],[_WorkPerWorkday]]*(Tasks[[#This Row],[_StartWorkday]]-1)</f>
        <v>-0</v>
      </c>
      <c r="ED17" s="38" t="n">
        <f aca="false">IF(Tasks[[#This Row],[_IsLeaf]]=1,MAX(N(Tasks[[#This Row],[Duration]]),0.1),0)</f>
        <v>0</v>
      </c>
      <c r="EE17" s="38" t="n">
        <f aca="false">Tasks[[#This Row],[_WeightDur]]*Tasks[[#This Row],[_LeafProgress]]</f>
        <v>0</v>
      </c>
      <c r="EF1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 s="38" t="str">
        <f aca="false">IF(AND(Tasks[[#This Row],[_IsLeaf]]=1,N(Tasks[[#This Row],[Duration]])=0,Tasks[[#This Row],[_LeafProgress]]&lt;1),Tasks[[#This Row],[_ShownFcstFinish]]+Tasks[[#This Row],[_Row]]/100000,"")</f>
        <v/>
      </c>
      <c r="EH1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 s="38" t="n">
        <f aca="false">IF(NOT(Tasks[[#This Row],[_IsLeaf]]=1),0,IF(Tasks[[#This Row],[Baseline Cost]]="",Tasks[[#This Row],[_LeafTotalCost]],N(Tasks[[#This Row],[Baseline Cost]])))</f>
        <v>0</v>
      </c>
      <c r="EJ17" s="38" t="n">
        <f aca="false">Tasks[[#This Row],[_LeafBudget]]*Tasks[[#This Row],[_PlannedPct]]</f>
        <v>0</v>
      </c>
      <c r="EK17" s="38" t="n">
        <f aca="false">Tasks[[#This Row],[_LeafBudget]]*Tasks[[#This Row],[_LeafProgress]]</f>
        <v>0</v>
      </c>
      <c r="EL17" s="38" t="n">
        <f aca="false">IF(NOT(Tasks[[#This Row],[_IsLeaf]]=1),0,IF(Tasks[[#This Row],[Actual Cost]]="",Tasks[[#This Row],[_LeafTotalCost]]*Tasks[[#This Row],[_LeafProgress]],N(Tasks[[#This Row],[Actual Cost]])))</f>
        <v>0</v>
      </c>
      <c r="EM17" s="38" t="str">
        <f aca="false">IF(Tasks[[#This Row],[Task Name]]="","",LEFT(Tasks[[#This Row],[WBS]],FIND(".",Tasks[[#This Row],[WBS]]&amp;".")-1))</f>
        <v/>
      </c>
      <c r="EN17" s="38" t="str">
        <f aca="false">IF(AND(Tasks[[#This Row],[Task Name]]&lt;&gt;"",Tasks[[#This Row],[_Level]]=1),Tasks[[#This Row],[_Row]],"")</f>
        <v/>
      </c>
      <c r="EO17" s="38" t="str">
        <f aca="false">IF(AND(Tasks[[#This Row],[_IsLeaf]]=1,N(Tasks[[#This Row],[Duration]])=0),Tasks[[#This Row],[Planned Finish]]+Tasks[[#This Row],[_Row]]/100000,"")</f>
        <v/>
      </c>
      <c r="EP17" s="38" t="str">
        <f aca="false">IF(AND(Tasks[[#This Row],[_IsLeaf]]=1,Tasks[[#This Row],[_LeafProgress]]&lt;1,OR(N(Tasks[[#This Row],[Finish Var]])&gt;0,Tasks[[#This Row],[Status]]="Late Start")),MAX(0,Tasks[[#This Row],[Finish Var]])+1-Tasks[[#This Row],[_Row]]/1000000,"")</f>
        <v/>
      </c>
      <c r="EQ17" s="38" t="str">
        <f aca="false">IF(AND(Tasks[[#This Row],[_IsLeaf]]=1,N(Tasks[[#This Row],[Actual Start]])=0,Tasks[[#This Row],[_ShownFcstStart]]&gt;=StatusDate,Tasks[[#This Row],[_ShownFcstStart]]&lt;=LookaheadEnd),Tasks[[#This Row],[_ShownFcstStart]]+Tasks[[#This Row],[_Row]]/100000,"")</f>
        <v/>
      </c>
      <c r="ER17" s="38" t="str">
        <f aca="false">IF(AND(Tasks[[#This Row],[_IsLeaf]]=1,Tasks[[#This Row],[_LeafProgress]]&lt;1,Tasks[[#This Row],[_ShownFcstFinish]]&gt;=StatusDate,Tasks[[#This Row],[_ShownFcstFinish]]&lt;=LookaheadEnd),Tasks[[#This Row],[_ShownFcstFinish]]+Tasks[[#This Row],[_Row]]/100000,"")</f>
        <v/>
      </c>
      <c r="ES17" s="38" t="str">
        <f aca="false">IF(Tasks[[#This Row],[_LeafCritical]],Tasks[[#This Row],[_ShownFcstStart]]+Tasks[[#This Row],[_Row]]/100000,"")</f>
        <v/>
      </c>
      <c r="ET17" s="38" t="n">
        <f aca="false">Tasks[[#This Row],[_LeafWork]]*Tasks[[#This Row],[_LeafProgress]]</f>
        <v>0</v>
      </c>
      <c r="EU17" s="115" t="str">
        <f aca="false">IF(AND(Tasks[[#This Row],[_IsLeaf]]=1,Tasks[[#This Row],[_LeafProgress]]&gt;=1),IF(N(Tasks[[#This Row],[Actual Finish]])&gt;0,Tasks[[#This Row],[Actual Finish]],Tasks[[#This Row],[_ShownFcstFinish]]),"")</f>
        <v/>
      </c>
      <c r="EV17" s="38" t="n">
        <f aca="false">IF(Tasks[[#This Row],[_IsLeaf]]=1,N(Tasks[[#This Row],[Story Points]]),0)</f>
        <v>0</v>
      </c>
      <c r="EW17" s="38" t="str">
        <f aca="false">IF(AND(Tasks[[#This Row],[_IsLeaf]]=1,CurrentSprint&lt;&gt;"",Tasks[[#This Row],[Sprint]]=CurrentSprint),Tasks[[#This Row],[_Row]],"")</f>
        <v/>
      </c>
    </row>
    <row r="18" customFormat="false" ht="15" hidden="false" customHeight="false" outlineLevel="0" collapsed="false">
      <c r="A18" s="51" t="str">
        <f aca="false">IF(Tasks[[#This Row],[Task Name]]="","",COUNTA(Tasks[[#Headers],[Task Name]]:Tasks[[#This Row],[Task Name]])-1)</f>
        <v/>
      </c>
      <c r="B18" s="52" t="n">
        <v>13</v>
      </c>
      <c r="C1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 s="52"/>
      <c r="E18" s="53"/>
      <c r="F18" s="52"/>
      <c r="G18" s="52"/>
      <c r="H18" s="52"/>
      <c r="I18" s="52"/>
      <c r="J18" s="52"/>
      <c r="K18" s="52"/>
      <c r="L18" s="52"/>
      <c r="M18" s="52"/>
      <c r="N18" s="52"/>
      <c r="O18" s="52"/>
      <c r="P18" s="52"/>
      <c r="Q18" s="52"/>
      <c r="R18" s="52"/>
      <c r="S18" s="53"/>
      <c r="T18" s="102"/>
      <c r="U18" s="102"/>
      <c r="V18" s="7"/>
      <c r="W18" s="7"/>
      <c r="X18" s="53"/>
      <c r="Y18" s="31" t="str">
        <f aca="false">IF(Tasks[[#This Row],[Task Name]]="","",IF(Tasks[[#This Row],[_IsSummary]],MIN(INDEX(Tasks[_ShownFcstStart],Tasks[[#This Row],[_Row]]+1):INDEX(Tasks[_ShownFcstStart],Tasks[[#This Row],[_Row]]+Tasks[[#This Row],[_Descendants]])),Tasks[[#This Row],[_ShownFcstStart]]))</f>
        <v/>
      </c>
      <c r="Z18" s="31" t="str">
        <f aca="false">IF(Tasks[[#This Row],[Task Name]]="","",IF(Tasks[[#This Row],[_IsSummary]],MAX(INDEX(Tasks[_ShownFcstFinish],Tasks[[#This Row],[_Row]]+1):INDEX(Tasks[_ShownFcstFinish],Tasks[[#This Row],[_Row]]+Tasks[[#This Row],[_Descendants]])),Tasks[[#This Row],[_ShownFcstFinish]]))</f>
        <v/>
      </c>
      <c r="AA18" s="51" t="str">
        <f aca="false">IF(Tasks[[#This Row],[Task Name]]="","",IF(Tasks[[#This Row],[Progress]]&gt;=1,"Complete",IF(OR(N(Tasks[[#This Row],[Actual Start]])&gt;0,Tasks[[#This Row],[Progress]]&gt;0),IF(Tasks[[#This Row],[Finish Var]]&gt;0,"Behind","In Progress"),IF(Tasks[[#This Row],[Planned Start]]&lt;StatusDate,"Late Start","Not Started"))))</f>
        <v/>
      </c>
      <c r="AB18" s="51" t="str">
        <f aca="false">IF(Tasks[[#This Row],[Task Name]]="","",IF(IF(Tasks[[#This Row],[_IsSummary]],COUNTIF(INDEX(Tasks[_LeafCritical],Tasks[[#This Row],[_Row]]+1):INDEX(Tasks[_LeafCritical],Tasks[[#This Row],[_Row]]+Tasks[[#This Row],[_Descendants]]),TRUE())&gt;0,Tasks[[#This Row],[_LeafCritical]]),"Yes",""))</f>
        <v/>
      </c>
      <c r="AC1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 s="51" t="str">
        <f aca="false">IF(Tasks[[#This Row],[Task Name]]="","",IF(Tasks[[#This Row],[_Level]]&lt;=OutlineShowLevel,"Yes","No"))</f>
        <v/>
      </c>
      <c r="AE18" s="7"/>
      <c r="AF18" s="52"/>
      <c r="AG18" s="53"/>
      <c r="AH18" s="7"/>
      <c r="AI1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 s="31" t="str">
        <f aca="false">IF(Tasks[[#This Row],[Task Name]]="","",IF(N(Tasks[[#This Row],[Baseline Start]])&gt;0,Tasks[[#This Row],[Baseline Start]],Tasks[[#This Row],[_CalcStart]]))</f>
        <v/>
      </c>
      <c r="AK18" s="31" t="str">
        <f aca="false">IF(Tasks[[#This Row],[Task Name]]="","",IF(N(Tasks[[#This Row],[Baseline Finish]])&gt;0,Tasks[[#This Row],[Baseline Finish]],Tasks[[#This Row],[_CalcFinish]]))</f>
        <v/>
      </c>
      <c r="AL1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 s="31" t="str">
        <f aca="false">IF(Tasks[[#This Row],[Task Name]]="","",IF(Tasks[[#This Row],[_IsSummary]],MIN(INDEX(Tasks[_LeafLateStart],Tasks[[#This Row],[_Row]]+1):INDEX(Tasks[_LeafLateStart],Tasks[[#This Row],[_Row]]+Tasks[[#This Row],[_Descendants]])),Tasks[[#This Row],[_LeafLateStart]]))</f>
        <v/>
      </c>
      <c r="AN18" s="31" t="str">
        <f aca="false">IF(Tasks[[#This Row],[Task Name]]="","",IF(Tasks[[#This Row],[_IsSummary]],MAX(INDEX(Tasks[_LeafLateFinish],Tasks[[#This Row],[_Row]]+1):INDEX(Tasks[_LeafLateFinish],Tasks[[#This Row],[_Row]]+Tasks[[#This Row],[_Descendants]])),Tasks[[#This Row],[_LeafLateFinish]]))</f>
        <v/>
      </c>
      <c r="AO18" s="51" t="str">
        <f aca="false">IF(Tasks[[#This Row],[Task Name]]="","",IF(Tasks[[#This Row],[_IsSummary]],MIN(INDEX(Tasks[_LeafTotalSlack],Tasks[[#This Row],[_Row]]+1):INDEX(Tasks[_LeafTotalSlack],Tasks[[#This Row],[_Row]]+Tasks[[#This Row],[_Descendants]])),Tasks[[#This Row],[_LeafTotalSlack]]))</f>
        <v/>
      </c>
      <c r="AP1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 s="110" t="str">
        <f aca="false">IF(Tasks[[#This Row],[Task Name]]="","",IF(Tasks[[#This Row],[_IsSummary]],SUM(INDEX(Tasks[_LeafTotalWork],Tasks[[#This Row],[_Row]]+1):INDEX(Tasks[_LeafTotalWork],Tasks[[#This Row],[_Row]]+Tasks[[#This Row],[_Descendants]])),Tasks[[#This Row],[_LeafTotalWork]]))</f>
        <v/>
      </c>
      <c r="AV1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 s="111" t="str">
        <f aca="false">IF(Tasks[[#This Row],[Task Name]]="","",IF(Tasks[[#This Row],[_IsSummary]],SUM(INDEX(Tasks[_LeafTotalCost],Tasks[[#This Row],[_Row]]+1):INDEX(Tasks[_LeafTotalCost],Tasks[[#This Row],[_Row]]+Tasks[[#This Row],[_Descendants]])),Tasks[[#This Row],[_LeafTotalCost]]))</f>
        <v/>
      </c>
      <c r="AY18" s="112"/>
      <c r="AZ1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 s="52"/>
      <c r="BB18" s="98"/>
      <c r="BC18" s="51" t="str">
        <f aca="false">IF(OR(Tasks[[#This Row],[Task Name]]="",Tasks[[#This Row],[Baseline Duration]]=""),"",Tasks[[#This Row],[BL Source Duration]]-N(Tasks[[#This Row],[Baseline Duration]]))</f>
        <v/>
      </c>
      <c r="BD18" s="110" t="str">
        <f aca="false">IF(OR(Tasks[[#This Row],[Task Name]]="",Tasks[[#This Row],[Baseline Work]]=""),"",Tasks[[#This Row],[Work]]-N(Tasks[[#This Row],[Baseline Work]]))</f>
        <v/>
      </c>
      <c r="BE18" s="111" t="str">
        <f aca="false">IF(OR(Tasks[[#This Row],[Task Name]]="",Tasks[[#This Row],[Baseline Cost]]=""),"",Tasks[[#This Row],[Cost]]-N(Tasks[[#This Row],[Baseline Cost]]))</f>
        <v/>
      </c>
      <c r="BF18" s="31" t="str">
        <f aca="false">IF(Tasks[[#This Row],[Task Name]]="","",Tasks[[#This Row],[Forecast Start]])</f>
        <v/>
      </c>
      <c r="BG18" s="31" t="str">
        <f aca="false">IF(Tasks[[#This Row],[Task Name]]="","",Tasks[[#This Row],[Forecast Finish]])</f>
        <v/>
      </c>
      <c r="BH18" s="51" t="str">
        <f aca="false">IF(Tasks[[#This Row],[Task Name]]="","",IF(Tasks[[#This Row],[_IsSummary]],NETWORKDAYS.INTL(Tasks[[#This Row],[Forecast Start]],Tasks[[#This Row],[Forecast Finish]],WorkWeek,Holidays),N(Tasks[[#This Row],[Duration]])))</f>
        <v/>
      </c>
      <c r="BI18" s="110" t="str">
        <f aca="false">IF(Tasks[[#This Row],[Task Name]]="","",Tasks[[#This Row],[Work]])</f>
        <v/>
      </c>
      <c r="BJ18" s="111" t="str">
        <f aca="false">IF(Tasks[[#This Row],[Task Name]]="","",Tasks[[#This Row],[Cost]])</f>
        <v/>
      </c>
      <c r="BK18" s="7"/>
      <c r="BL18" s="7"/>
      <c r="BM18" s="52"/>
      <c r="BN18" s="113"/>
      <c r="BO18" s="112"/>
      <c r="BP18" s="111" t="str">
        <f aca="false">IF(Tasks[[#This Row],[Task Name]]="","",IF(Tasks[[#This Row],[_IsSummary]],SUM(INDEX(Tasks[_LeafEV],Tasks[[#This Row],[_Row]]+1):INDEX(Tasks[_LeafEV],Tasks[[#This Row],[_Row]]+Tasks[[#This Row],[_Descendants]])),Tasks[[#This Row],[_LeafEV]]))</f>
        <v/>
      </c>
      <c r="BQ18" s="111" t="str">
        <f aca="false">IF(Tasks[[#This Row],[Task Name]]="","",IF(Tasks[[#This Row],[_IsSummary]],SUM(INDEX(Tasks[_LeafBudget],Tasks[[#This Row],[_Row]]+1):INDEX(Tasks[_LeafBudget],Tasks[[#This Row],[_Row]]+Tasks[[#This Row],[_Descendants]])),Tasks[[#This Row],[_LeafBudget]]))</f>
        <v/>
      </c>
      <c r="BR18" s="111" t="str">
        <f aca="false">IF(Tasks[[#This Row],[Task Name]]="","",IF(Tasks[[#This Row],[_IsSummary]],SUM(INDEX(Tasks[_LeafPV],Tasks[[#This Row],[_Row]]+1):INDEX(Tasks[_LeafPV],Tasks[[#This Row],[_Row]]+Tasks[[#This Row],[_Descendants]])),Tasks[[#This Row],[_LeafPV]]))</f>
        <v/>
      </c>
      <c r="BS18" s="111" t="str">
        <f aca="false">IF(Tasks[[#This Row],[Task Name]]="","",IF(Tasks[[#This Row],[_IsSummary]],SUM(INDEX(Tasks[_LeafAC],Tasks[[#This Row],[_Row]]+1):INDEX(Tasks[_LeafAC],Tasks[[#This Row],[_Row]]+Tasks[[#This Row],[_Descendants]])),Tasks[[#This Row],[_LeafAC]]))</f>
        <v/>
      </c>
      <c r="BT18" s="38" t="str">
        <f aca="false">IF(Tasks[[#This Row],[Task Name]]="","",MAX(1,N(Tasks[[#This Row],[Level]])))</f>
        <v/>
      </c>
      <c r="BU18" s="38" t="n">
        <f aca="false">ROW()-ROW(Tasks[[#Headers],[ID]])</f>
        <v>13</v>
      </c>
      <c r="BV18" s="38" t="n">
        <f aca="false">IF(OR(Tasks[[#This Row],[Task Name]]="",Tasks[[#This Row],[_Level]]&lt;=1),0,IFERROR(LOOKUP(2,1/(Tasks[[#Headers],[_Level]]:Tasks[[#This Row],[_Level]]=Tasks[[#This Row],[_Level]]-1),ROW(Tasks[[#Headers],[_Level]]:Tasks[[#This Row],[_Level]])),0))</f>
        <v>0</v>
      </c>
      <c r="BW18" s="38" t="n">
        <f aca="false">IFERROR(N(INDEX(Tasks[_Level],Tasks[[#This Row],[_Row]]+1)),0)</f>
        <v>0</v>
      </c>
      <c r="BX18" s="114" t="b">
        <f aca="false">AND(Tasks[[#This Row],[Task Name]]&lt;&gt;"",Tasks[[#This Row],[_NextLevel]]&gt;Tasks[[#This Row],[_Level]])</f>
        <v>0</v>
      </c>
      <c r="BY18" s="38" t="n">
        <f aca="false">IF(Tasks[[#This Row],[_IsSummary]],COUNTIF(Tasks[WBS],Tasks[[#This Row],[WBS]]&amp;".*"),0)</f>
        <v>0</v>
      </c>
      <c r="BZ18" s="38" t="n">
        <f aca="false">IF(AND(Tasks[[#This Row],[Task Name]]&lt;&gt;"",NOT(Tasks[[#This Row],[_IsSummary]])),1,0)</f>
        <v>0</v>
      </c>
      <c r="CA18" s="38" t="n">
        <f aca="false">IF(N(Tasks[[#This Row],[Pred1 UID]])=0,0,IFERROR(MATCH(Tasks[[#This Row],[Pred1 UID]],Tasks[UID],0),-1))</f>
        <v>0</v>
      </c>
      <c r="CB18" s="38" t="n">
        <f aca="false">IF(N(Tasks[[#This Row],[Pred2 UID]])=0,0,IFERROR(MATCH(Tasks[[#This Row],[Pred2 UID]],Tasks[UID],0),-1))</f>
        <v>0</v>
      </c>
      <c r="CC18" s="38" t="n">
        <f aca="false">IF(N(Tasks[[#This Row],[Pred3 UID]])=0,0,IFERROR(MATCH(Tasks[[#This Row],[Pred3 UID]],Tasks[UID],0),-1))</f>
        <v>0</v>
      </c>
      <c r="CD18" s="38" t="n">
        <f aca="false">IF(N(Tasks[[#This Row],[Pred4 UID]])=0,0,IFERROR(MATCH(Tasks[[#This Row],[Pred4 UID]],Tasks[UID],0),-1))</f>
        <v>0</v>
      </c>
      <c r="CE1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 s="115" t="n">
        <f aca="false">IF(OR(Tasks[[#This Row],[_ConstraintCode]]=2,Tasks[[#This Row],[_ConstraintCode]]=3,Tasks[[#This Row],[_ConstraintCode]]=4,Tasks[[#This Row],[_ConstraintCode]]=6),Tasks[[#This Row],[_ConstraintStart]],0)</f>
        <v>0</v>
      </c>
      <c r="CH18" s="115" t="n">
        <f aca="false">IF(OR(Tasks[[#This Row],[_ConstraintCode]]=2,Tasks[[#This Row],[_ConstraintCode]]=3,Tasks[[#This Row],[_ConstraintCode]]=5,Tasks[[#This Row],[_ConstraintCode]]=7),Tasks[[#This Row],[_ConstraintStart]],2958465)</f>
        <v>2958465</v>
      </c>
      <c r="CI1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 s="115" t="str">
        <f aca="false">IF(NOT(Tasks[[#This Row],[_IsLeaf]]=1),"",IF(N(Tasks[[#This Row],[Duration]])&lt;=0,Tasks[[#This Row],[_LeafCalcStart]],WORKDAY.INTL(Tasks[[#This Row],[_LeafCalcStart]],Tasks[[#This Row],[Duration]]-1,WorkWeek,Holidays)))</f>
        <v/>
      </c>
      <c r="CK1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 s="38" t="n">
        <f aca="false">IF(NOT(Tasks[[#This Row],[_IsLeaf]]=1),0,IF(N(Tasks[[#This Row],[Actual Finish]])&gt;0,1,MIN(1,N(Tasks[[#This Row],[% Complete]]))))</f>
        <v>0</v>
      </c>
      <c r="CN18" s="38" t="n">
        <f aca="false">IF(OR(NOT(Tasks[[#This Row],[_IsLeaf]]=1),Tasks[[#This Row],[Resource]]=""),0,N(Tasks[[#This Row],[Duration]])*HoursPerDay*IF(Tasks[[#This Row],[Units]]="",DefaultUnits,Tasks[[#This Row],[Units]]))</f>
        <v>0</v>
      </c>
      <c r="CO18" s="38" t="n">
        <f aca="false">IF(Tasks[[#This Row],[_LeafWork]]=0,0,Tasks[[#This Row],[_LeafWork]]*IFERROR(INDEX(res_Rate,MATCH(Tasks[[#This Row],[Resource]],res_Name,0)),0))</f>
        <v>0</v>
      </c>
      <c r="CP18" s="38" t="n">
        <f aca="false">Tasks[[#This Row],[_LeafWork]]+IF(Tasks[[#This Row],[_IsLeaf]]=1,SUMIFS(asg_Work,asg_TaskUID,Tasks[[#This Row],[UID]],asg_Valid,1),0)</f>
        <v>0</v>
      </c>
      <c r="CQ18" s="38" t="n">
        <f aca="false">Tasks[[#This Row],[_LeafCost]]+IF(Tasks[[#This Row],[_IsLeaf]]=1,SUMIFS(asg_Cost,asg_TaskUID,Tasks[[#This Row],[UID]],asg_Valid,1),0)</f>
        <v>0</v>
      </c>
      <c r="CR18" s="38" t="n">
        <f aca="false">IF(Tasks[[#This Row],[_LeafTotalCost]]=0,Tasks[[#This Row],[_LeafAC]],Tasks[[#This Row],[_LeafAC]]*Tasks[[#This Row],[_LeafCost]]/Tasks[[#This Row],[_LeafTotalCost]])</f>
        <v>0</v>
      </c>
      <c r="CS1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 s="38" t="n">
        <f aca="false">IF(NOT(Tasks[[#This Row],[_IsLeaf]]=1),0,MAX(_xlfn.MAXIFS(Tasks[_Row],Tasks[Pred1 UID],Tasks[[#This Row],[UID]]),_xlfn.MAXIFS(Tasks[_Row],Tasks[Pred2 UID],Tasks[[#This Row],[UID]]),_xlfn.MAXIFS(Tasks[_Row],Tasks[Pred3 UID],Tasks[[#This Row],[UID]]),_xlfn.MAXIFS(Tasks[_Row],Tasks[Pred4 UID],Tasks[[#This Row],[UID]])))</f>
        <v>0</v>
      </c>
      <c r="DB1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 s="115" t="str">
        <f aca="false">IF(NOT(Tasks[[#This Row],[_IsLeaf]]=1),"",IF(N(Tasks[[#This Row],[Duration]])&lt;=0,Tasks[[#This Row],[_LeafLateFinish]],WORKDAY.INTL(Tasks[[#This Row],[_LeafLateFinish]],-(Tasks[[#This Row],[Duration]]-1),WorkWeek,Holidays)))</f>
        <v/>
      </c>
      <c r="DE1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 s="114" t="b">
        <f aca="false">AND(Tasks[[#This Row],[_IsLeaf]]=1,Tasks[[#This Row],[_LeafProgress]]&lt;1,N(Tasks[[#This Row],[_LeafTotalSlack]])&lt;=CriticalSlackDays)</f>
        <v>0</v>
      </c>
      <c r="DG18" s="38" t="n">
        <f aca="false">IF(AND(Tasks[[#This Row],[_IsLeaf]]=1,Tasks[[#This Row],[_ConstraintCode]]=1,Tasks[[#This Row],[Mode]]&lt;&gt;"Manual",N(Tasks[[#This Row],[Actual Start]])=0),MAX(0,N(Tasks[[#This Row],[Free Slack]])),0)</f>
        <v>0</v>
      </c>
      <c r="DH18" s="115" t="str">
        <f aca="false">IF(NOT(Tasks[[#This Row],[_IsLeaf]]=1),"",IF(Tasks[[#This Row],[_AlapShift]]=0,Tasks[[#This Row],[_LeafCalcStart]],WORKDAY.INTL(Tasks[[#This Row],[_LeafCalcStart]],Tasks[[#This Row],[_AlapShift]],WorkWeek,Holidays)))</f>
        <v/>
      </c>
      <c r="DI18" s="115" t="str">
        <f aca="false">IF(NOT(Tasks[[#This Row],[_IsLeaf]]=1),"",IF(Tasks[[#This Row],[_AlapShift]]=0,Tasks[[#This Row],[_LeafCalcFinish]],WORKDAY.INTL(Tasks[[#This Row],[_LeafCalcFinish]],Tasks[[#This Row],[_AlapShift]],WorkWeek,Holidays)))</f>
        <v/>
      </c>
      <c r="DJ18" s="115" t="str">
        <f aca="false">IF(NOT(Tasks[[#This Row],[_IsLeaf]]=1),"",IF(Tasks[[#This Row],[_AlapShift]]=0,Tasks[[#This Row],[_LeafFcstStart]],WORKDAY.INTL(Tasks[[#This Row],[_LeafFcstStart]],Tasks[[#This Row],[_AlapShift]],WorkWeek,Holidays)))</f>
        <v/>
      </c>
      <c r="DK18" s="115" t="str">
        <f aca="false">IF(NOT(Tasks[[#This Row],[_IsLeaf]]=1),"",IF(Tasks[[#This Row],[_AlapShift]]=0,Tasks[[#This Row],[_LeafFcstFinish]],WORKDAY.INTL(Tasks[[#This Row],[_LeafFcstFinish]],Tasks[[#This Row],[_AlapShift]],WorkWeek,Holidays)))</f>
        <v/>
      </c>
      <c r="DL18" s="115" t="str">
        <f aca="false">IF(Tasks[[#This Row],[Task Name]]="","",IF(Tasks[[#This Row],[_IsSummary]],MIN(INDEX(Tasks[_ShownCalcStart],Tasks[[#This Row],[_Row]]+1):INDEX(Tasks[_ShownCalcStart],Tasks[[#This Row],[_Row]]+Tasks[[#This Row],[_Descendants]])),Tasks[[#This Row],[_ShownCalcStart]]))</f>
        <v/>
      </c>
      <c r="DM18" s="115" t="str">
        <f aca="false">IF(Tasks[[#This Row],[Task Name]]="","",IF(Tasks[[#This Row],[_IsSummary]],MAX(INDEX(Tasks[_ShownCalcFinish],Tasks[[#This Row],[_Row]]+1):INDEX(Tasks[_ShownCalcFinish],Tasks[[#This Row],[_Row]]+Tasks[[#This Row],[_Descendants]])),Tasks[[#This Row],[_ShownCalcFinish]]))</f>
        <v/>
      </c>
      <c r="DN1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 s="38" t="n">
        <f aca="false">IF(AND(Tasks[[#This Row],[_IsLeaf]]=1,Tasks[[#This Row],[_LeafTotalWork]]&gt;0),NETWORKDAYS.INTL(ProjectStart,Tasks[[#This Row],[_ShownFcstStart]],WorkWeek,Holidays),0)</f>
        <v>0</v>
      </c>
      <c r="EA18" s="38" t="n">
        <f aca="false">IF(AND(Tasks[[#This Row],[_IsLeaf]]=1,Tasks[[#This Row],[_LeafTotalWork]]&gt;0),MAX(Tasks[[#This Row],[_StartWorkday]],NETWORKDAYS.INTL(ProjectStart,Tasks[[#This Row],[_ShownFcstFinish]],WorkWeek,Holidays)),0)</f>
        <v>0</v>
      </c>
      <c r="EB18" s="38" t="n">
        <f aca="false">IF(AND(Tasks[[#This Row],[_IsLeaf]]=1,Tasks[[#This Row],[_LeafTotalWork]]&gt;0),Tasks[[#This Row],[_LeafWork]]/(Tasks[[#This Row],[_FinishWorkday]]-Tasks[[#This Row],[_StartWorkday]]+1),0)</f>
        <v>0</v>
      </c>
      <c r="EC18" s="38" t="n">
        <f aca="false">Tasks[[#This Row],[_WorkPerWorkday]]*(Tasks[[#This Row],[_StartWorkday]]-1)</f>
        <v>-0</v>
      </c>
      <c r="ED18" s="38" t="n">
        <f aca="false">IF(Tasks[[#This Row],[_IsLeaf]]=1,MAX(N(Tasks[[#This Row],[Duration]]),0.1),0)</f>
        <v>0</v>
      </c>
      <c r="EE18" s="38" t="n">
        <f aca="false">Tasks[[#This Row],[_WeightDur]]*Tasks[[#This Row],[_LeafProgress]]</f>
        <v>0</v>
      </c>
      <c r="EF1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 s="38" t="str">
        <f aca="false">IF(AND(Tasks[[#This Row],[_IsLeaf]]=1,N(Tasks[[#This Row],[Duration]])=0,Tasks[[#This Row],[_LeafProgress]]&lt;1),Tasks[[#This Row],[_ShownFcstFinish]]+Tasks[[#This Row],[_Row]]/100000,"")</f>
        <v/>
      </c>
      <c r="EH1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 s="38" t="n">
        <f aca="false">IF(NOT(Tasks[[#This Row],[_IsLeaf]]=1),0,IF(Tasks[[#This Row],[Baseline Cost]]="",Tasks[[#This Row],[_LeafTotalCost]],N(Tasks[[#This Row],[Baseline Cost]])))</f>
        <v>0</v>
      </c>
      <c r="EJ18" s="38" t="n">
        <f aca="false">Tasks[[#This Row],[_LeafBudget]]*Tasks[[#This Row],[_PlannedPct]]</f>
        <v>0</v>
      </c>
      <c r="EK18" s="38" t="n">
        <f aca="false">Tasks[[#This Row],[_LeafBudget]]*Tasks[[#This Row],[_LeafProgress]]</f>
        <v>0</v>
      </c>
      <c r="EL18" s="38" t="n">
        <f aca="false">IF(NOT(Tasks[[#This Row],[_IsLeaf]]=1),0,IF(Tasks[[#This Row],[Actual Cost]]="",Tasks[[#This Row],[_LeafTotalCost]]*Tasks[[#This Row],[_LeafProgress]],N(Tasks[[#This Row],[Actual Cost]])))</f>
        <v>0</v>
      </c>
      <c r="EM18" s="38" t="str">
        <f aca="false">IF(Tasks[[#This Row],[Task Name]]="","",LEFT(Tasks[[#This Row],[WBS]],FIND(".",Tasks[[#This Row],[WBS]]&amp;".")-1))</f>
        <v/>
      </c>
      <c r="EN18" s="38" t="str">
        <f aca="false">IF(AND(Tasks[[#This Row],[Task Name]]&lt;&gt;"",Tasks[[#This Row],[_Level]]=1),Tasks[[#This Row],[_Row]],"")</f>
        <v/>
      </c>
      <c r="EO18" s="38" t="str">
        <f aca="false">IF(AND(Tasks[[#This Row],[_IsLeaf]]=1,N(Tasks[[#This Row],[Duration]])=0),Tasks[[#This Row],[Planned Finish]]+Tasks[[#This Row],[_Row]]/100000,"")</f>
        <v/>
      </c>
      <c r="EP18" s="38" t="str">
        <f aca="false">IF(AND(Tasks[[#This Row],[_IsLeaf]]=1,Tasks[[#This Row],[_LeafProgress]]&lt;1,OR(N(Tasks[[#This Row],[Finish Var]])&gt;0,Tasks[[#This Row],[Status]]="Late Start")),MAX(0,Tasks[[#This Row],[Finish Var]])+1-Tasks[[#This Row],[_Row]]/1000000,"")</f>
        <v/>
      </c>
      <c r="EQ18" s="38" t="str">
        <f aca="false">IF(AND(Tasks[[#This Row],[_IsLeaf]]=1,N(Tasks[[#This Row],[Actual Start]])=0,Tasks[[#This Row],[_ShownFcstStart]]&gt;=StatusDate,Tasks[[#This Row],[_ShownFcstStart]]&lt;=LookaheadEnd),Tasks[[#This Row],[_ShownFcstStart]]+Tasks[[#This Row],[_Row]]/100000,"")</f>
        <v/>
      </c>
      <c r="ER18" s="38" t="str">
        <f aca="false">IF(AND(Tasks[[#This Row],[_IsLeaf]]=1,Tasks[[#This Row],[_LeafProgress]]&lt;1,Tasks[[#This Row],[_ShownFcstFinish]]&gt;=StatusDate,Tasks[[#This Row],[_ShownFcstFinish]]&lt;=LookaheadEnd),Tasks[[#This Row],[_ShownFcstFinish]]+Tasks[[#This Row],[_Row]]/100000,"")</f>
        <v/>
      </c>
      <c r="ES18" s="38" t="str">
        <f aca="false">IF(Tasks[[#This Row],[_LeafCritical]],Tasks[[#This Row],[_ShownFcstStart]]+Tasks[[#This Row],[_Row]]/100000,"")</f>
        <v/>
      </c>
      <c r="ET18" s="38" t="n">
        <f aca="false">Tasks[[#This Row],[_LeafWork]]*Tasks[[#This Row],[_LeafProgress]]</f>
        <v>0</v>
      </c>
      <c r="EU18" s="115" t="str">
        <f aca="false">IF(AND(Tasks[[#This Row],[_IsLeaf]]=1,Tasks[[#This Row],[_LeafProgress]]&gt;=1),IF(N(Tasks[[#This Row],[Actual Finish]])&gt;0,Tasks[[#This Row],[Actual Finish]],Tasks[[#This Row],[_ShownFcstFinish]]),"")</f>
        <v/>
      </c>
      <c r="EV18" s="38" t="n">
        <f aca="false">IF(Tasks[[#This Row],[_IsLeaf]]=1,N(Tasks[[#This Row],[Story Points]]),0)</f>
        <v>0</v>
      </c>
      <c r="EW18" s="38" t="str">
        <f aca="false">IF(AND(Tasks[[#This Row],[_IsLeaf]]=1,CurrentSprint&lt;&gt;"",Tasks[[#This Row],[Sprint]]=CurrentSprint),Tasks[[#This Row],[_Row]],"")</f>
        <v/>
      </c>
    </row>
    <row r="19" customFormat="false" ht="15" hidden="false" customHeight="false" outlineLevel="0" collapsed="false">
      <c r="A19" s="51" t="str">
        <f aca="false">IF(Tasks[[#This Row],[Task Name]]="","",COUNTA(Tasks[[#Headers],[Task Name]]:Tasks[[#This Row],[Task Name]])-1)</f>
        <v/>
      </c>
      <c r="B19" s="52" t="n">
        <v>14</v>
      </c>
      <c r="C1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 s="52"/>
      <c r="E19" s="53"/>
      <c r="F19" s="52"/>
      <c r="G19" s="52"/>
      <c r="H19" s="52"/>
      <c r="I19" s="52"/>
      <c r="J19" s="52"/>
      <c r="K19" s="52"/>
      <c r="L19" s="52"/>
      <c r="M19" s="52"/>
      <c r="N19" s="52"/>
      <c r="O19" s="52"/>
      <c r="P19" s="52"/>
      <c r="Q19" s="52"/>
      <c r="R19" s="52"/>
      <c r="S19" s="53"/>
      <c r="T19" s="102"/>
      <c r="U19" s="102"/>
      <c r="V19" s="7"/>
      <c r="W19" s="7"/>
      <c r="X19" s="53"/>
      <c r="Y19" s="31" t="str">
        <f aca="false">IF(Tasks[[#This Row],[Task Name]]="","",IF(Tasks[[#This Row],[_IsSummary]],MIN(INDEX(Tasks[_ShownFcstStart],Tasks[[#This Row],[_Row]]+1):INDEX(Tasks[_ShownFcstStart],Tasks[[#This Row],[_Row]]+Tasks[[#This Row],[_Descendants]])),Tasks[[#This Row],[_ShownFcstStart]]))</f>
        <v/>
      </c>
      <c r="Z19" s="31" t="str">
        <f aca="false">IF(Tasks[[#This Row],[Task Name]]="","",IF(Tasks[[#This Row],[_IsSummary]],MAX(INDEX(Tasks[_ShownFcstFinish],Tasks[[#This Row],[_Row]]+1):INDEX(Tasks[_ShownFcstFinish],Tasks[[#This Row],[_Row]]+Tasks[[#This Row],[_Descendants]])),Tasks[[#This Row],[_ShownFcstFinish]]))</f>
        <v/>
      </c>
      <c r="AA19" s="51" t="str">
        <f aca="false">IF(Tasks[[#This Row],[Task Name]]="","",IF(Tasks[[#This Row],[Progress]]&gt;=1,"Complete",IF(OR(N(Tasks[[#This Row],[Actual Start]])&gt;0,Tasks[[#This Row],[Progress]]&gt;0),IF(Tasks[[#This Row],[Finish Var]]&gt;0,"Behind","In Progress"),IF(Tasks[[#This Row],[Planned Start]]&lt;StatusDate,"Late Start","Not Started"))))</f>
        <v/>
      </c>
      <c r="AB19" s="51" t="str">
        <f aca="false">IF(Tasks[[#This Row],[Task Name]]="","",IF(IF(Tasks[[#This Row],[_IsSummary]],COUNTIF(INDEX(Tasks[_LeafCritical],Tasks[[#This Row],[_Row]]+1):INDEX(Tasks[_LeafCritical],Tasks[[#This Row],[_Row]]+Tasks[[#This Row],[_Descendants]]),TRUE())&gt;0,Tasks[[#This Row],[_LeafCritical]]),"Yes",""))</f>
        <v/>
      </c>
      <c r="AC1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 s="51" t="str">
        <f aca="false">IF(Tasks[[#This Row],[Task Name]]="","",IF(Tasks[[#This Row],[_Level]]&lt;=OutlineShowLevel,"Yes","No"))</f>
        <v/>
      </c>
      <c r="AE19" s="7"/>
      <c r="AF19" s="52"/>
      <c r="AG19" s="53"/>
      <c r="AH19" s="7"/>
      <c r="AI1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 s="31" t="str">
        <f aca="false">IF(Tasks[[#This Row],[Task Name]]="","",IF(N(Tasks[[#This Row],[Baseline Start]])&gt;0,Tasks[[#This Row],[Baseline Start]],Tasks[[#This Row],[_CalcStart]]))</f>
        <v/>
      </c>
      <c r="AK19" s="31" t="str">
        <f aca="false">IF(Tasks[[#This Row],[Task Name]]="","",IF(N(Tasks[[#This Row],[Baseline Finish]])&gt;0,Tasks[[#This Row],[Baseline Finish]],Tasks[[#This Row],[_CalcFinish]]))</f>
        <v/>
      </c>
      <c r="AL1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 s="31" t="str">
        <f aca="false">IF(Tasks[[#This Row],[Task Name]]="","",IF(Tasks[[#This Row],[_IsSummary]],MIN(INDEX(Tasks[_LeafLateStart],Tasks[[#This Row],[_Row]]+1):INDEX(Tasks[_LeafLateStart],Tasks[[#This Row],[_Row]]+Tasks[[#This Row],[_Descendants]])),Tasks[[#This Row],[_LeafLateStart]]))</f>
        <v/>
      </c>
      <c r="AN19" s="31" t="str">
        <f aca="false">IF(Tasks[[#This Row],[Task Name]]="","",IF(Tasks[[#This Row],[_IsSummary]],MAX(INDEX(Tasks[_LeafLateFinish],Tasks[[#This Row],[_Row]]+1):INDEX(Tasks[_LeafLateFinish],Tasks[[#This Row],[_Row]]+Tasks[[#This Row],[_Descendants]])),Tasks[[#This Row],[_LeafLateFinish]]))</f>
        <v/>
      </c>
      <c r="AO19" s="51" t="str">
        <f aca="false">IF(Tasks[[#This Row],[Task Name]]="","",IF(Tasks[[#This Row],[_IsSummary]],MIN(INDEX(Tasks[_LeafTotalSlack],Tasks[[#This Row],[_Row]]+1):INDEX(Tasks[_LeafTotalSlack],Tasks[[#This Row],[_Row]]+Tasks[[#This Row],[_Descendants]])),Tasks[[#This Row],[_LeafTotalSlack]]))</f>
        <v/>
      </c>
      <c r="AP1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 s="110" t="str">
        <f aca="false">IF(Tasks[[#This Row],[Task Name]]="","",IF(Tasks[[#This Row],[_IsSummary]],SUM(INDEX(Tasks[_LeafTotalWork],Tasks[[#This Row],[_Row]]+1):INDEX(Tasks[_LeafTotalWork],Tasks[[#This Row],[_Row]]+Tasks[[#This Row],[_Descendants]])),Tasks[[#This Row],[_LeafTotalWork]]))</f>
        <v/>
      </c>
      <c r="AV1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 s="111" t="str">
        <f aca="false">IF(Tasks[[#This Row],[Task Name]]="","",IF(Tasks[[#This Row],[_IsSummary]],SUM(INDEX(Tasks[_LeafTotalCost],Tasks[[#This Row],[_Row]]+1):INDEX(Tasks[_LeafTotalCost],Tasks[[#This Row],[_Row]]+Tasks[[#This Row],[_Descendants]])),Tasks[[#This Row],[_LeafTotalCost]]))</f>
        <v/>
      </c>
      <c r="AY19" s="112"/>
      <c r="AZ1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 s="52"/>
      <c r="BB19" s="98"/>
      <c r="BC19" s="51" t="str">
        <f aca="false">IF(OR(Tasks[[#This Row],[Task Name]]="",Tasks[[#This Row],[Baseline Duration]]=""),"",Tasks[[#This Row],[BL Source Duration]]-N(Tasks[[#This Row],[Baseline Duration]]))</f>
        <v/>
      </c>
      <c r="BD19" s="110" t="str">
        <f aca="false">IF(OR(Tasks[[#This Row],[Task Name]]="",Tasks[[#This Row],[Baseline Work]]=""),"",Tasks[[#This Row],[Work]]-N(Tasks[[#This Row],[Baseline Work]]))</f>
        <v/>
      </c>
      <c r="BE19" s="111" t="str">
        <f aca="false">IF(OR(Tasks[[#This Row],[Task Name]]="",Tasks[[#This Row],[Baseline Cost]]=""),"",Tasks[[#This Row],[Cost]]-N(Tasks[[#This Row],[Baseline Cost]]))</f>
        <v/>
      </c>
      <c r="BF19" s="31" t="str">
        <f aca="false">IF(Tasks[[#This Row],[Task Name]]="","",Tasks[[#This Row],[Forecast Start]])</f>
        <v/>
      </c>
      <c r="BG19" s="31" t="str">
        <f aca="false">IF(Tasks[[#This Row],[Task Name]]="","",Tasks[[#This Row],[Forecast Finish]])</f>
        <v/>
      </c>
      <c r="BH19" s="51" t="str">
        <f aca="false">IF(Tasks[[#This Row],[Task Name]]="","",IF(Tasks[[#This Row],[_IsSummary]],NETWORKDAYS.INTL(Tasks[[#This Row],[Forecast Start]],Tasks[[#This Row],[Forecast Finish]],WorkWeek,Holidays),N(Tasks[[#This Row],[Duration]])))</f>
        <v/>
      </c>
      <c r="BI19" s="110" t="str">
        <f aca="false">IF(Tasks[[#This Row],[Task Name]]="","",Tasks[[#This Row],[Work]])</f>
        <v/>
      </c>
      <c r="BJ19" s="111" t="str">
        <f aca="false">IF(Tasks[[#This Row],[Task Name]]="","",Tasks[[#This Row],[Cost]])</f>
        <v/>
      </c>
      <c r="BK19" s="7"/>
      <c r="BL19" s="7"/>
      <c r="BM19" s="52"/>
      <c r="BN19" s="113"/>
      <c r="BO19" s="112"/>
      <c r="BP19" s="111" t="str">
        <f aca="false">IF(Tasks[[#This Row],[Task Name]]="","",IF(Tasks[[#This Row],[_IsSummary]],SUM(INDEX(Tasks[_LeafEV],Tasks[[#This Row],[_Row]]+1):INDEX(Tasks[_LeafEV],Tasks[[#This Row],[_Row]]+Tasks[[#This Row],[_Descendants]])),Tasks[[#This Row],[_LeafEV]]))</f>
        <v/>
      </c>
      <c r="BQ19" s="111" t="str">
        <f aca="false">IF(Tasks[[#This Row],[Task Name]]="","",IF(Tasks[[#This Row],[_IsSummary]],SUM(INDEX(Tasks[_LeafBudget],Tasks[[#This Row],[_Row]]+1):INDEX(Tasks[_LeafBudget],Tasks[[#This Row],[_Row]]+Tasks[[#This Row],[_Descendants]])),Tasks[[#This Row],[_LeafBudget]]))</f>
        <v/>
      </c>
      <c r="BR19" s="111" t="str">
        <f aca="false">IF(Tasks[[#This Row],[Task Name]]="","",IF(Tasks[[#This Row],[_IsSummary]],SUM(INDEX(Tasks[_LeafPV],Tasks[[#This Row],[_Row]]+1):INDEX(Tasks[_LeafPV],Tasks[[#This Row],[_Row]]+Tasks[[#This Row],[_Descendants]])),Tasks[[#This Row],[_LeafPV]]))</f>
        <v/>
      </c>
      <c r="BS19" s="111" t="str">
        <f aca="false">IF(Tasks[[#This Row],[Task Name]]="","",IF(Tasks[[#This Row],[_IsSummary]],SUM(INDEX(Tasks[_LeafAC],Tasks[[#This Row],[_Row]]+1):INDEX(Tasks[_LeafAC],Tasks[[#This Row],[_Row]]+Tasks[[#This Row],[_Descendants]])),Tasks[[#This Row],[_LeafAC]]))</f>
        <v/>
      </c>
      <c r="BT19" s="38" t="str">
        <f aca="false">IF(Tasks[[#This Row],[Task Name]]="","",MAX(1,N(Tasks[[#This Row],[Level]])))</f>
        <v/>
      </c>
      <c r="BU19" s="38" t="n">
        <f aca="false">ROW()-ROW(Tasks[[#Headers],[ID]])</f>
        <v>14</v>
      </c>
      <c r="BV19" s="38" t="n">
        <f aca="false">IF(OR(Tasks[[#This Row],[Task Name]]="",Tasks[[#This Row],[_Level]]&lt;=1),0,IFERROR(LOOKUP(2,1/(Tasks[[#Headers],[_Level]]:Tasks[[#This Row],[_Level]]=Tasks[[#This Row],[_Level]]-1),ROW(Tasks[[#Headers],[_Level]]:Tasks[[#This Row],[_Level]])),0))</f>
        <v>0</v>
      </c>
      <c r="BW19" s="38" t="n">
        <f aca="false">IFERROR(N(INDEX(Tasks[_Level],Tasks[[#This Row],[_Row]]+1)),0)</f>
        <v>0</v>
      </c>
      <c r="BX19" s="114" t="b">
        <f aca="false">AND(Tasks[[#This Row],[Task Name]]&lt;&gt;"",Tasks[[#This Row],[_NextLevel]]&gt;Tasks[[#This Row],[_Level]])</f>
        <v>0</v>
      </c>
      <c r="BY19" s="38" t="n">
        <f aca="false">IF(Tasks[[#This Row],[_IsSummary]],COUNTIF(Tasks[WBS],Tasks[[#This Row],[WBS]]&amp;".*"),0)</f>
        <v>0</v>
      </c>
      <c r="BZ19" s="38" t="n">
        <f aca="false">IF(AND(Tasks[[#This Row],[Task Name]]&lt;&gt;"",NOT(Tasks[[#This Row],[_IsSummary]])),1,0)</f>
        <v>0</v>
      </c>
      <c r="CA19" s="38" t="n">
        <f aca="false">IF(N(Tasks[[#This Row],[Pred1 UID]])=0,0,IFERROR(MATCH(Tasks[[#This Row],[Pred1 UID]],Tasks[UID],0),-1))</f>
        <v>0</v>
      </c>
      <c r="CB19" s="38" t="n">
        <f aca="false">IF(N(Tasks[[#This Row],[Pred2 UID]])=0,0,IFERROR(MATCH(Tasks[[#This Row],[Pred2 UID]],Tasks[UID],0),-1))</f>
        <v>0</v>
      </c>
      <c r="CC19" s="38" t="n">
        <f aca="false">IF(N(Tasks[[#This Row],[Pred3 UID]])=0,0,IFERROR(MATCH(Tasks[[#This Row],[Pred3 UID]],Tasks[UID],0),-1))</f>
        <v>0</v>
      </c>
      <c r="CD19" s="38" t="n">
        <f aca="false">IF(N(Tasks[[#This Row],[Pred4 UID]])=0,0,IFERROR(MATCH(Tasks[[#This Row],[Pred4 UID]],Tasks[UID],0),-1))</f>
        <v>0</v>
      </c>
      <c r="CE1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 s="115" t="n">
        <f aca="false">IF(OR(Tasks[[#This Row],[_ConstraintCode]]=2,Tasks[[#This Row],[_ConstraintCode]]=3,Tasks[[#This Row],[_ConstraintCode]]=4,Tasks[[#This Row],[_ConstraintCode]]=6),Tasks[[#This Row],[_ConstraintStart]],0)</f>
        <v>0</v>
      </c>
      <c r="CH19" s="115" t="n">
        <f aca="false">IF(OR(Tasks[[#This Row],[_ConstraintCode]]=2,Tasks[[#This Row],[_ConstraintCode]]=3,Tasks[[#This Row],[_ConstraintCode]]=5,Tasks[[#This Row],[_ConstraintCode]]=7),Tasks[[#This Row],[_ConstraintStart]],2958465)</f>
        <v>2958465</v>
      </c>
      <c r="CI1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 s="115" t="str">
        <f aca="false">IF(NOT(Tasks[[#This Row],[_IsLeaf]]=1),"",IF(N(Tasks[[#This Row],[Duration]])&lt;=0,Tasks[[#This Row],[_LeafCalcStart]],WORKDAY.INTL(Tasks[[#This Row],[_LeafCalcStart]],Tasks[[#This Row],[Duration]]-1,WorkWeek,Holidays)))</f>
        <v/>
      </c>
      <c r="CK1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 s="38" t="n">
        <f aca="false">IF(NOT(Tasks[[#This Row],[_IsLeaf]]=1),0,IF(N(Tasks[[#This Row],[Actual Finish]])&gt;0,1,MIN(1,N(Tasks[[#This Row],[% Complete]]))))</f>
        <v>0</v>
      </c>
      <c r="CN19" s="38" t="n">
        <f aca="false">IF(OR(NOT(Tasks[[#This Row],[_IsLeaf]]=1),Tasks[[#This Row],[Resource]]=""),0,N(Tasks[[#This Row],[Duration]])*HoursPerDay*IF(Tasks[[#This Row],[Units]]="",DefaultUnits,Tasks[[#This Row],[Units]]))</f>
        <v>0</v>
      </c>
      <c r="CO19" s="38" t="n">
        <f aca="false">IF(Tasks[[#This Row],[_LeafWork]]=0,0,Tasks[[#This Row],[_LeafWork]]*IFERROR(INDEX(res_Rate,MATCH(Tasks[[#This Row],[Resource]],res_Name,0)),0))</f>
        <v>0</v>
      </c>
      <c r="CP19" s="38" t="n">
        <f aca="false">Tasks[[#This Row],[_LeafWork]]+IF(Tasks[[#This Row],[_IsLeaf]]=1,SUMIFS(asg_Work,asg_TaskUID,Tasks[[#This Row],[UID]],asg_Valid,1),0)</f>
        <v>0</v>
      </c>
      <c r="CQ19" s="38" t="n">
        <f aca="false">Tasks[[#This Row],[_LeafCost]]+IF(Tasks[[#This Row],[_IsLeaf]]=1,SUMIFS(asg_Cost,asg_TaskUID,Tasks[[#This Row],[UID]],asg_Valid,1),0)</f>
        <v>0</v>
      </c>
      <c r="CR19" s="38" t="n">
        <f aca="false">IF(Tasks[[#This Row],[_LeafTotalCost]]=0,Tasks[[#This Row],[_LeafAC]],Tasks[[#This Row],[_LeafAC]]*Tasks[[#This Row],[_LeafCost]]/Tasks[[#This Row],[_LeafTotalCost]])</f>
        <v>0</v>
      </c>
      <c r="CS1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 s="38" t="n">
        <f aca="false">IF(NOT(Tasks[[#This Row],[_IsLeaf]]=1),0,MAX(_xlfn.MAXIFS(Tasks[_Row],Tasks[Pred1 UID],Tasks[[#This Row],[UID]]),_xlfn.MAXIFS(Tasks[_Row],Tasks[Pred2 UID],Tasks[[#This Row],[UID]]),_xlfn.MAXIFS(Tasks[_Row],Tasks[Pred3 UID],Tasks[[#This Row],[UID]]),_xlfn.MAXIFS(Tasks[_Row],Tasks[Pred4 UID],Tasks[[#This Row],[UID]])))</f>
        <v>0</v>
      </c>
      <c r="DB1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 s="115" t="str">
        <f aca="false">IF(NOT(Tasks[[#This Row],[_IsLeaf]]=1),"",IF(N(Tasks[[#This Row],[Duration]])&lt;=0,Tasks[[#This Row],[_LeafLateFinish]],WORKDAY.INTL(Tasks[[#This Row],[_LeafLateFinish]],-(Tasks[[#This Row],[Duration]]-1),WorkWeek,Holidays)))</f>
        <v/>
      </c>
      <c r="DE1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 s="114" t="b">
        <f aca="false">AND(Tasks[[#This Row],[_IsLeaf]]=1,Tasks[[#This Row],[_LeafProgress]]&lt;1,N(Tasks[[#This Row],[_LeafTotalSlack]])&lt;=CriticalSlackDays)</f>
        <v>0</v>
      </c>
      <c r="DG19" s="38" t="n">
        <f aca="false">IF(AND(Tasks[[#This Row],[_IsLeaf]]=1,Tasks[[#This Row],[_ConstraintCode]]=1,Tasks[[#This Row],[Mode]]&lt;&gt;"Manual",N(Tasks[[#This Row],[Actual Start]])=0),MAX(0,N(Tasks[[#This Row],[Free Slack]])),0)</f>
        <v>0</v>
      </c>
      <c r="DH19" s="115" t="str">
        <f aca="false">IF(NOT(Tasks[[#This Row],[_IsLeaf]]=1),"",IF(Tasks[[#This Row],[_AlapShift]]=0,Tasks[[#This Row],[_LeafCalcStart]],WORKDAY.INTL(Tasks[[#This Row],[_LeafCalcStart]],Tasks[[#This Row],[_AlapShift]],WorkWeek,Holidays)))</f>
        <v/>
      </c>
      <c r="DI19" s="115" t="str">
        <f aca="false">IF(NOT(Tasks[[#This Row],[_IsLeaf]]=1),"",IF(Tasks[[#This Row],[_AlapShift]]=0,Tasks[[#This Row],[_LeafCalcFinish]],WORKDAY.INTL(Tasks[[#This Row],[_LeafCalcFinish]],Tasks[[#This Row],[_AlapShift]],WorkWeek,Holidays)))</f>
        <v/>
      </c>
      <c r="DJ19" s="115" t="str">
        <f aca="false">IF(NOT(Tasks[[#This Row],[_IsLeaf]]=1),"",IF(Tasks[[#This Row],[_AlapShift]]=0,Tasks[[#This Row],[_LeafFcstStart]],WORKDAY.INTL(Tasks[[#This Row],[_LeafFcstStart]],Tasks[[#This Row],[_AlapShift]],WorkWeek,Holidays)))</f>
        <v/>
      </c>
      <c r="DK19" s="115" t="str">
        <f aca="false">IF(NOT(Tasks[[#This Row],[_IsLeaf]]=1),"",IF(Tasks[[#This Row],[_AlapShift]]=0,Tasks[[#This Row],[_LeafFcstFinish]],WORKDAY.INTL(Tasks[[#This Row],[_LeafFcstFinish]],Tasks[[#This Row],[_AlapShift]],WorkWeek,Holidays)))</f>
        <v/>
      </c>
      <c r="DL19" s="115" t="str">
        <f aca="false">IF(Tasks[[#This Row],[Task Name]]="","",IF(Tasks[[#This Row],[_IsSummary]],MIN(INDEX(Tasks[_ShownCalcStart],Tasks[[#This Row],[_Row]]+1):INDEX(Tasks[_ShownCalcStart],Tasks[[#This Row],[_Row]]+Tasks[[#This Row],[_Descendants]])),Tasks[[#This Row],[_ShownCalcStart]]))</f>
        <v/>
      </c>
      <c r="DM19" s="115" t="str">
        <f aca="false">IF(Tasks[[#This Row],[Task Name]]="","",IF(Tasks[[#This Row],[_IsSummary]],MAX(INDEX(Tasks[_ShownCalcFinish],Tasks[[#This Row],[_Row]]+1):INDEX(Tasks[_ShownCalcFinish],Tasks[[#This Row],[_Row]]+Tasks[[#This Row],[_Descendants]])),Tasks[[#This Row],[_ShownCalcFinish]]))</f>
        <v/>
      </c>
      <c r="DN1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 s="38" t="n">
        <f aca="false">IF(AND(Tasks[[#This Row],[_IsLeaf]]=1,Tasks[[#This Row],[_LeafTotalWork]]&gt;0),NETWORKDAYS.INTL(ProjectStart,Tasks[[#This Row],[_ShownFcstStart]],WorkWeek,Holidays),0)</f>
        <v>0</v>
      </c>
      <c r="EA19" s="38" t="n">
        <f aca="false">IF(AND(Tasks[[#This Row],[_IsLeaf]]=1,Tasks[[#This Row],[_LeafTotalWork]]&gt;0),MAX(Tasks[[#This Row],[_StartWorkday]],NETWORKDAYS.INTL(ProjectStart,Tasks[[#This Row],[_ShownFcstFinish]],WorkWeek,Holidays)),0)</f>
        <v>0</v>
      </c>
      <c r="EB19" s="38" t="n">
        <f aca="false">IF(AND(Tasks[[#This Row],[_IsLeaf]]=1,Tasks[[#This Row],[_LeafTotalWork]]&gt;0),Tasks[[#This Row],[_LeafWork]]/(Tasks[[#This Row],[_FinishWorkday]]-Tasks[[#This Row],[_StartWorkday]]+1),0)</f>
        <v>0</v>
      </c>
      <c r="EC19" s="38" t="n">
        <f aca="false">Tasks[[#This Row],[_WorkPerWorkday]]*(Tasks[[#This Row],[_StartWorkday]]-1)</f>
        <v>-0</v>
      </c>
      <c r="ED19" s="38" t="n">
        <f aca="false">IF(Tasks[[#This Row],[_IsLeaf]]=1,MAX(N(Tasks[[#This Row],[Duration]]),0.1),0)</f>
        <v>0</v>
      </c>
      <c r="EE19" s="38" t="n">
        <f aca="false">Tasks[[#This Row],[_WeightDur]]*Tasks[[#This Row],[_LeafProgress]]</f>
        <v>0</v>
      </c>
      <c r="EF1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 s="38" t="str">
        <f aca="false">IF(AND(Tasks[[#This Row],[_IsLeaf]]=1,N(Tasks[[#This Row],[Duration]])=0,Tasks[[#This Row],[_LeafProgress]]&lt;1),Tasks[[#This Row],[_ShownFcstFinish]]+Tasks[[#This Row],[_Row]]/100000,"")</f>
        <v/>
      </c>
      <c r="EH1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 s="38" t="n">
        <f aca="false">IF(NOT(Tasks[[#This Row],[_IsLeaf]]=1),0,IF(Tasks[[#This Row],[Baseline Cost]]="",Tasks[[#This Row],[_LeafTotalCost]],N(Tasks[[#This Row],[Baseline Cost]])))</f>
        <v>0</v>
      </c>
      <c r="EJ19" s="38" t="n">
        <f aca="false">Tasks[[#This Row],[_LeafBudget]]*Tasks[[#This Row],[_PlannedPct]]</f>
        <v>0</v>
      </c>
      <c r="EK19" s="38" t="n">
        <f aca="false">Tasks[[#This Row],[_LeafBudget]]*Tasks[[#This Row],[_LeafProgress]]</f>
        <v>0</v>
      </c>
      <c r="EL19" s="38" t="n">
        <f aca="false">IF(NOT(Tasks[[#This Row],[_IsLeaf]]=1),0,IF(Tasks[[#This Row],[Actual Cost]]="",Tasks[[#This Row],[_LeafTotalCost]]*Tasks[[#This Row],[_LeafProgress]],N(Tasks[[#This Row],[Actual Cost]])))</f>
        <v>0</v>
      </c>
      <c r="EM19" s="38" t="str">
        <f aca="false">IF(Tasks[[#This Row],[Task Name]]="","",LEFT(Tasks[[#This Row],[WBS]],FIND(".",Tasks[[#This Row],[WBS]]&amp;".")-1))</f>
        <v/>
      </c>
      <c r="EN19" s="38" t="str">
        <f aca="false">IF(AND(Tasks[[#This Row],[Task Name]]&lt;&gt;"",Tasks[[#This Row],[_Level]]=1),Tasks[[#This Row],[_Row]],"")</f>
        <v/>
      </c>
      <c r="EO19" s="38" t="str">
        <f aca="false">IF(AND(Tasks[[#This Row],[_IsLeaf]]=1,N(Tasks[[#This Row],[Duration]])=0),Tasks[[#This Row],[Planned Finish]]+Tasks[[#This Row],[_Row]]/100000,"")</f>
        <v/>
      </c>
      <c r="EP19" s="38" t="str">
        <f aca="false">IF(AND(Tasks[[#This Row],[_IsLeaf]]=1,Tasks[[#This Row],[_LeafProgress]]&lt;1,OR(N(Tasks[[#This Row],[Finish Var]])&gt;0,Tasks[[#This Row],[Status]]="Late Start")),MAX(0,Tasks[[#This Row],[Finish Var]])+1-Tasks[[#This Row],[_Row]]/1000000,"")</f>
        <v/>
      </c>
      <c r="EQ19" s="38" t="str">
        <f aca="false">IF(AND(Tasks[[#This Row],[_IsLeaf]]=1,N(Tasks[[#This Row],[Actual Start]])=0,Tasks[[#This Row],[_ShownFcstStart]]&gt;=StatusDate,Tasks[[#This Row],[_ShownFcstStart]]&lt;=LookaheadEnd),Tasks[[#This Row],[_ShownFcstStart]]+Tasks[[#This Row],[_Row]]/100000,"")</f>
        <v/>
      </c>
      <c r="ER19" s="38" t="str">
        <f aca="false">IF(AND(Tasks[[#This Row],[_IsLeaf]]=1,Tasks[[#This Row],[_LeafProgress]]&lt;1,Tasks[[#This Row],[_ShownFcstFinish]]&gt;=StatusDate,Tasks[[#This Row],[_ShownFcstFinish]]&lt;=LookaheadEnd),Tasks[[#This Row],[_ShownFcstFinish]]+Tasks[[#This Row],[_Row]]/100000,"")</f>
        <v/>
      </c>
      <c r="ES19" s="38" t="str">
        <f aca="false">IF(Tasks[[#This Row],[_LeafCritical]],Tasks[[#This Row],[_ShownFcstStart]]+Tasks[[#This Row],[_Row]]/100000,"")</f>
        <v/>
      </c>
      <c r="ET19" s="38" t="n">
        <f aca="false">Tasks[[#This Row],[_LeafWork]]*Tasks[[#This Row],[_LeafProgress]]</f>
        <v>0</v>
      </c>
      <c r="EU19" s="115" t="str">
        <f aca="false">IF(AND(Tasks[[#This Row],[_IsLeaf]]=1,Tasks[[#This Row],[_LeafProgress]]&gt;=1),IF(N(Tasks[[#This Row],[Actual Finish]])&gt;0,Tasks[[#This Row],[Actual Finish]],Tasks[[#This Row],[_ShownFcstFinish]]),"")</f>
        <v/>
      </c>
      <c r="EV19" s="38" t="n">
        <f aca="false">IF(Tasks[[#This Row],[_IsLeaf]]=1,N(Tasks[[#This Row],[Story Points]]),0)</f>
        <v>0</v>
      </c>
      <c r="EW19" s="38" t="str">
        <f aca="false">IF(AND(Tasks[[#This Row],[_IsLeaf]]=1,CurrentSprint&lt;&gt;"",Tasks[[#This Row],[Sprint]]=CurrentSprint),Tasks[[#This Row],[_Row]],"")</f>
        <v/>
      </c>
    </row>
    <row r="20" customFormat="false" ht="15" hidden="false" customHeight="false" outlineLevel="0" collapsed="false">
      <c r="A20" s="51" t="str">
        <f aca="false">IF(Tasks[[#This Row],[Task Name]]="","",COUNTA(Tasks[[#Headers],[Task Name]]:Tasks[[#This Row],[Task Name]])-1)</f>
        <v/>
      </c>
      <c r="B20" s="52" t="n">
        <v>15</v>
      </c>
      <c r="C2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 s="52"/>
      <c r="E20" s="53"/>
      <c r="F20" s="52"/>
      <c r="G20" s="52"/>
      <c r="H20" s="52"/>
      <c r="I20" s="52"/>
      <c r="J20" s="52"/>
      <c r="K20" s="52"/>
      <c r="L20" s="52"/>
      <c r="M20" s="52"/>
      <c r="N20" s="52"/>
      <c r="O20" s="52"/>
      <c r="P20" s="52"/>
      <c r="Q20" s="52"/>
      <c r="R20" s="52"/>
      <c r="S20" s="53"/>
      <c r="T20" s="102"/>
      <c r="U20" s="102"/>
      <c r="V20" s="7"/>
      <c r="W20" s="7"/>
      <c r="X20" s="53"/>
      <c r="Y20" s="31" t="str">
        <f aca="false">IF(Tasks[[#This Row],[Task Name]]="","",IF(Tasks[[#This Row],[_IsSummary]],MIN(INDEX(Tasks[_ShownFcstStart],Tasks[[#This Row],[_Row]]+1):INDEX(Tasks[_ShownFcstStart],Tasks[[#This Row],[_Row]]+Tasks[[#This Row],[_Descendants]])),Tasks[[#This Row],[_ShownFcstStart]]))</f>
        <v/>
      </c>
      <c r="Z20" s="31" t="str">
        <f aca="false">IF(Tasks[[#This Row],[Task Name]]="","",IF(Tasks[[#This Row],[_IsSummary]],MAX(INDEX(Tasks[_ShownFcstFinish],Tasks[[#This Row],[_Row]]+1):INDEX(Tasks[_ShownFcstFinish],Tasks[[#This Row],[_Row]]+Tasks[[#This Row],[_Descendants]])),Tasks[[#This Row],[_ShownFcstFinish]]))</f>
        <v/>
      </c>
      <c r="AA20" s="51" t="str">
        <f aca="false">IF(Tasks[[#This Row],[Task Name]]="","",IF(Tasks[[#This Row],[Progress]]&gt;=1,"Complete",IF(OR(N(Tasks[[#This Row],[Actual Start]])&gt;0,Tasks[[#This Row],[Progress]]&gt;0),IF(Tasks[[#This Row],[Finish Var]]&gt;0,"Behind","In Progress"),IF(Tasks[[#This Row],[Planned Start]]&lt;StatusDate,"Late Start","Not Started"))))</f>
        <v/>
      </c>
      <c r="AB20" s="51" t="str">
        <f aca="false">IF(Tasks[[#This Row],[Task Name]]="","",IF(IF(Tasks[[#This Row],[_IsSummary]],COUNTIF(INDEX(Tasks[_LeafCritical],Tasks[[#This Row],[_Row]]+1):INDEX(Tasks[_LeafCritical],Tasks[[#This Row],[_Row]]+Tasks[[#This Row],[_Descendants]]),TRUE())&gt;0,Tasks[[#This Row],[_LeafCritical]]),"Yes",""))</f>
        <v/>
      </c>
      <c r="AC2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 s="51" t="str">
        <f aca="false">IF(Tasks[[#This Row],[Task Name]]="","",IF(Tasks[[#This Row],[_Level]]&lt;=OutlineShowLevel,"Yes","No"))</f>
        <v/>
      </c>
      <c r="AE20" s="7"/>
      <c r="AF20" s="52"/>
      <c r="AG20" s="53"/>
      <c r="AH20" s="7"/>
      <c r="AI2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 s="31" t="str">
        <f aca="false">IF(Tasks[[#This Row],[Task Name]]="","",IF(N(Tasks[[#This Row],[Baseline Start]])&gt;0,Tasks[[#This Row],[Baseline Start]],Tasks[[#This Row],[_CalcStart]]))</f>
        <v/>
      </c>
      <c r="AK20" s="31" t="str">
        <f aca="false">IF(Tasks[[#This Row],[Task Name]]="","",IF(N(Tasks[[#This Row],[Baseline Finish]])&gt;0,Tasks[[#This Row],[Baseline Finish]],Tasks[[#This Row],[_CalcFinish]]))</f>
        <v/>
      </c>
      <c r="AL2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 s="31" t="str">
        <f aca="false">IF(Tasks[[#This Row],[Task Name]]="","",IF(Tasks[[#This Row],[_IsSummary]],MIN(INDEX(Tasks[_LeafLateStart],Tasks[[#This Row],[_Row]]+1):INDEX(Tasks[_LeafLateStart],Tasks[[#This Row],[_Row]]+Tasks[[#This Row],[_Descendants]])),Tasks[[#This Row],[_LeafLateStart]]))</f>
        <v/>
      </c>
      <c r="AN20" s="31" t="str">
        <f aca="false">IF(Tasks[[#This Row],[Task Name]]="","",IF(Tasks[[#This Row],[_IsSummary]],MAX(INDEX(Tasks[_LeafLateFinish],Tasks[[#This Row],[_Row]]+1):INDEX(Tasks[_LeafLateFinish],Tasks[[#This Row],[_Row]]+Tasks[[#This Row],[_Descendants]])),Tasks[[#This Row],[_LeafLateFinish]]))</f>
        <v/>
      </c>
      <c r="AO20" s="51" t="str">
        <f aca="false">IF(Tasks[[#This Row],[Task Name]]="","",IF(Tasks[[#This Row],[_IsSummary]],MIN(INDEX(Tasks[_LeafTotalSlack],Tasks[[#This Row],[_Row]]+1):INDEX(Tasks[_LeafTotalSlack],Tasks[[#This Row],[_Row]]+Tasks[[#This Row],[_Descendants]])),Tasks[[#This Row],[_LeafTotalSlack]]))</f>
        <v/>
      </c>
      <c r="AP2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 s="110" t="str">
        <f aca="false">IF(Tasks[[#This Row],[Task Name]]="","",IF(Tasks[[#This Row],[_IsSummary]],SUM(INDEX(Tasks[_LeafTotalWork],Tasks[[#This Row],[_Row]]+1):INDEX(Tasks[_LeafTotalWork],Tasks[[#This Row],[_Row]]+Tasks[[#This Row],[_Descendants]])),Tasks[[#This Row],[_LeafTotalWork]]))</f>
        <v/>
      </c>
      <c r="AV2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 s="111" t="str">
        <f aca="false">IF(Tasks[[#This Row],[Task Name]]="","",IF(Tasks[[#This Row],[_IsSummary]],SUM(INDEX(Tasks[_LeafTotalCost],Tasks[[#This Row],[_Row]]+1):INDEX(Tasks[_LeafTotalCost],Tasks[[#This Row],[_Row]]+Tasks[[#This Row],[_Descendants]])),Tasks[[#This Row],[_LeafTotalCost]]))</f>
        <v/>
      </c>
      <c r="AY20" s="112"/>
      <c r="AZ2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 s="52"/>
      <c r="BB20" s="98"/>
      <c r="BC20" s="51" t="str">
        <f aca="false">IF(OR(Tasks[[#This Row],[Task Name]]="",Tasks[[#This Row],[Baseline Duration]]=""),"",Tasks[[#This Row],[BL Source Duration]]-N(Tasks[[#This Row],[Baseline Duration]]))</f>
        <v/>
      </c>
      <c r="BD20" s="110" t="str">
        <f aca="false">IF(OR(Tasks[[#This Row],[Task Name]]="",Tasks[[#This Row],[Baseline Work]]=""),"",Tasks[[#This Row],[Work]]-N(Tasks[[#This Row],[Baseline Work]]))</f>
        <v/>
      </c>
      <c r="BE20" s="111" t="str">
        <f aca="false">IF(OR(Tasks[[#This Row],[Task Name]]="",Tasks[[#This Row],[Baseline Cost]]=""),"",Tasks[[#This Row],[Cost]]-N(Tasks[[#This Row],[Baseline Cost]]))</f>
        <v/>
      </c>
      <c r="BF20" s="31" t="str">
        <f aca="false">IF(Tasks[[#This Row],[Task Name]]="","",Tasks[[#This Row],[Forecast Start]])</f>
        <v/>
      </c>
      <c r="BG20" s="31" t="str">
        <f aca="false">IF(Tasks[[#This Row],[Task Name]]="","",Tasks[[#This Row],[Forecast Finish]])</f>
        <v/>
      </c>
      <c r="BH20" s="51" t="str">
        <f aca="false">IF(Tasks[[#This Row],[Task Name]]="","",IF(Tasks[[#This Row],[_IsSummary]],NETWORKDAYS.INTL(Tasks[[#This Row],[Forecast Start]],Tasks[[#This Row],[Forecast Finish]],WorkWeek,Holidays),N(Tasks[[#This Row],[Duration]])))</f>
        <v/>
      </c>
      <c r="BI20" s="110" t="str">
        <f aca="false">IF(Tasks[[#This Row],[Task Name]]="","",Tasks[[#This Row],[Work]])</f>
        <v/>
      </c>
      <c r="BJ20" s="111" t="str">
        <f aca="false">IF(Tasks[[#This Row],[Task Name]]="","",Tasks[[#This Row],[Cost]])</f>
        <v/>
      </c>
      <c r="BK20" s="7"/>
      <c r="BL20" s="7"/>
      <c r="BM20" s="52"/>
      <c r="BN20" s="113"/>
      <c r="BO20" s="112"/>
      <c r="BP20" s="111" t="str">
        <f aca="false">IF(Tasks[[#This Row],[Task Name]]="","",IF(Tasks[[#This Row],[_IsSummary]],SUM(INDEX(Tasks[_LeafEV],Tasks[[#This Row],[_Row]]+1):INDEX(Tasks[_LeafEV],Tasks[[#This Row],[_Row]]+Tasks[[#This Row],[_Descendants]])),Tasks[[#This Row],[_LeafEV]]))</f>
        <v/>
      </c>
      <c r="BQ20" s="111" t="str">
        <f aca="false">IF(Tasks[[#This Row],[Task Name]]="","",IF(Tasks[[#This Row],[_IsSummary]],SUM(INDEX(Tasks[_LeafBudget],Tasks[[#This Row],[_Row]]+1):INDEX(Tasks[_LeafBudget],Tasks[[#This Row],[_Row]]+Tasks[[#This Row],[_Descendants]])),Tasks[[#This Row],[_LeafBudget]]))</f>
        <v/>
      </c>
      <c r="BR20" s="111" t="str">
        <f aca="false">IF(Tasks[[#This Row],[Task Name]]="","",IF(Tasks[[#This Row],[_IsSummary]],SUM(INDEX(Tasks[_LeafPV],Tasks[[#This Row],[_Row]]+1):INDEX(Tasks[_LeafPV],Tasks[[#This Row],[_Row]]+Tasks[[#This Row],[_Descendants]])),Tasks[[#This Row],[_LeafPV]]))</f>
        <v/>
      </c>
      <c r="BS20" s="111" t="str">
        <f aca="false">IF(Tasks[[#This Row],[Task Name]]="","",IF(Tasks[[#This Row],[_IsSummary]],SUM(INDEX(Tasks[_LeafAC],Tasks[[#This Row],[_Row]]+1):INDEX(Tasks[_LeafAC],Tasks[[#This Row],[_Row]]+Tasks[[#This Row],[_Descendants]])),Tasks[[#This Row],[_LeafAC]]))</f>
        <v/>
      </c>
      <c r="BT20" s="38" t="str">
        <f aca="false">IF(Tasks[[#This Row],[Task Name]]="","",MAX(1,N(Tasks[[#This Row],[Level]])))</f>
        <v/>
      </c>
      <c r="BU20" s="38" t="n">
        <f aca="false">ROW()-ROW(Tasks[[#Headers],[ID]])</f>
        <v>15</v>
      </c>
      <c r="BV20" s="38" t="n">
        <f aca="false">IF(OR(Tasks[[#This Row],[Task Name]]="",Tasks[[#This Row],[_Level]]&lt;=1),0,IFERROR(LOOKUP(2,1/(Tasks[[#Headers],[_Level]]:Tasks[[#This Row],[_Level]]=Tasks[[#This Row],[_Level]]-1),ROW(Tasks[[#Headers],[_Level]]:Tasks[[#This Row],[_Level]])),0))</f>
        <v>0</v>
      </c>
      <c r="BW20" s="38" t="n">
        <f aca="false">IFERROR(N(INDEX(Tasks[_Level],Tasks[[#This Row],[_Row]]+1)),0)</f>
        <v>0</v>
      </c>
      <c r="BX20" s="114" t="b">
        <f aca="false">AND(Tasks[[#This Row],[Task Name]]&lt;&gt;"",Tasks[[#This Row],[_NextLevel]]&gt;Tasks[[#This Row],[_Level]])</f>
        <v>0</v>
      </c>
      <c r="BY20" s="38" t="n">
        <f aca="false">IF(Tasks[[#This Row],[_IsSummary]],COUNTIF(Tasks[WBS],Tasks[[#This Row],[WBS]]&amp;".*"),0)</f>
        <v>0</v>
      </c>
      <c r="BZ20" s="38" t="n">
        <f aca="false">IF(AND(Tasks[[#This Row],[Task Name]]&lt;&gt;"",NOT(Tasks[[#This Row],[_IsSummary]])),1,0)</f>
        <v>0</v>
      </c>
      <c r="CA20" s="38" t="n">
        <f aca="false">IF(N(Tasks[[#This Row],[Pred1 UID]])=0,0,IFERROR(MATCH(Tasks[[#This Row],[Pred1 UID]],Tasks[UID],0),-1))</f>
        <v>0</v>
      </c>
      <c r="CB20" s="38" t="n">
        <f aca="false">IF(N(Tasks[[#This Row],[Pred2 UID]])=0,0,IFERROR(MATCH(Tasks[[#This Row],[Pred2 UID]],Tasks[UID],0),-1))</f>
        <v>0</v>
      </c>
      <c r="CC20" s="38" t="n">
        <f aca="false">IF(N(Tasks[[#This Row],[Pred3 UID]])=0,0,IFERROR(MATCH(Tasks[[#This Row],[Pred3 UID]],Tasks[UID],0),-1))</f>
        <v>0</v>
      </c>
      <c r="CD20" s="38" t="n">
        <f aca="false">IF(N(Tasks[[#This Row],[Pred4 UID]])=0,0,IFERROR(MATCH(Tasks[[#This Row],[Pred4 UID]],Tasks[UID],0),-1))</f>
        <v>0</v>
      </c>
      <c r="CE2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 s="115" t="n">
        <f aca="false">IF(OR(Tasks[[#This Row],[_ConstraintCode]]=2,Tasks[[#This Row],[_ConstraintCode]]=3,Tasks[[#This Row],[_ConstraintCode]]=4,Tasks[[#This Row],[_ConstraintCode]]=6),Tasks[[#This Row],[_ConstraintStart]],0)</f>
        <v>0</v>
      </c>
      <c r="CH20" s="115" t="n">
        <f aca="false">IF(OR(Tasks[[#This Row],[_ConstraintCode]]=2,Tasks[[#This Row],[_ConstraintCode]]=3,Tasks[[#This Row],[_ConstraintCode]]=5,Tasks[[#This Row],[_ConstraintCode]]=7),Tasks[[#This Row],[_ConstraintStart]],2958465)</f>
        <v>2958465</v>
      </c>
      <c r="CI2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 s="115" t="str">
        <f aca="false">IF(NOT(Tasks[[#This Row],[_IsLeaf]]=1),"",IF(N(Tasks[[#This Row],[Duration]])&lt;=0,Tasks[[#This Row],[_LeafCalcStart]],WORKDAY.INTL(Tasks[[#This Row],[_LeafCalcStart]],Tasks[[#This Row],[Duration]]-1,WorkWeek,Holidays)))</f>
        <v/>
      </c>
      <c r="CK2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 s="38" t="n">
        <f aca="false">IF(NOT(Tasks[[#This Row],[_IsLeaf]]=1),0,IF(N(Tasks[[#This Row],[Actual Finish]])&gt;0,1,MIN(1,N(Tasks[[#This Row],[% Complete]]))))</f>
        <v>0</v>
      </c>
      <c r="CN20" s="38" t="n">
        <f aca="false">IF(OR(NOT(Tasks[[#This Row],[_IsLeaf]]=1),Tasks[[#This Row],[Resource]]=""),0,N(Tasks[[#This Row],[Duration]])*HoursPerDay*IF(Tasks[[#This Row],[Units]]="",DefaultUnits,Tasks[[#This Row],[Units]]))</f>
        <v>0</v>
      </c>
      <c r="CO20" s="38" t="n">
        <f aca="false">IF(Tasks[[#This Row],[_LeafWork]]=0,0,Tasks[[#This Row],[_LeafWork]]*IFERROR(INDEX(res_Rate,MATCH(Tasks[[#This Row],[Resource]],res_Name,0)),0))</f>
        <v>0</v>
      </c>
      <c r="CP20" s="38" t="n">
        <f aca="false">Tasks[[#This Row],[_LeafWork]]+IF(Tasks[[#This Row],[_IsLeaf]]=1,SUMIFS(asg_Work,asg_TaskUID,Tasks[[#This Row],[UID]],asg_Valid,1),0)</f>
        <v>0</v>
      </c>
      <c r="CQ20" s="38" t="n">
        <f aca="false">Tasks[[#This Row],[_LeafCost]]+IF(Tasks[[#This Row],[_IsLeaf]]=1,SUMIFS(asg_Cost,asg_TaskUID,Tasks[[#This Row],[UID]],asg_Valid,1),0)</f>
        <v>0</v>
      </c>
      <c r="CR20" s="38" t="n">
        <f aca="false">IF(Tasks[[#This Row],[_LeafTotalCost]]=0,Tasks[[#This Row],[_LeafAC]],Tasks[[#This Row],[_LeafAC]]*Tasks[[#This Row],[_LeafCost]]/Tasks[[#This Row],[_LeafTotalCost]])</f>
        <v>0</v>
      </c>
      <c r="CS2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 s="38" t="n">
        <f aca="false">IF(NOT(Tasks[[#This Row],[_IsLeaf]]=1),0,MAX(_xlfn.MAXIFS(Tasks[_Row],Tasks[Pred1 UID],Tasks[[#This Row],[UID]]),_xlfn.MAXIFS(Tasks[_Row],Tasks[Pred2 UID],Tasks[[#This Row],[UID]]),_xlfn.MAXIFS(Tasks[_Row],Tasks[Pred3 UID],Tasks[[#This Row],[UID]]),_xlfn.MAXIFS(Tasks[_Row],Tasks[Pred4 UID],Tasks[[#This Row],[UID]])))</f>
        <v>0</v>
      </c>
      <c r="DB2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 s="115" t="str">
        <f aca="false">IF(NOT(Tasks[[#This Row],[_IsLeaf]]=1),"",IF(N(Tasks[[#This Row],[Duration]])&lt;=0,Tasks[[#This Row],[_LeafLateFinish]],WORKDAY.INTL(Tasks[[#This Row],[_LeafLateFinish]],-(Tasks[[#This Row],[Duration]]-1),WorkWeek,Holidays)))</f>
        <v/>
      </c>
      <c r="DE2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 s="114" t="b">
        <f aca="false">AND(Tasks[[#This Row],[_IsLeaf]]=1,Tasks[[#This Row],[_LeafProgress]]&lt;1,N(Tasks[[#This Row],[_LeafTotalSlack]])&lt;=CriticalSlackDays)</f>
        <v>0</v>
      </c>
      <c r="DG20" s="38" t="n">
        <f aca="false">IF(AND(Tasks[[#This Row],[_IsLeaf]]=1,Tasks[[#This Row],[_ConstraintCode]]=1,Tasks[[#This Row],[Mode]]&lt;&gt;"Manual",N(Tasks[[#This Row],[Actual Start]])=0),MAX(0,N(Tasks[[#This Row],[Free Slack]])),0)</f>
        <v>0</v>
      </c>
      <c r="DH20" s="115" t="str">
        <f aca="false">IF(NOT(Tasks[[#This Row],[_IsLeaf]]=1),"",IF(Tasks[[#This Row],[_AlapShift]]=0,Tasks[[#This Row],[_LeafCalcStart]],WORKDAY.INTL(Tasks[[#This Row],[_LeafCalcStart]],Tasks[[#This Row],[_AlapShift]],WorkWeek,Holidays)))</f>
        <v/>
      </c>
      <c r="DI20" s="115" t="str">
        <f aca="false">IF(NOT(Tasks[[#This Row],[_IsLeaf]]=1),"",IF(Tasks[[#This Row],[_AlapShift]]=0,Tasks[[#This Row],[_LeafCalcFinish]],WORKDAY.INTL(Tasks[[#This Row],[_LeafCalcFinish]],Tasks[[#This Row],[_AlapShift]],WorkWeek,Holidays)))</f>
        <v/>
      </c>
      <c r="DJ20" s="115" t="str">
        <f aca="false">IF(NOT(Tasks[[#This Row],[_IsLeaf]]=1),"",IF(Tasks[[#This Row],[_AlapShift]]=0,Tasks[[#This Row],[_LeafFcstStart]],WORKDAY.INTL(Tasks[[#This Row],[_LeafFcstStart]],Tasks[[#This Row],[_AlapShift]],WorkWeek,Holidays)))</f>
        <v/>
      </c>
      <c r="DK20" s="115" t="str">
        <f aca="false">IF(NOT(Tasks[[#This Row],[_IsLeaf]]=1),"",IF(Tasks[[#This Row],[_AlapShift]]=0,Tasks[[#This Row],[_LeafFcstFinish]],WORKDAY.INTL(Tasks[[#This Row],[_LeafFcstFinish]],Tasks[[#This Row],[_AlapShift]],WorkWeek,Holidays)))</f>
        <v/>
      </c>
      <c r="DL20" s="115" t="str">
        <f aca="false">IF(Tasks[[#This Row],[Task Name]]="","",IF(Tasks[[#This Row],[_IsSummary]],MIN(INDEX(Tasks[_ShownCalcStart],Tasks[[#This Row],[_Row]]+1):INDEX(Tasks[_ShownCalcStart],Tasks[[#This Row],[_Row]]+Tasks[[#This Row],[_Descendants]])),Tasks[[#This Row],[_ShownCalcStart]]))</f>
        <v/>
      </c>
      <c r="DM20" s="115" t="str">
        <f aca="false">IF(Tasks[[#This Row],[Task Name]]="","",IF(Tasks[[#This Row],[_IsSummary]],MAX(INDEX(Tasks[_ShownCalcFinish],Tasks[[#This Row],[_Row]]+1):INDEX(Tasks[_ShownCalcFinish],Tasks[[#This Row],[_Row]]+Tasks[[#This Row],[_Descendants]])),Tasks[[#This Row],[_ShownCalcFinish]]))</f>
        <v/>
      </c>
      <c r="DN2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 s="38" t="n">
        <f aca="false">IF(AND(Tasks[[#This Row],[_IsLeaf]]=1,Tasks[[#This Row],[_LeafTotalWork]]&gt;0),NETWORKDAYS.INTL(ProjectStart,Tasks[[#This Row],[_ShownFcstStart]],WorkWeek,Holidays),0)</f>
        <v>0</v>
      </c>
      <c r="EA20" s="38" t="n">
        <f aca="false">IF(AND(Tasks[[#This Row],[_IsLeaf]]=1,Tasks[[#This Row],[_LeafTotalWork]]&gt;0),MAX(Tasks[[#This Row],[_StartWorkday]],NETWORKDAYS.INTL(ProjectStart,Tasks[[#This Row],[_ShownFcstFinish]],WorkWeek,Holidays)),0)</f>
        <v>0</v>
      </c>
      <c r="EB20" s="38" t="n">
        <f aca="false">IF(AND(Tasks[[#This Row],[_IsLeaf]]=1,Tasks[[#This Row],[_LeafTotalWork]]&gt;0),Tasks[[#This Row],[_LeafWork]]/(Tasks[[#This Row],[_FinishWorkday]]-Tasks[[#This Row],[_StartWorkday]]+1),0)</f>
        <v>0</v>
      </c>
      <c r="EC20" s="38" t="n">
        <f aca="false">Tasks[[#This Row],[_WorkPerWorkday]]*(Tasks[[#This Row],[_StartWorkday]]-1)</f>
        <v>-0</v>
      </c>
      <c r="ED20" s="38" t="n">
        <f aca="false">IF(Tasks[[#This Row],[_IsLeaf]]=1,MAX(N(Tasks[[#This Row],[Duration]]),0.1),0)</f>
        <v>0</v>
      </c>
      <c r="EE20" s="38" t="n">
        <f aca="false">Tasks[[#This Row],[_WeightDur]]*Tasks[[#This Row],[_LeafProgress]]</f>
        <v>0</v>
      </c>
      <c r="EF2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 s="38" t="str">
        <f aca="false">IF(AND(Tasks[[#This Row],[_IsLeaf]]=1,N(Tasks[[#This Row],[Duration]])=0,Tasks[[#This Row],[_LeafProgress]]&lt;1),Tasks[[#This Row],[_ShownFcstFinish]]+Tasks[[#This Row],[_Row]]/100000,"")</f>
        <v/>
      </c>
      <c r="EH2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 s="38" t="n">
        <f aca="false">IF(NOT(Tasks[[#This Row],[_IsLeaf]]=1),0,IF(Tasks[[#This Row],[Baseline Cost]]="",Tasks[[#This Row],[_LeafTotalCost]],N(Tasks[[#This Row],[Baseline Cost]])))</f>
        <v>0</v>
      </c>
      <c r="EJ20" s="38" t="n">
        <f aca="false">Tasks[[#This Row],[_LeafBudget]]*Tasks[[#This Row],[_PlannedPct]]</f>
        <v>0</v>
      </c>
      <c r="EK20" s="38" t="n">
        <f aca="false">Tasks[[#This Row],[_LeafBudget]]*Tasks[[#This Row],[_LeafProgress]]</f>
        <v>0</v>
      </c>
      <c r="EL20" s="38" t="n">
        <f aca="false">IF(NOT(Tasks[[#This Row],[_IsLeaf]]=1),0,IF(Tasks[[#This Row],[Actual Cost]]="",Tasks[[#This Row],[_LeafTotalCost]]*Tasks[[#This Row],[_LeafProgress]],N(Tasks[[#This Row],[Actual Cost]])))</f>
        <v>0</v>
      </c>
      <c r="EM20" s="38" t="str">
        <f aca="false">IF(Tasks[[#This Row],[Task Name]]="","",LEFT(Tasks[[#This Row],[WBS]],FIND(".",Tasks[[#This Row],[WBS]]&amp;".")-1))</f>
        <v/>
      </c>
      <c r="EN20" s="38" t="str">
        <f aca="false">IF(AND(Tasks[[#This Row],[Task Name]]&lt;&gt;"",Tasks[[#This Row],[_Level]]=1),Tasks[[#This Row],[_Row]],"")</f>
        <v/>
      </c>
      <c r="EO20" s="38" t="str">
        <f aca="false">IF(AND(Tasks[[#This Row],[_IsLeaf]]=1,N(Tasks[[#This Row],[Duration]])=0),Tasks[[#This Row],[Planned Finish]]+Tasks[[#This Row],[_Row]]/100000,"")</f>
        <v/>
      </c>
      <c r="EP20" s="38" t="str">
        <f aca="false">IF(AND(Tasks[[#This Row],[_IsLeaf]]=1,Tasks[[#This Row],[_LeafProgress]]&lt;1,OR(N(Tasks[[#This Row],[Finish Var]])&gt;0,Tasks[[#This Row],[Status]]="Late Start")),MAX(0,Tasks[[#This Row],[Finish Var]])+1-Tasks[[#This Row],[_Row]]/1000000,"")</f>
        <v/>
      </c>
      <c r="EQ20" s="38" t="str">
        <f aca="false">IF(AND(Tasks[[#This Row],[_IsLeaf]]=1,N(Tasks[[#This Row],[Actual Start]])=0,Tasks[[#This Row],[_ShownFcstStart]]&gt;=StatusDate,Tasks[[#This Row],[_ShownFcstStart]]&lt;=LookaheadEnd),Tasks[[#This Row],[_ShownFcstStart]]+Tasks[[#This Row],[_Row]]/100000,"")</f>
        <v/>
      </c>
      <c r="ER20" s="38" t="str">
        <f aca="false">IF(AND(Tasks[[#This Row],[_IsLeaf]]=1,Tasks[[#This Row],[_LeafProgress]]&lt;1,Tasks[[#This Row],[_ShownFcstFinish]]&gt;=StatusDate,Tasks[[#This Row],[_ShownFcstFinish]]&lt;=LookaheadEnd),Tasks[[#This Row],[_ShownFcstFinish]]+Tasks[[#This Row],[_Row]]/100000,"")</f>
        <v/>
      </c>
      <c r="ES20" s="38" t="str">
        <f aca="false">IF(Tasks[[#This Row],[_LeafCritical]],Tasks[[#This Row],[_ShownFcstStart]]+Tasks[[#This Row],[_Row]]/100000,"")</f>
        <v/>
      </c>
      <c r="ET20" s="38" t="n">
        <f aca="false">Tasks[[#This Row],[_LeafWork]]*Tasks[[#This Row],[_LeafProgress]]</f>
        <v>0</v>
      </c>
      <c r="EU20" s="115" t="str">
        <f aca="false">IF(AND(Tasks[[#This Row],[_IsLeaf]]=1,Tasks[[#This Row],[_LeafProgress]]&gt;=1),IF(N(Tasks[[#This Row],[Actual Finish]])&gt;0,Tasks[[#This Row],[Actual Finish]],Tasks[[#This Row],[_ShownFcstFinish]]),"")</f>
        <v/>
      </c>
      <c r="EV20" s="38" t="n">
        <f aca="false">IF(Tasks[[#This Row],[_IsLeaf]]=1,N(Tasks[[#This Row],[Story Points]]),0)</f>
        <v>0</v>
      </c>
      <c r="EW20" s="38" t="str">
        <f aca="false">IF(AND(Tasks[[#This Row],[_IsLeaf]]=1,CurrentSprint&lt;&gt;"",Tasks[[#This Row],[Sprint]]=CurrentSprint),Tasks[[#This Row],[_Row]],"")</f>
        <v/>
      </c>
    </row>
    <row r="21" customFormat="false" ht="15" hidden="false" customHeight="false" outlineLevel="0" collapsed="false">
      <c r="A21" s="51" t="str">
        <f aca="false">IF(Tasks[[#This Row],[Task Name]]="","",COUNTA(Tasks[[#Headers],[Task Name]]:Tasks[[#This Row],[Task Name]])-1)</f>
        <v/>
      </c>
      <c r="B21" s="52" t="n">
        <v>16</v>
      </c>
      <c r="C2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1" s="52"/>
      <c r="E21" s="53"/>
      <c r="F21" s="52"/>
      <c r="G21" s="52"/>
      <c r="H21" s="52"/>
      <c r="I21" s="52"/>
      <c r="J21" s="52"/>
      <c r="K21" s="52"/>
      <c r="L21" s="52"/>
      <c r="M21" s="52"/>
      <c r="N21" s="52"/>
      <c r="O21" s="52"/>
      <c r="P21" s="52"/>
      <c r="Q21" s="52"/>
      <c r="R21" s="52"/>
      <c r="S21" s="53"/>
      <c r="T21" s="102"/>
      <c r="U21" s="102"/>
      <c r="V21" s="7"/>
      <c r="W21" s="7"/>
      <c r="X21" s="53"/>
      <c r="Y21" s="31" t="str">
        <f aca="false">IF(Tasks[[#This Row],[Task Name]]="","",IF(Tasks[[#This Row],[_IsSummary]],MIN(INDEX(Tasks[_ShownFcstStart],Tasks[[#This Row],[_Row]]+1):INDEX(Tasks[_ShownFcstStart],Tasks[[#This Row],[_Row]]+Tasks[[#This Row],[_Descendants]])),Tasks[[#This Row],[_ShownFcstStart]]))</f>
        <v/>
      </c>
      <c r="Z21" s="31" t="str">
        <f aca="false">IF(Tasks[[#This Row],[Task Name]]="","",IF(Tasks[[#This Row],[_IsSummary]],MAX(INDEX(Tasks[_ShownFcstFinish],Tasks[[#This Row],[_Row]]+1):INDEX(Tasks[_ShownFcstFinish],Tasks[[#This Row],[_Row]]+Tasks[[#This Row],[_Descendants]])),Tasks[[#This Row],[_ShownFcstFinish]]))</f>
        <v/>
      </c>
      <c r="AA21" s="51" t="str">
        <f aca="false">IF(Tasks[[#This Row],[Task Name]]="","",IF(Tasks[[#This Row],[Progress]]&gt;=1,"Complete",IF(OR(N(Tasks[[#This Row],[Actual Start]])&gt;0,Tasks[[#This Row],[Progress]]&gt;0),IF(Tasks[[#This Row],[Finish Var]]&gt;0,"Behind","In Progress"),IF(Tasks[[#This Row],[Planned Start]]&lt;StatusDate,"Late Start","Not Started"))))</f>
        <v/>
      </c>
      <c r="AB21" s="51" t="str">
        <f aca="false">IF(Tasks[[#This Row],[Task Name]]="","",IF(IF(Tasks[[#This Row],[_IsSummary]],COUNTIF(INDEX(Tasks[_LeafCritical],Tasks[[#This Row],[_Row]]+1):INDEX(Tasks[_LeafCritical],Tasks[[#This Row],[_Row]]+Tasks[[#This Row],[_Descendants]]),TRUE())&gt;0,Tasks[[#This Row],[_LeafCritical]]),"Yes",""))</f>
        <v/>
      </c>
      <c r="AC2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1" s="51" t="str">
        <f aca="false">IF(Tasks[[#This Row],[Task Name]]="","",IF(Tasks[[#This Row],[_Level]]&lt;=OutlineShowLevel,"Yes","No"))</f>
        <v/>
      </c>
      <c r="AE21" s="7"/>
      <c r="AF21" s="52"/>
      <c r="AG21" s="53"/>
      <c r="AH21" s="7"/>
      <c r="AI2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1" s="31" t="str">
        <f aca="false">IF(Tasks[[#This Row],[Task Name]]="","",IF(N(Tasks[[#This Row],[Baseline Start]])&gt;0,Tasks[[#This Row],[Baseline Start]],Tasks[[#This Row],[_CalcStart]]))</f>
        <v/>
      </c>
      <c r="AK21" s="31" t="str">
        <f aca="false">IF(Tasks[[#This Row],[Task Name]]="","",IF(N(Tasks[[#This Row],[Baseline Finish]])&gt;0,Tasks[[#This Row],[Baseline Finish]],Tasks[[#This Row],[_CalcFinish]]))</f>
        <v/>
      </c>
      <c r="AL2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1" s="31" t="str">
        <f aca="false">IF(Tasks[[#This Row],[Task Name]]="","",IF(Tasks[[#This Row],[_IsSummary]],MIN(INDEX(Tasks[_LeafLateStart],Tasks[[#This Row],[_Row]]+1):INDEX(Tasks[_LeafLateStart],Tasks[[#This Row],[_Row]]+Tasks[[#This Row],[_Descendants]])),Tasks[[#This Row],[_LeafLateStart]]))</f>
        <v/>
      </c>
      <c r="AN21" s="31" t="str">
        <f aca="false">IF(Tasks[[#This Row],[Task Name]]="","",IF(Tasks[[#This Row],[_IsSummary]],MAX(INDEX(Tasks[_LeafLateFinish],Tasks[[#This Row],[_Row]]+1):INDEX(Tasks[_LeafLateFinish],Tasks[[#This Row],[_Row]]+Tasks[[#This Row],[_Descendants]])),Tasks[[#This Row],[_LeafLateFinish]]))</f>
        <v/>
      </c>
      <c r="AO21" s="51" t="str">
        <f aca="false">IF(Tasks[[#This Row],[Task Name]]="","",IF(Tasks[[#This Row],[_IsSummary]],MIN(INDEX(Tasks[_LeafTotalSlack],Tasks[[#This Row],[_Row]]+1):INDEX(Tasks[_LeafTotalSlack],Tasks[[#This Row],[_Row]]+Tasks[[#This Row],[_Descendants]])),Tasks[[#This Row],[_LeafTotalSlack]]))</f>
        <v/>
      </c>
      <c r="AP2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1" s="110" t="str">
        <f aca="false">IF(Tasks[[#This Row],[Task Name]]="","",IF(Tasks[[#This Row],[_IsSummary]],SUM(INDEX(Tasks[_LeafTotalWork],Tasks[[#This Row],[_Row]]+1):INDEX(Tasks[_LeafTotalWork],Tasks[[#This Row],[_Row]]+Tasks[[#This Row],[_Descendants]])),Tasks[[#This Row],[_LeafTotalWork]]))</f>
        <v/>
      </c>
      <c r="AV2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1" s="111" t="str">
        <f aca="false">IF(Tasks[[#This Row],[Task Name]]="","",IF(Tasks[[#This Row],[_IsSummary]],SUM(INDEX(Tasks[_LeafTotalCost],Tasks[[#This Row],[_Row]]+1):INDEX(Tasks[_LeafTotalCost],Tasks[[#This Row],[_Row]]+Tasks[[#This Row],[_Descendants]])),Tasks[[#This Row],[_LeafTotalCost]]))</f>
        <v/>
      </c>
      <c r="AY21" s="112"/>
      <c r="AZ2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1" s="52"/>
      <c r="BB21" s="98"/>
      <c r="BC21" s="51" t="str">
        <f aca="false">IF(OR(Tasks[[#This Row],[Task Name]]="",Tasks[[#This Row],[Baseline Duration]]=""),"",Tasks[[#This Row],[BL Source Duration]]-N(Tasks[[#This Row],[Baseline Duration]]))</f>
        <v/>
      </c>
      <c r="BD21" s="110" t="str">
        <f aca="false">IF(OR(Tasks[[#This Row],[Task Name]]="",Tasks[[#This Row],[Baseline Work]]=""),"",Tasks[[#This Row],[Work]]-N(Tasks[[#This Row],[Baseline Work]]))</f>
        <v/>
      </c>
      <c r="BE21" s="111" t="str">
        <f aca="false">IF(OR(Tasks[[#This Row],[Task Name]]="",Tasks[[#This Row],[Baseline Cost]]=""),"",Tasks[[#This Row],[Cost]]-N(Tasks[[#This Row],[Baseline Cost]]))</f>
        <v/>
      </c>
      <c r="BF21" s="31" t="str">
        <f aca="false">IF(Tasks[[#This Row],[Task Name]]="","",Tasks[[#This Row],[Forecast Start]])</f>
        <v/>
      </c>
      <c r="BG21" s="31" t="str">
        <f aca="false">IF(Tasks[[#This Row],[Task Name]]="","",Tasks[[#This Row],[Forecast Finish]])</f>
        <v/>
      </c>
      <c r="BH21" s="51" t="str">
        <f aca="false">IF(Tasks[[#This Row],[Task Name]]="","",IF(Tasks[[#This Row],[_IsSummary]],NETWORKDAYS.INTL(Tasks[[#This Row],[Forecast Start]],Tasks[[#This Row],[Forecast Finish]],WorkWeek,Holidays),N(Tasks[[#This Row],[Duration]])))</f>
        <v/>
      </c>
      <c r="BI21" s="110" t="str">
        <f aca="false">IF(Tasks[[#This Row],[Task Name]]="","",Tasks[[#This Row],[Work]])</f>
        <v/>
      </c>
      <c r="BJ21" s="111" t="str">
        <f aca="false">IF(Tasks[[#This Row],[Task Name]]="","",Tasks[[#This Row],[Cost]])</f>
        <v/>
      </c>
      <c r="BK21" s="7"/>
      <c r="BL21" s="7"/>
      <c r="BM21" s="52"/>
      <c r="BN21" s="113"/>
      <c r="BO21" s="112"/>
      <c r="BP21" s="111" t="str">
        <f aca="false">IF(Tasks[[#This Row],[Task Name]]="","",IF(Tasks[[#This Row],[_IsSummary]],SUM(INDEX(Tasks[_LeafEV],Tasks[[#This Row],[_Row]]+1):INDEX(Tasks[_LeafEV],Tasks[[#This Row],[_Row]]+Tasks[[#This Row],[_Descendants]])),Tasks[[#This Row],[_LeafEV]]))</f>
        <v/>
      </c>
      <c r="BQ21" s="111" t="str">
        <f aca="false">IF(Tasks[[#This Row],[Task Name]]="","",IF(Tasks[[#This Row],[_IsSummary]],SUM(INDEX(Tasks[_LeafBudget],Tasks[[#This Row],[_Row]]+1):INDEX(Tasks[_LeafBudget],Tasks[[#This Row],[_Row]]+Tasks[[#This Row],[_Descendants]])),Tasks[[#This Row],[_LeafBudget]]))</f>
        <v/>
      </c>
      <c r="BR21" s="111" t="str">
        <f aca="false">IF(Tasks[[#This Row],[Task Name]]="","",IF(Tasks[[#This Row],[_IsSummary]],SUM(INDEX(Tasks[_LeafPV],Tasks[[#This Row],[_Row]]+1):INDEX(Tasks[_LeafPV],Tasks[[#This Row],[_Row]]+Tasks[[#This Row],[_Descendants]])),Tasks[[#This Row],[_LeafPV]]))</f>
        <v/>
      </c>
      <c r="BS21" s="111" t="str">
        <f aca="false">IF(Tasks[[#This Row],[Task Name]]="","",IF(Tasks[[#This Row],[_IsSummary]],SUM(INDEX(Tasks[_LeafAC],Tasks[[#This Row],[_Row]]+1):INDEX(Tasks[_LeafAC],Tasks[[#This Row],[_Row]]+Tasks[[#This Row],[_Descendants]])),Tasks[[#This Row],[_LeafAC]]))</f>
        <v/>
      </c>
      <c r="BT21" s="38" t="str">
        <f aca="false">IF(Tasks[[#This Row],[Task Name]]="","",MAX(1,N(Tasks[[#This Row],[Level]])))</f>
        <v/>
      </c>
      <c r="BU21" s="38" t="n">
        <f aca="false">ROW()-ROW(Tasks[[#Headers],[ID]])</f>
        <v>16</v>
      </c>
      <c r="BV21" s="38" t="n">
        <f aca="false">IF(OR(Tasks[[#This Row],[Task Name]]="",Tasks[[#This Row],[_Level]]&lt;=1),0,IFERROR(LOOKUP(2,1/(Tasks[[#Headers],[_Level]]:Tasks[[#This Row],[_Level]]=Tasks[[#This Row],[_Level]]-1),ROW(Tasks[[#Headers],[_Level]]:Tasks[[#This Row],[_Level]])),0))</f>
        <v>0</v>
      </c>
      <c r="BW21" s="38" t="n">
        <f aca="false">IFERROR(N(INDEX(Tasks[_Level],Tasks[[#This Row],[_Row]]+1)),0)</f>
        <v>0</v>
      </c>
      <c r="BX21" s="114" t="b">
        <f aca="false">AND(Tasks[[#This Row],[Task Name]]&lt;&gt;"",Tasks[[#This Row],[_NextLevel]]&gt;Tasks[[#This Row],[_Level]])</f>
        <v>0</v>
      </c>
      <c r="BY21" s="38" t="n">
        <f aca="false">IF(Tasks[[#This Row],[_IsSummary]],COUNTIF(Tasks[WBS],Tasks[[#This Row],[WBS]]&amp;".*"),0)</f>
        <v>0</v>
      </c>
      <c r="BZ21" s="38" t="n">
        <f aca="false">IF(AND(Tasks[[#This Row],[Task Name]]&lt;&gt;"",NOT(Tasks[[#This Row],[_IsSummary]])),1,0)</f>
        <v>0</v>
      </c>
      <c r="CA21" s="38" t="n">
        <f aca="false">IF(N(Tasks[[#This Row],[Pred1 UID]])=0,0,IFERROR(MATCH(Tasks[[#This Row],[Pred1 UID]],Tasks[UID],0),-1))</f>
        <v>0</v>
      </c>
      <c r="CB21" s="38" t="n">
        <f aca="false">IF(N(Tasks[[#This Row],[Pred2 UID]])=0,0,IFERROR(MATCH(Tasks[[#This Row],[Pred2 UID]],Tasks[UID],0),-1))</f>
        <v>0</v>
      </c>
      <c r="CC21" s="38" t="n">
        <f aca="false">IF(N(Tasks[[#This Row],[Pred3 UID]])=0,0,IFERROR(MATCH(Tasks[[#This Row],[Pred3 UID]],Tasks[UID],0),-1))</f>
        <v>0</v>
      </c>
      <c r="CD21" s="38" t="n">
        <f aca="false">IF(N(Tasks[[#This Row],[Pred4 UID]])=0,0,IFERROR(MATCH(Tasks[[#This Row],[Pred4 UID]],Tasks[UID],0),-1))</f>
        <v>0</v>
      </c>
      <c r="CE2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1" s="115" t="n">
        <f aca="false">IF(OR(Tasks[[#This Row],[_ConstraintCode]]=2,Tasks[[#This Row],[_ConstraintCode]]=3,Tasks[[#This Row],[_ConstraintCode]]=4,Tasks[[#This Row],[_ConstraintCode]]=6),Tasks[[#This Row],[_ConstraintStart]],0)</f>
        <v>0</v>
      </c>
      <c r="CH21" s="115" t="n">
        <f aca="false">IF(OR(Tasks[[#This Row],[_ConstraintCode]]=2,Tasks[[#This Row],[_ConstraintCode]]=3,Tasks[[#This Row],[_ConstraintCode]]=5,Tasks[[#This Row],[_ConstraintCode]]=7),Tasks[[#This Row],[_ConstraintStart]],2958465)</f>
        <v>2958465</v>
      </c>
      <c r="CI2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1" s="115" t="str">
        <f aca="false">IF(NOT(Tasks[[#This Row],[_IsLeaf]]=1),"",IF(N(Tasks[[#This Row],[Duration]])&lt;=0,Tasks[[#This Row],[_LeafCalcStart]],WORKDAY.INTL(Tasks[[#This Row],[_LeafCalcStart]],Tasks[[#This Row],[Duration]]-1,WorkWeek,Holidays)))</f>
        <v/>
      </c>
      <c r="CK2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1" s="38" t="n">
        <f aca="false">IF(NOT(Tasks[[#This Row],[_IsLeaf]]=1),0,IF(N(Tasks[[#This Row],[Actual Finish]])&gt;0,1,MIN(1,N(Tasks[[#This Row],[% Complete]]))))</f>
        <v>0</v>
      </c>
      <c r="CN21" s="38" t="n">
        <f aca="false">IF(OR(NOT(Tasks[[#This Row],[_IsLeaf]]=1),Tasks[[#This Row],[Resource]]=""),0,N(Tasks[[#This Row],[Duration]])*HoursPerDay*IF(Tasks[[#This Row],[Units]]="",DefaultUnits,Tasks[[#This Row],[Units]]))</f>
        <v>0</v>
      </c>
      <c r="CO21" s="38" t="n">
        <f aca="false">IF(Tasks[[#This Row],[_LeafWork]]=0,0,Tasks[[#This Row],[_LeafWork]]*IFERROR(INDEX(res_Rate,MATCH(Tasks[[#This Row],[Resource]],res_Name,0)),0))</f>
        <v>0</v>
      </c>
      <c r="CP21" s="38" t="n">
        <f aca="false">Tasks[[#This Row],[_LeafWork]]+IF(Tasks[[#This Row],[_IsLeaf]]=1,SUMIFS(asg_Work,asg_TaskUID,Tasks[[#This Row],[UID]],asg_Valid,1),0)</f>
        <v>0</v>
      </c>
      <c r="CQ21" s="38" t="n">
        <f aca="false">Tasks[[#This Row],[_LeafCost]]+IF(Tasks[[#This Row],[_IsLeaf]]=1,SUMIFS(asg_Cost,asg_TaskUID,Tasks[[#This Row],[UID]],asg_Valid,1),0)</f>
        <v>0</v>
      </c>
      <c r="CR21" s="38" t="n">
        <f aca="false">IF(Tasks[[#This Row],[_LeafTotalCost]]=0,Tasks[[#This Row],[_LeafAC]],Tasks[[#This Row],[_LeafAC]]*Tasks[[#This Row],[_LeafCost]]/Tasks[[#This Row],[_LeafTotalCost]])</f>
        <v>0</v>
      </c>
      <c r="CS2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1" s="38" t="n">
        <f aca="false">IF(NOT(Tasks[[#This Row],[_IsLeaf]]=1),0,MAX(_xlfn.MAXIFS(Tasks[_Row],Tasks[Pred1 UID],Tasks[[#This Row],[UID]]),_xlfn.MAXIFS(Tasks[_Row],Tasks[Pred2 UID],Tasks[[#This Row],[UID]]),_xlfn.MAXIFS(Tasks[_Row],Tasks[Pred3 UID],Tasks[[#This Row],[UID]]),_xlfn.MAXIFS(Tasks[_Row],Tasks[Pred4 UID],Tasks[[#This Row],[UID]])))</f>
        <v>0</v>
      </c>
      <c r="DB2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1" s="115" t="str">
        <f aca="false">IF(NOT(Tasks[[#This Row],[_IsLeaf]]=1),"",IF(N(Tasks[[#This Row],[Duration]])&lt;=0,Tasks[[#This Row],[_LeafLateFinish]],WORKDAY.INTL(Tasks[[#This Row],[_LeafLateFinish]],-(Tasks[[#This Row],[Duration]]-1),WorkWeek,Holidays)))</f>
        <v/>
      </c>
      <c r="DE2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1" s="114" t="b">
        <f aca="false">AND(Tasks[[#This Row],[_IsLeaf]]=1,Tasks[[#This Row],[_LeafProgress]]&lt;1,N(Tasks[[#This Row],[_LeafTotalSlack]])&lt;=CriticalSlackDays)</f>
        <v>0</v>
      </c>
      <c r="DG21" s="38" t="n">
        <f aca="false">IF(AND(Tasks[[#This Row],[_IsLeaf]]=1,Tasks[[#This Row],[_ConstraintCode]]=1,Tasks[[#This Row],[Mode]]&lt;&gt;"Manual",N(Tasks[[#This Row],[Actual Start]])=0),MAX(0,N(Tasks[[#This Row],[Free Slack]])),0)</f>
        <v>0</v>
      </c>
      <c r="DH21" s="115" t="str">
        <f aca="false">IF(NOT(Tasks[[#This Row],[_IsLeaf]]=1),"",IF(Tasks[[#This Row],[_AlapShift]]=0,Tasks[[#This Row],[_LeafCalcStart]],WORKDAY.INTL(Tasks[[#This Row],[_LeafCalcStart]],Tasks[[#This Row],[_AlapShift]],WorkWeek,Holidays)))</f>
        <v/>
      </c>
      <c r="DI21" s="115" t="str">
        <f aca="false">IF(NOT(Tasks[[#This Row],[_IsLeaf]]=1),"",IF(Tasks[[#This Row],[_AlapShift]]=0,Tasks[[#This Row],[_LeafCalcFinish]],WORKDAY.INTL(Tasks[[#This Row],[_LeafCalcFinish]],Tasks[[#This Row],[_AlapShift]],WorkWeek,Holidays)))</f>
        <v/>
      </c>
      <c r="DJ21" s="115" t="str">
        <f aca="false">IF(NOT(Tasks[[#This Row],[_IsLeaf]]=1),"",IF(Tasks[[#This Row],[_AlapShift]]=0,Tasks[[#This Row],[_LeafFcstStart]],WORKDAY.INTL(Tasks[[#This Row],[_LeafFcstStart]],Tasks[[#This Row],[_AlapShift]],WorkWeek,Holidays)))</f>
        <v/>
      </c>
      <c r="DK21" s="115" t="str">
        <f aca="false">IF(NOT(Tasks[[#This Row],[_IsLeaf]]=1),"",IF(Tasks[[#This Row],[_AlapShift]]=0,Tasks[[#This Row],[_LeafFcstFinish]],WORKDAY.INTL(Tasks[[#This Row],[_LeafFcstFinish]],Tasks[[#This Row],[_AlapShift]],WorkWeek,Holidays)))</f>
        <v/>
      </c>
      <c r="DL21" s="115" t="str">
        <f aca="false">IF(Tasks[[#This Row],[Task Name]]="","",IF(Tasks[[#This Row],[_IsSummary]],MIN(INDEX(Tasks[_ShownCalcStart],Tasks[[#This Row],[_Row]]+1):INDEX(Tasks[_ShownCalcStart],Tasks[[#This Row],[_Row]]+Tasks[[#This Row],[_Descendants]])),Tasks[[#This Row],[_ShownCalcStart]]))</f>
        <v/>
      </c>
      <c r="DM21" s="115" t="str">
        <f aca="false">IF(Tasks[[#This Row],[Task Name]]="","",IF(Tasks[[#This Row],[_IsSummary]],MAX(INDEX(Tasks[_ShownCalcFinish],Tasks[[#This Row],[_Row]]+1):INDEX(Tasks[_ShownCalcFinish],Tasks[[#This Row],[_Row]]+Tasks[[#This Row],[_Descendants]])),Tasks[[#This Row],[_ShownCalcFinish]]))</f>
        <v/>
      </c>
      <c r="DN2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1" s="38" t="n">
        <f aca="false">IF(AND(Tasks[[#This Row],[_IsLeaf]]=1,Tasks[[#This Row],[_LeafTotalWork]]&gt;0),NETWORKDAYS.INTL(ProjectStart,Tasks[[#This Row],[_ShownFcstStart]],WorkWeek,Holidays),0)</f>
        <v>0</v>
      </c>
      <c r="EA21" s="38" t="n">
        <f aca="false">IF(AND(Tasks[[#This Row],[_IsLeaf]]=1,Tasks[[#This Row],[_LeafTotalWork]]&gt;0),MAX(Tasks[[#This Row],[_StartWorkday]],NETWORKDAYS.INTL(ProjectStart,Tasks[[#This Row],[_ShownFcstFinish]],WorkWeek,Holidays)),0)</f>
        <v>0</v>
      </c>
      <c r="EB21" s="38" t="n">
        <f aca="false">IF(AND(Tasks[[#This Row],[_IsLeaf]]=1,Tasks[[#This Row],[_LeafTotalWork]]&gt;0),Tasks[[#This Row],[_LeafWork]]/(Tasks[[#This Row],[_FinishWorkday]]-Tasks[[#This Row],[_StartWorkday]]+1),0)</f>
        <v>0</v>
      </c>
      <c r="EC21" s="38" t="n">
        <f aca="false">Tasks[[#This Row],[_WorkPerWorkday]]*(Tasks[[#This Row],[_StartWorkday]]-1)</f>
        <v>-0</v>
      </c>
      <c r="ED21" s="38" t="n">
        <f aca="false">IF(Tasks[[#This Row],[_IsLeaf]]=1,MAX(N(Tasks[[#This Row],[Duration]]),0.1),0)</f>
        <v>0</v>
      </c>
      <c r="EE21" s="38" t="n">
        <f aca="false">Tasks[[#This Row],[_WeightDur]]*Tasks[[#This Row],[_LeafProgress]]</f>
        <v>0</v>
      </c>
      <c r="EF2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1" s="38" t="str">
        <f aca="false">IF(AND(Tasks[[#This Row],[_IsLeaf]]=1,N(Tasks[[#This Row],[Duration]])=0,Tasks[[#This Row],[_LeafProgress]]&lt;1),Tasks[[#This Row],[_ShownFcstFinish]]+Tasks[[#This Row],[_Row]]/100000,"")</f>
        <v/>
      </c>
      <c r="EH2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1" s="38" t="n">
        <f aca="false">IF(NOT(Tasks[[#This Row],[_IsLeaf]]=1),0,IF(Tasks[[#This Row],[Baseline Cost]]="",Tasks[[#This Row],[_LeafTotalCost]],N(Tasks[[#This Row],[Baseline Cost]])))</f>
        <v>0</v>
      </c>
      <c r="EJ21" s="38" t="n">
        <f aca="false">Tasks[[#This Row],[_LeafBudget]]*Tasks[[#This Row],[_PlannedPct]]</f>
        <v>0</v>
      </c>
      <c r="EK21" s="38" t="n">
        <f aca="false">Tasks[[#This Row],[_LeafBudget]]*Tasks[[#This Row],[_LeafProgress]]</f>
        <v>0</v>
      </c>
      <c r="EL21" s="38" t="n">
        <f aca="false">IF(NOT(Tasks[[#This Row],[_IsLeaf]]=1),0,IF(Tasks[[#This Row],[Actual Cost]]="",Tasks[[#This Row],[_LeafTotalCost]]*Tasks[[#This Row],[_LeafProgress]],N(Tasks[[#This Row],[Actual Cost]])))</f>
        <v>0</v>
      </c>
      <c r="EM21" s="38" t="str">
        <f aca="false">IF(Tasks[[#This Row],[Task Name]]="","",LEFT(Tasks[[#This Row],[WBS]],FIND(".",Tasks[[#This Row],[WBS]]&amp;".")-1))</f>
        <v/>
      </c>
      <c r="EN21" s="38" t="str">
        <f aca="false">IF(AND(Tasks[[#This Row],[Task Name]]&lt;&gt;"",Tasks[[#This Row],[_Level]]=1),Tasks[[#This Row],[_Row]],"")</f>
        <v/>
      </c>
      <c r="EO21" s="38" t="str">
        <f aca="false">IF(AND(Tasks[[#This Row],[_IsLeaf]]=1,N(Tasks[[#This Row],[Duration]])=0),Tasks[[#This Row],[Planned Finish]]+Tasks[[#This Row],[_Row]]/100000,"")</f>
        <v/>
      </c>
      <c r="EP21" s="38" t="str">
        <f aca="false">IF(AND(Tasks[[#This Row],[_IsLeaf]]=1,Tasks[[#This Row],[_LeafProgress]]&lt;1,OR(N(Tasks[[#This Row],[Finish Var]])&gt;0,Tasks[[#This Row],[Status]]="Late Start")),MAX(0,Tasks[[#This Row],[Finish Var]])+1-Tasks[[#This Row],[_Row]]/1000000,"")</f>
        <v/>
      </c>
      <c r="EQ21" s="38" t="str">
        <f aca="false">IF(AND(Tasks[[#This Row],[_IsLeaf]]=1,N(Tasks[[#This Row],[Actual Start]])=0,Tasks[[#This Row],[_ShownFcstStart]]&gt;=StatusDate,Tasks[[#This Row],[_ShownFcstStart]]&lt;=LookaheadEnd),Tasks[[#This Row],[_ShownFcstStart]]+Tasks[[#This Row],[_Row]]/100000,"")</f>
        <v/>
      </c>
      <c r="ER21" s="38" t="str">
        <f aca="false">IF(AND(Tasks[[#This Row],[_IsLeaf]]=1,Tasks[[#This Row],[_LeafProgress]]&lt;1,Tasks[[#This Row],[_ShownFcstFinish]]&gt;=StatusDate,Tasks[[#This Row],[_ShownFcstFinish]]&lt;=LookaheadEnd),Tasks[[#This Row],[_ShownFcstFinish]]+Tasks[[#This Row],[_Row]]/100000,"")</f>
        <v/>
      </c>
      <c r="ES21" s="38" t="str">
        <f aca="false">IF(Tasks[[#This Row],[_LeafCritical]],Tasks[[#This Row],[_ShownFcstStart]]+Tasks[[#This Row],[_Row]]/100000,"")</f>
        <v/>
      </c>
      <c r="ET21" s="38" t="n">
        <f aca="false">Tasks[[#This Row],[_LeafWork]]*Tasks[[#This Row],[_LeafProgress]]</f>
        <v>0</v>
      </c>
      <c r="EU21" s="115" t="str">
        <f aca="false">IF(AND(Tasks[[#This Row],[_IsLeaf]]=1,Tasks[[#This Row],[_LeafProgress]]&gt;=1),IF(N(Tasks[[#This Row],[Actual Finish]])&gt;0,Tasks[[#This Row],[Actual Finish]],Tasks[[#This Row],[_ShownFcstFinish]]),"")</f>
        <v/>
      </c>
      <c r="EV21" s="38" t="n">
        <f aca="false">IF(Tasks[[#This Row],[_IsLeaf]]=1,N(Tasks[[#This Row],[Story Points]]),0)</f>
        <v>0</v>
      </c>
      <c r="EW21" s="38" t="str">
        <f aca="false">IF(AND(Tasks[[#This Row],[_IsLeaf]]=1,CurrentSprint&lt;&gt;"",Tasks[[#This Row],[Sprint]]=CurrentSprint),Tasks[[#This Row],[_Row]],"")</f>
        <v/>
      </c>
    </row>
    <row r="22" customFormat="false" ht="15" hidden="false" customHeight="false" outlineLevel="0" collapsed="false">
      <c r="A22" s="51" t="str">
        <f aca="false">IF(Tasks[[#This Row],[Task Name]]="","",COUNTA(Tasks[[#Headers],[Task Name]]:Tasks[[#This Row],[Task Name]])-1)</f>
        <v/>
      </c>
      <c r="B22" s="52" t="n">
        <v>17</v>
      </c>
      <c r="C2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2" s="52"/>
      <c r="E22" s="53"/>
      <c r="F22" s="52"/>
      <c r="G22" s="52"/>
      <c r="H22" s="52"/>
      <c r="I22" s="52"/>
      <c r="J22" s="52"/>
      <c r="K22" s="52"/>
      <c r="L22" s="52"/>
      <c r="M22" s="52"/>
      <c r="N22" s="52"/>
      <c r="O22" s="52"/>
      <c r="P22" s="52"/>
      <c r="Q22" s="52"/>
      <c r="R22" s="52"/>
      <c r="S22" s="53"/>
      <c r="T22" s="102"/>
      <c r="U22" s="102"/>
      <c r="V22" s="7"/>
      <c r="W22" s="7"/>
      <c r="X22" s="53"/>
      <c r="Y22" s="31" t="str">
        <f aca="false">IF(Tasks[[#This Row],[Task Name]]="","",IF(Tasks[[#This Row],[_IsSummary]],MIN(INDEX(Tasks[_ShownFcstStart],Tasks[[#This Row],[_Row]]+1):INDEX(Tasks[_ShownFcstStart],Tasks[[#This Row],[_Row]]+Tasks[[#This Row],[_Descendants]])),Tasks[[#This Row],[_ShownFcstStart]]))</f>
        <v/>
      </c>
      <c r="Z22" s="31" t="str">
        <f aca="false">IF(Tasks[[#This Row],[Task Name]]="","",IF(Tasks[[#This Row],[_IsSummary]],MAX(INDEX(Tasks[_ShownFcstFinish],Tasks[[#This Row],[_Row]]+1):INDEX(Tasks[_ShownFcstFinish],Tasks[[#This Row],[_Row]]+Tasks[[#This Row],[_Descendants]])),Tasks[[#This Row],[_ShownFcstFinish]]))</f>
        <v/>
      </c>
      <c r="AA22" s="51" t="str">
        <f aca="false">IF(Tasks[[#This Row],[Task Name]]="","",IF(Tasks[[#This Row],[Progress]]&gt;=1,"Complete",IF(OR(N(Tasks[[#This Row],[Actual Start]])&gt;0,Tasks[[#This Row],[Progress]]&gt;0),IF(Tasks[[#This Row],[Finish Var]]&gt;0,"Behind","In Progress"),IF(Tasks[[#This Row],[Planned Start]]&lt;StatusDate,"Late Start","Not Started"))))</f>
        <v/>
      </c>
      <c r="AB22" s="51" t="str">
        <f aca="false">IF(Tasks[[#This Row],[Task Name]]="","",IF(IF(Tasks[[#This Row],[_IsSummary]],COUNTIF(INDEX(Tasks[_LeafCritical],Tasks[[#This Row],[_Row]]+1):INDEX(Tasks[_LeafCritical],Tasks[[#This Row],[_Row]]+Tasks[[#This Row],[_Descendants]]),TRUE())&gt;0,Tasks[[#This Row],[_LeafCritical]]),"Yes",""))</f>
        <v/>
      </c>
      <c r="AC2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2" s="51" t="str">
        <f aca="false">IF(Tasks[[#This Row],[Task Name]]="","",IF(Tasks[[#This Row],[_Level]]&lt;=OutlineShowLevel,"Yes","No"))</f>
        <v/>
      </c>
      <c r="AE22" s="7"/>
      <c r="AF22" s="52"/>
      <c r="AG22" s="53"/>
      <c r="AH22" s="7"/>
      <c r="AI2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2" s="31" t="str">
        <f aca="false">IF(Tasks[[#This Row],[Task Name]]="","",IF(N(Tasks[[#This Row],[Baseline Start]])&gt;0,Tasks[[#This Row],[Baseline Start]],Tasks[[#This Row],[_CalcStart]]))</f>
        <v/>
      </c>
      <c r="AK22" s="31" t="str">
        <f aca="false">IF(Tasks[[#This Row],[Task Name]]="","",IF(N(Tasks[[#This Row],[Baseline Finish]])&gt;0,Tasks[[#This Row],[Baseline Finish]],Tasks[[#This Row],[_CalcFinish]]))</f>
        <v/>
      </c>
      <c r="AL2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2" s="31" t="str">
        <f aca="false">IF(Tasks[[#This Row],[Task Name]]="","",IF(Tasks[[#This Row],[_IsSummary]],MIN(INDEX(Tasks[_LeafLateStart],Tasks[[#This Row],[_Row]]+1):INDEX(Tasks[_LeafLateStart],Tasks[[#This Row],[_Row]]+Tasks[[#This Row],[_Descendants]])),Tasks[[#This Row],[_LeafLateStart]]))</f>
        <v/>
      </c>
      <c r="AN22" s="31" t="str">
        <f aca="false">IF(Tasks[[#This Row],[Task Name]]="","",IF(Tasks[[#This Row],[_IsSummary]],MAX(INDEX(Tasks[_LeafLateFinish],Tasks[[#This Row],[_Row]]+1):INDEX(Tasks[_LeafLateFinish],Tasks[[#This Row],[_Row]]+Tasks[[#This Row],[_Descendants]])),Tasks[[#This Row],[_LeafLateFinish]]))</f>
        <v/>
      </c>
      <c r="AO22" s="51" t="str">
        <f aca="false">IF(Tasks[[#This Row],[Task Name]]="","",IF(Tasks[[#This Row],[_IsSummary]],MIN(INDEX(Tasks[_LeafTotalSlack],Tasks[[#This Row],[_Row]]+1):INDEX(Tasks[_LeafTotalSlack],Tasks[[#This Row],[_Row]]+Tasks[[#This Row],[_Descendants]])),Tasks[[#This Row],[_LeafTotalSlack]]))</f>
        <v/>
      </c>
      <c r="AP2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2" s="110" t="str">
        <f aca="false">IF(Tasks[[#This Row],[Task Name]]="","",IF(Tasks[[#This Row],[_IsSummary]],SUM(INDEX(Tasks[_LeafTotalWork],Tasks[[#This Row],[_Row]]+1):INDEX(Tasks[_LeafTotalWork],Tasks[[#This Row],[_Row]]+Tasks[[#This Row],[_Descendants]])),Tasks[[#This Row],[_LeafTotalWork]]))</f>
        <v/>
      </c>
      <c r="AV2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2" s="111" t="str">
        <f aca="false">IF(Tasks[[#This Row],[Task Name]]="","",IF(Tasks[[#This Row],[_IsSummary]],SUM(INDEX(Tasks[_LeafTotalCost],Tasks[[#This Row],[_Row]]+1):INDEX(Tasks[_LeafTotalCost],Tasks[[#This Row],[_Row]]+Tasks[[#This Row],[_Descendants]])),Tasks[[#This Row],[_LeafTotalCost]]))</f>
        <v/>
      </c>
      <c r="AY22" s="112"/>
      <c r="AZ2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2" s="52"/>
      <c r="BB22" s="98"/>
      <c r="BC22" s="51" t="str">
        <f aca="false">IF(OR(Tasks[[#This Row],[Task Name]]="",Tasks[[#This Row],[Baseline Duration]]=""),"",Tasks[[#This Row],[BL Source Duration]]-N(Tasks[[#This Row],[Baseline Duration]]))</f>
        <v/>
      </c>
      <c r="BD22" s="110" t="str">
        <f aca="false">IF(OR(Tasks[[#This Row],[Task Name]]="",Tasks[[#This Row],[Baseline Work]]=""),"",Tasks[[#This Row],[Work]]-N(Tasks[[#This Row],[Baseline Work]]))</f>
        <v/>
      </c>
      <c r="BE22" s="111" t="str">
        <f aca="false">IF(OR(Tasks[[#This Row],[Task Name]]="",Tasks[[#This Row],[Baseline Cost]]=""),"",Tasks[[#This Row],[Cost]]-N(Tasks[[#This Row],[Baseline Cost]]))</f>
        <v/>
      </c>
      <c r="BF22" s="31" t="str">
        <f aca="false">IF(Tasks[[#This Row],[Task Name]]="","",Tasks[[#This Row],[Forecast Start]])</f>
        <v/>
      </c>
      <c r="BG22" s="31" t="str">
        <f aca="false">IF(Tasks[[#This Row],[Task Name]]="","",Tasks[[#This Row],[Forecast Finish]])</f>
        <v/>
      </c>
      <c r="BH22" s="51" t="str">
        <f aca="false">IF(Tasks[[#This Row],[Task Name]]="","",IF(Tasks[[#This Row],[_IsSummary]],NETWORKDAYS.INTL(Tasks[[#This Row],[Forecast Start]],Tasks[[#This Row],[Forecast Finish]],WorkWeek,Holidays),N(Tasks[[#This Row],[Duration]])))</f>
        <v/>
      </c>
      <c r="BI22" s="110" t="str">
        <f aca="false">IF(Tasks[[#This Row],[Task Name]]="","",Tasks[[#This Row],[Work]])</f>
        <v/>
      </c>
      <c r="BJ22" s="111" t="str">
        <f aca="false">IF(Tasks[[#This Row],[Task Name]]="","",Tasks[[#This Row],[Cost]])</f>
        <v/>
      </c>
      <c r="BK22" s="7"/>
      <c r="BL22" s="7"/>
      <c r="BM22" s="52"/>
      <c r="BN22" s="113"/>
      <c r="BO22" s="112"/>
      <c r="BP22" s="111" t="str">
        <f aca="false">IF(Tasks[[#This Row],[Task Name]]="","",IF(Tasks[[#This Row],[_IsSummary]],SUM(INDEX(Tasks[_LeafEV],Tasks[[#This Row],[_Row]]+1):INDEX(Tasks[_LeafEV],Tasks[[#This Row],[_Row]]+Tasks[[#This Row],[_Descendants]])),Tasks[[#This Row],[_LeafEV]]))</f>
        <v/>
      </c>
      <c r="BQ22" s="111" t="str">
        <f aca="false">IF(Tasks[[#This Row],[Task Name]]="","",IF(Tasks[[#This Row],[_IsSummary]],SUM(INDEX(Tasks[_LeafBudget],Tasks[[#This Row],[_Row]]+1):INDEX(Tasks[_LeafBudget],Tasks[[#This Row],[_Row]]+Tasks[[#This Row],[_Descendants]])),Tasks[[#This Row],[_LeafBudget]]))</f>
        <v/>
      </c>
      <c r="BR22" s="111" t="str">
        <f aca="false">IF(Tasks[[#This Row],[Task Name]]="","",IF(Tasks[[#This Row],[_IsSummary]],SUM(INDEX(Tasks[_LeafPV],Tasks[[#This Row],[_Row]]+1):INDEX(Tasks[_LeafPV],Tasks[[#This Row],[_Row]]+Tasks[[#This Row],[_Descendants]])),Tasks[[#This Row],[_LeafPV]]))</f>
        <v/>
      </c>
      <c r="BS22" s="111" t="str">
        <f aca="false">IF(Tasks[[#This Row],[Task Name]]="","",IF(Tasks[[#This Row],[_IsSummary]],SUM(INDEX(Tasks[_LeafAC],Tasks[[#This Row],[_Row]]+1):INDEX(Tasks[_LeafAC],Tasks[[#This Row],[_Row]]+Tasks[[#This Row],[_Descendants]])),Tasks[[#This Row],[_LeafAC]]))</f>
        <v/>
      </c>
      <c r="BT22" s="38" t="str">
        <f aca="false">IF(Tasks[[#This Row],[Task Name]]="","",MAX(1,N(Tasks[[#This Row],[Level]])))</f>
        <v/>
      </c>
      <c r="BU22" s="38" t="n">
        <f aca="false">ROW()-ROW(Tasks[[#Headers],[ID]])</f>
        <v>17</v>
      </c>
      <c r="BV22" s="38" t="n">
        <f aca="false">IF(OR(Tasks[[#This Row],[Task Name]]="",Tasks[[#This Row],[_Level]]&lt;=1),0,IFERROR(LOOKUP(2,1/(Tasks[[#Headers],[_Level]]:Tasks[[#This Row],[_Level]]=Tasks[[#This Row],[_Level]]-1),ROW(Tasks[[#Headers],[_Level]]:Tasks[[#This Row],[_Level]])),0))</f>
        <v>0</v>
      </c>
      <c r="BW22" s="38" t="n">
        <f aca="false">IFERROR(N(INDEX(Tasks[_Level],Tasks[[#This Row],[_Row]]+1)),0)</f>
        <v>0</v>
      </c>
      <c r="BX22" s="114" t="b">
        <f aca="false">AND(Tasks[[#This Row],[Task Name]]&lt;&gt;"",Tasks[[#This Row],[_NextLevel]]&gt;Tasks[[#This Row],[_Level]])</f>
        <v>0</v>
      </c>
      <c r="BY22" s="38" t="n">
        <f aca="false">IF(Tasks[[#This Row],[_IsSummary]],COUNTIF(Tasks[WBS],Tasks[[#This Row],[WBS]]&amp;".*"),0)</f>
        <v>0</v>
      </c>
      <c r="BZ22" s="38" t="n">
        <f aca="false">IF(AND(Tasks[[#This Row],[Task Name]]&lt;&gt;"",NOT(Tasks[[#This Row],[_IsSummary]])),1,0)</f>
        <v>0</v>
      </c>
      <c r="CA22" s="38" t="n">
        <f aca="false">IF(N(Tasks[[#This Row],[Pred1 UID]])=0,0,IFERROR(MATCH(Tasks[[#This Row],[Pred1 UID]],Tasks[UID],0),-1))</f>
        <v>0</v>
      </c>
      <c r="CB22" s="38" t="n">
        <f aca="false">IF(N(Tasks[[#This Row],[Pred2 UID]])=0,0,IFERROR(MATCH(Tasks[[#This Row],[Pred2 UID]],Tasks[UID],0),-1))</f>
        <v>0</v>
      </c>
      <c r="CC22" s="38" t="n">
        <f aca="false">IF(N(Tasks[[#This Row],[Pred3 UID]])=0,0,IFERROR(MATCH(Tasks[[#This Row],[Pred3 UID]],Tasks[UID],0),-1))</f>
        <v>0</v>
      </c>
      <c r="CD22" s="38" t="n">
        <f aca="false">IF(N(Tasks[[#This Row],[Pred4 UID]])=0,0,IFERROR(MATCH(Tasks[[#This Row],[Pred4 UID]],Tasks[UID],0),-1))</f>
        <v>0</v>
      </c>
      <c r="CE2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2" s="115" t="n">
        <f aca="false">IF(OR(Tasks[[#This Row],[_ConstraintCode]]=2,Tasks[[#This Row],[_ConstraintCode]]=3,Tasks[[#This Row],[_ConstraintCode]]=4,Tasks[[#This Row],[_ConstraintCode]]=6),Tasks[[#This Row],[_ConstraintStart]],0)</f>
        <v>0</v>
      </c>
      <c r="CH22" s="115" t="n">
        <f aca="false">IF(OR(Tasks[[#This Row],[_ConstraintCode]]=2,Tasks[[#This Row],[_ConstraintCode]]=3,Tasks[[#This Row],[_ConstraintCode]]=5,Tasks[[#This Row],[_ConstraintCode]]=7),Tasks[[#This Row],[_ConstraintStart]],2958465)</f>
        <v>2958465</v>
      </c>
      <c r="CI2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2" s="115" t="str">
        <f aca="false">IF(NOT(Tasks[[#This Row],[_IsLeaf]]=1),"",IF(N(Tasks[[#This Row],[Duration]])&lt;=0,Tasks[[#This Row],[_LeafCalcStart]],WORKDAY.INTL(Tasks[[#This Row],[_LeafCalcStart]],Tasks[[#This Row],[Duration]]-1,WorkWeek,Holidays)))</f>
        <v/>
      </c>
      <c r="CK2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2" s="38" t="n">
        <f aca="false">IF(NOT(Tasks[[#This Row],[_IsLeaf]]=1),0,IF(N(Tasks[[#This Row],[Actual Finish]])&gt;0,1,MIN(1,N(Tasks[[#This Row],[% Complete]]))))</f>
        <v>0</v>
      </c>
      <c r="CN22" s="38" t="n">
        <f aca="false">IF(OR(NOT(Tasks[[#This Row],[_IsLeaf]]=1),Tasks[[#This Row],[Resource]]=""),0,N(Tasks[[#This Row],[Duration]])*HoursPerDay*IF(Tasks[[#This Row],[Units]]="",DefaultUnits,Tasks[[#This Row],[Units]]))</f>
        <v>0</v>
      </c>
      <c r="CO22" s="38" t="n">
        <f aca="false">IF(Tasks[[#This Row],[_LeafWork]]=0,0,Tasks[[#This Row],[_LeafWork]]*IFERROR(INDEX(res_Rate,MATCH(Tasks[[#This Row],[Resource]],res_Name,0)),0))</f>
        <v>0</v>
      </c>
      <c r="CP22" s="38" t="n">
        <f aca="false">Tasks[[#This Row],[_LeafWork]]+IF(Tasks[[#This Row],[_IsLeaf]]=1,SUMIFS(asg_Work,asg_TaskUID,Tasks[[#This Row],[UID]],asg_Valid,1),0)</f>
        <v>0</v>
      </c>
      <c r="CQ22" s="38" t="n">
        <f aca="false">Tasks[[#This Row],[_LeafCost]]+IF(Tasks[[#This Row],[_IsLeaf]]=1,SUMIFS(asg_Cost,asg_TaskUID,Tasks[[#This Row],[UID]],asg_Valid,1),0)</f>
        <v>0</v>
      </c>
      <c r="CR22" s="38" t="n">
        <f aca="false">IF(Tasks[[#This Row],[_LeafTotalCost]]=0,Tasks[[#This Row],[_LeafAC]],Tasks[[#This Row],[_LeafAC]]*Tasks[[#This Row],[_LeafCost]]/Tasks[[#This Row],[_LeafTotalCost]])</f>
        <v>0</v>
      </c>
      <c r="CS2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2" s="38" t="n">
        <f aca="false">IF(NOT(Tasks[[#This Row],[_IsLeaf]]=1),0,MAX(_xlfn.MAXIFS(Tasks[_Row],Tasks[Pred1 UID],Tasks[[#This Row],[UID]]),_xlfn.MAXIFS(Tasks[_Row],Tasks[Pred2 UID],Tasks[[#This Row],[UID]]),_xlfn.MAXIFS(Tasks[_Row],Tasks[Pred3 UID],Tasks[[#This Row],[UID]]),_xlfn.MAXIFS(Tasks[_Row],Tasks[Pred4 UID],Tasks[[#This Row],[UID]])))</f>
        <v>0</v>
      </c>
      <c r="DB2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2" s="115" t="str">
        <f aca="false">IF(NOT(Tasks[[#This Row],[_IsLeaf]]=1),"",IF(N(Tasks[[#This Row],[Duration]])&lt;=0,Tasks[[#This Row],[_LeafLateFinish]],WORKDAY.INTL(Tasks[[#This Row],[_LeafLateFinish]],-(Tasks[[#This Row],[Duration]]-1),WorkWeek,Holidays)))</f>
        <v/>
      </c>
      <c r="DE2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2" s="114" t="b">
        <f aca="false">AND(Tasks[[#This Row],[_IsLeaf]]=1,Tasks[[#This Row],[_LeafProgress]]&lt;1,N(Tasks[[#This Row],[_LeafTotalSlack]])&lt;=CriticalSlackDays)</f>
        <v>0</v>
      </c>
      <c r="DG22" s="38" t="n">
        <f aca="false">IF(AND(Tasks[[#This Row],[_IsLeaf]]=1,Tasks[[#This Row],[_ConstraintCode]]=1,Tasks[[#This Row],[Mode]]&lt;&gt;"Manual",N(Tasks[[#This Row],[Actual Start]])=0),MAX(0,N(Tasks[[#This Row],[Free Slack]])),0)</f>
        <v>0</v>
      </c>
      <c r="DH22" s="115" t="str">
        <f aca="false">IF(NOT(Tasks[[#This Row],[_IsLeaf]]=1),"",IF(Tasks[[#This Row],[_AlapShift]]=0,Tasks[[#This Row],[_LeafCalcStart]],WORKDAY.INTL(Tasks[[#This Row],[_LeafCalcStart]],Tasks[[#This Row],[_AlapShift]],WorkWeek,Holidays)))</f>
        <v/>
      </c>
      <c r="DI22" s="115" t="str">
        <f aca="false">IF(NOT(Tasks[[#This Row],[_IsLeaf]]=1),"",IF(Tasks[[#This Row],[_AlapShift]]=0,Tasks[[#This Row],[_LeafCalcFinish]],WORKDAY.INTL(Tasks[[#This Row],[_LeafCalcFinish]],Tasks[[#This Row],[_AlapShift]],WorkWeek,Holidays)))</f>
        <v/>
      </c>
      <c r="DJ22" s="115" t="str">
        <f aca="false">IF(NOT(Tasks[[#This Row],[_IsLeaf]]=1),"",IF(Tasks[[#This Row],[_AlapShift]]=0,Tasks[[#This Row],[_LeafFcstStart]],WORKDAY.INTL(Tasks[[#This Row],[_LeafFcstStart]],Tasks[[#This Row],[_AlapShift]],WorkWeek,Holidays)))</f>
        <v/>
      </c>
      <c r="DK22" s="115" t="str">
        <f aca="false">IF(NOT(Tasks[[#This Row],[_IsLeaf]]=1),"",IF(Tasks[[#This Row],[_AlapShift]]=0,Tasks[[#This Row],[_LeafFcstFinish]],WORKDAY.INTL(Tasks[[#This Row],[_LeafFcstFinish]],Tasks[[#This Row],[_AlapShift]],WorkWeek,Holidays)))</f>
        <v/>
      </c>
      <c r="DL22" s="115" t="str">
        <f aca="false">IF(Tasks[[#This Row],[Task Name]]="","",IF(Tasks[[#This Row],[_IsSummary]],MIN(INDEX(Tasks[_ShownCalcStart],Tasks[[#This Row],[_Row]]+1):INDEX(Tasks[_ShownCalcStart],Tasks[[#This Row],[_Row]]+Tasks[[#This Row],[_Descendants]])),Tasks[[#This Row],[_ShownCalcStart]]))</f>
        <v/>
      </c>
      <c r="DM22" s="115" t="str">
        <f aca="false">IF(Tasks[[#This Row],[Task Name]]="","",IF(Tasks[[#This Row],[_IsSummary]],MAX(INDEX(Tasks[_ShownCalcFinish],Tasks[[#This Row],[_Row]]+1):INDEX(Tasks[_ShownCalcFinish],Tasks[[#This Row],[_Row]]+Tasks[[#This Row],[_Descendants]])),Tasks[[#This Row],[_ShownCalcFinish]]))</f>
        <v/>
      </c>
      <c r="DN2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2" s="38" t="n">
        <f aca="false">IF(AND(Tasks[[#This Row],[_IsLeaf]]=1,Tasks[[#This Row],[_LeafTotalWork]]&gt;0),NETWORKDAYS.INTL(ProjectStart,Tasks[[#This Row],[_ShownFcstStart]],WorkWeek,Holidays),0)</f>
        <v>0</v>
      </c>
      <c r="EA22" s="38" t="n">
        <f aca="false">IF(AND(Tasks[[#This Row],[_IsLeaf]]=1,Tasks[[#This Row],[_LeafTotalWork]]&gt;0),MAX(Tasks[[#This Row],[_StartWorkday]],NETWORKDAYS.INTL(ProjectStart,Tasks[[#This Row],[_ShownFcstFinish]],WorkWeek,Holidays)),0)</f>
        <v>0</v>
      </c>
      <c r="EB22" s="38" t="n">
        <f aca="false">IF(AND(Tasks[[#This Row],[_IsLeaf]]=1,Tasks[[#This Row],[_LeafTotalWork]]&gt;0),Tasks[[#This Row],[_LeafWork]]/(Tasks[[#This Row],[_FinishWorkday]]-Tasks[[#This Row],[_StartWorkday]]+1),0)</f>
        <v>0</v>
      </c>
      <c r="EC22" s="38" t="n">
        <f aca="false">Tasks[[#This Row],[_WorkPerWorkday]]*(Tasks[[#This Row],[_StartWorkday]]-1)</f>
        <v>-0</v>
      </c>
      <c r="ED22" s="38" t="n">
        <f aca="false">IF(Tasks[[#This Row],[_IsLeaf]]=1,MAX(N(Tasks[[#This Row],[Duration]]),0.1),0)</f>
        <v>0</v>
      </c>
      <c r="EE22" s="38" t="n">
        <f aca="false">Tasks[[#This Row],[_WeightDur]]*Tasks[[#This Row],[_LeafProgress]]</f>
        <v>0</v>
      </c>
      <c r="EF2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2" s="38" t="str">
        <f aca="false">IF(AND(Tasks[[#This Row],[_IsLeaf]]=1,N(Tasks[[#This Row],[Duration]])=0,Tasks[[#This Row],[_LeafProgress]]&lt;1),Tasks[[#This Row],[_ShownFcstFinish]]+Tasks[[#This Row],[_Row]]/100000,"")</f>
        <v/>
      </c>
      <c r="EH2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2" s="38" t="n">
        <f aca="false">IF(NOT(Tasks[[#This Row],[_IsLeaf]]=1),0,IF(Tasks[[#This Row],[Baseline Cost]]="",Tasks[[#This Row],[_LeafTotalCost]],N(Tasks[[#This Row],[Baseline Cost]])))</f>
        <v>0</v>
      </c>
      <c r="EJ22" s="38" t="n">
        <f aca="false">Tasks[[#This Row],[_LeafBudget]]*Tasks[[#This Row],[_PlannedPct]]</f>
        <v>0</v>
      </c>
      <c r="EK22" s="38" t="n">
        <f aca="false">Tasks[[#This Row],[_LeafBudget]]*Tasks[[#This Row],[_LeafProgress]]</f>
        <v>0</v>
      </c>
      <c r="EL22" s="38" t="n">
        <f aca="false">IF(NOT(Tasks[[#This Row],[_IsLeaf]]=1),0,IF(Tasks[[#This Row],[Actual Cost]]="",Tasks[[#This Row],[_LeafTotalCost]]*Tasks[[#This Row],[_LeafProgress]],N(Tasks[[#This Row],[Actual Cost]])))</f>
        <v>0</v>
      </c>
      <c r="EM22" s="38" t="str">
        <f aca="false">IF(Tasks[[#This Row],[Task Name]]="","",LEFT(Tasks[[#This Row],[WBS]],FIND(".",Tasks[[#This Row],[WBS]]&amp;".")-1))</f>
        <v/>
      </c>
      <c r="EN22" s="38" t="str">
        <f aca="false">IF(AND(Tasks[[#This Row],[Task Name]]&lt;&gt;"",Tasks[[#This Row],[_Level]]=1),Tasks[[#This Row],[_Row]],"")</f>
        <v/>
      </c>
      <c r="EO22" s="38" t="str">
        <f aca="false">IF(AND(Tasks[[#This Row],[_IsLeaf]]=1,N(Tasks[[#This Row],[Duration]])=0),Tasks[[#This Row],[Planned Finish]]+Tasks[[#This Row],[_Row]]/100000,"")</f>
        <v/>
      </c>
      <c r="EP22" s="38" t="str">
        <f aca="false">IF(AND(Tasks[[#This Row],[_IsLeaf]]=1,Tasks[[#This Row],[_LeafProgress]]&lt;1,OR(N(Tasks[[#This Row],[Finish Var]])&gt;0,Tasks[[#This Row],[Status]]="Late Start")),MAX(0,Tasks[[#This Row],[Finish Var]])+1-Tasks[[#This Row],[_Row]]/1000000,"")</f>
        <v/>
      </c>
      <c r="EQ22" s="38" t="str">
        <f aca="false">IF(AND(Tasks[[#This Row],[_IsLeaf]]=1,N(Tasks[[#This Row],[Actual Start]])=0,Tasks[[#This Row],[_ShownFcstStart]]&gt;=StatusDate,Tasks[[#This Row],[_ShownFcstStart]]&lt;=LookaheadEnd),Tasks[[#This Row],[_ShownFcstStart]]+Tasks[[#This Row],[_Row]]/100000,"")</f>
        <v/>
      </c>
      <c r="ER22" s="38" t="str">
        <f aca="false">IF(AND(Tasks[[#This Row],[_IsLeaf]]=1,Tasks[[#This Row],[_LeafProgress]]&lt;1,Tasks[[#This Row],[_ShownFcstFinish]]&gt;=StatusDate,Tasks[[#This Row],[_ShownFcstFinish]]&lt;=LookaheadEnd),Tasks[[#This Row],[_ShownFcstFinish]]+Tasks[[#This Row],[_Row]]/100000,"")</f>
        <v/>
      </c>
      <c r="ES22" s="38" t="str">
        <f aca="false">IF(Tasks[[#This Row],[_LeafCritical]],Tasks[[#This Row],[_ShownFcstStart]]+Tasks[[#This Row],[_Row]]/100000,"")</f>
        <v/>
      </c>
      <c r="ET22" s="38" t="n">
        <f aca="false">Tasks[[#This Row],[_LeafWork]]*Tasks[[#This Row],[_LeafProgress]]</f>
        <v>0</v>
      </c>
      <c r="EU22" s="115" t="str">
        <f aca="false">IF(AND(Tasks[[#This Row],[_IsLeaf]]=1,Tasks[[#This Row],[_LeafProgress]]&gt;=1),IF(N(Tasks[[#This Row],[Actual Finish]])&gt;0,Tasks[[#This Row],[Actual Finish]],Tasks[[#This Row],[_ShownFcstFinish]]),"")</f>
        <v/>
      </c>
      <c r="EV22" s="38" t="n">
        <f aca="false">IF(Tasks[[#This Row],[_IsLeaf]]=1,N(Tasks[[#This Row],[Story Points]]),0)</f>
        <v>0</v>
      </c>
      <c r="EW22" s="38" t="str">
        <f aca="false">IF(AND(Tasks[[#This Row],[_IsLeaf]]=1,CurrentSprint&lt;&gt;"",Tasks[[#This Row],[Sprint]]=CurrentSprint),Tasks[[#This Row],[_Row]],"")</f>
        <v/>
      </c>
    </row>
    <row r="23" customFormat="false" ht="15" hidden="false" customHeight="false" outlineLevel="0" collapsed="false">
      <c r="A23" s="51" t="str">
        <f aca="false">IF(Tasks[[#This Row],[Task Name]]="","",COUNTA(Tasks[[#Headers],[Task Name]]:Tasks[[#This Row],[Task Name]])-1)</f>
        <v/>
      </c>
      <c r="B23" s="52" t="n">
        <v>18</v>
      </c>
      <c r="C2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3" s="52"/>
      <c r="E23" s="53"/>
      <c r="F23" s="52"/>
      <c r="G23" s="52"/>
      <c r="H23" s="52"/>
      <c r="I23" s="52"/>
      <c r="J23" s="52"/>
      <c r="K23" s="52"/>
      <c r="L23" s="52"/>
      <c r="M23" s="52"/>
      <c r="N23" s="52"/>
      <c r="O23" s="52"/>
      <c r="P23" s="52"/>
      <c r="Q23" s="52"/>
      <c r="R23" s="52"/>
      <c r="S23" s="53"/>
      <c r="T23" s="102"/>
      <c r="U23" s="102"/>
      <c r="V23" s="7"/>
      <c r="W23" s="7"/>
      <c r="X23" s="53"/>
      <c r="Y23" s="31" t="str">
        <f aca="false">IF(Tasks[[#This Row],[Task Name]]="","",IF(Tasks[[#This Row],[_IsSummary]],MIN(INDEX(Tasks[_ShownFcstStart],Tasks[[#This Row],[_Row]]+1):INDEX(Tasks[_ShownFcstStart],Tasks[[#This Row],[_Row]]+Tasks[[#This Row],[_Descendants]])),Tasks[[#This Row],[_ShownFcstStart]]))</f>
        <v/>
      </c>
      <c r="Z23" s="31" t="str">
        <f aca="false">IF(Tasks[[#This Row],[Task Name]]="","",IF(Tasks[[#This Row],[_IsSummary]],MAX(INDEX(Tasks[_ShownFcstFinish],Tasks[[#This Row],[_Row]]+1):INDEX(Tasks[_ShownFcstFinish],Tasks[[#This Row],[_Row]]+Tasks[[#This Row],[_Descendants]])),Tasks[[#This Row],[_ShownFcstFinish]]))</f>
        <v/>
      </c>
      <c r="AA23" s="51" t="str">
        <f aca="false">IF(Tasks[[#This Row],[Task Name]]="","",IF(Tasks[[#This Row],[Progress]]&gt;=1,"Complete",IF(OR(N(Tasks[[#This Row],[Actual Start]])&gt;0,Tasks[[#This Row],[Progress]]&gt;0),IF(Tasks[[#This Row],[Finish Var]]&gt;0,"Behind","In Progress"),IF(Tasks[[#This Row],[Planned Start]]&lt;StatusDate,"Late Start","Not Started"))))</f>
        <v/>
      </c>
      <c r="AB23" s="51" t="str">
        <f aca="false">IF(Tasks[[#This Row],[Task Name]]="","",IF(IF(Tasks[[#This Row],[_IsSummary]],COUNTIF(INDEX(Tasks[_LeafCritical],Tasks[[#This Row],[_Row]]+1):INDEX(Tasks[_LeafCritical],Tasks[[#This Row],[_Row]]+Tasks[[#This Row],[_Descendants]]),TRUE())&gt;0,Tasks[[#This Row],[_LeafCritical]]),"Yes",""))</f>
        <v/>
      </c>
      <c r="AC2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3" s="51" t="str">
        <f aca="false">IF(Tasks[[#This Row],[Task Name]]="","",IF(Tasks[[#This Row],[_Level]]&lt;=OutlineShowLevel,"Yes","No"))</f>
        <v/>
      </c>
      <c r="AE23" s="7"/>
      <c r="AF23" s="52"/>
      <c r="AG23" s="53"/>
      <c r="AH23" s="7"/>
      <c r="AI2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3" s="31" t="str">
        <f aca="false">IF(Tasks[[#This Row],[Task Name]]="","",IF(N(Tasks[[#This Row],[Baseline Start]])&gt;0,Tasks[[#This Row],[Baseline Start]],Tasks[[#This Row],[_CalcStart]]))</f>
        <v/>
      </c>
      <c r="AK23" s="31" t="str">
        <f aca="false">IF(Tasks[[#This Row],[Task Name]]="","",IF(N(Tasks[[#This Row],[Baseline Finish]])&gt;0,Tasks[[#This Row],[Baseline Finish]],Tasks[[#This Row],[_CalcFinish]]))</f>
        <v/>
      </c>
      <c r="AL2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3" s="31" t="str">
        <f aca="false">IF(Tasks[[#This Row],[Task Name]]="","",IF(Tasks[[#This Row],[_IsSummary]],MIN(INDEX(Tasks[_LeafLateStart],Tasks[[#This Row],[_Row]]+1):INDEX(Tasks[_LeafLateStart],Tasks[[#This Row],[_Row]]+Tasks[[#This Row],[_Descendants]])),Tasks[[#This Row],[_LeafLateStart]]))</f>
        <v/>
      </c>
      <c r="AN23" s="31" t="str">
        <f aca="false">IF(Tasks[[#This Row],[Task Name]]="","",IF(Tasks[[#This Row],[_IsSummary]],MAX(INDEX(Tasks[_LeafLateFinish],Tasks[[#This Row],[_Row]]+1):INDEX(Tasks[_LeafLateFinish],Tasks[[#This Row],[_Row]]+Tasks[[#This Row],[_Descendants]])),Tasks[[#This Row],[_LeafLateFinish]]))</f>
        <v/>
      </c>
      <c r="AO23" s="51" t="str">
        <f aca="false">IF(Tasks[[#This Row],[Task Name]]="","",IF(Tasks[[#This Row],[_IsSummary]],MIN(INDEX(Tasks[_LeafTotalSlack],Tasks[[#This Row],[_Row]]+1):INDEX(Tasks[_LeafTotalSlack],Tasks[[#This Row],[_Row]]+Tasks[[#This Row],[_Descendants]])),Tasks[[#This Row],[_LeafTotalSlack]]))</f>
        <v/>
      </c>
      <c r="AP2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3" s="110" t="str">
        <f aca="false">IF(Tasks[[#This Row],[Task Name]]="","",IF(Tasks[[#This Row],[_IsSummary]],SUM(INDEX(Tasks[_LeafTotalWork],Tasks[[#This Row],[_Row]]+1):INDEX(Tasks[_LeafTotalWork],Tasks[[#This Row],[_Row]]+Tasks[[#This Row],[_Descendants]])),Tasks[[#This Row],[_LeafTotalWork]]))</f>
        <v/>
      </c>
      <c r="AV2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3" s="111" t="str">
        <f aca="false">IF(Tasks[[#This Row],[Task Name]]="","",IF(Tasks[[#This Row],[_IsSummary]],SUM(INDEX(Tasks[_LeafTotalCost],Tasks[[#This Row],[_Row]]+1):INDEX(Tasks[_LeafTotalCost],Tasks[[#This Row],[_Row]]+Tasks[[#This Row],[_Descendants]])),Tasks[[#This Row],[_LeafTotalCost]]))</f>
        <v/>
      </c>
      <c r="AY23" s="112"/>
      <c r="AZ2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3" s="52"/>
      <c r="BB23" s="98"/>
      <c r="BC23" s="51" t="str">
        <f aca="false">IF(OR(Tasks[[#This Row],[Task Name]]="",Tasks[[#This Row],[Baseline Duration]]=""),"",Tasks[[#This Row],[BL Source Duration]]-N(Tasks[[#This Row],[Baseline Duration]]))</f>
        <v/>
      </c>
      <c r="BD23" s="110" t="str">
        <f aca="false">IF(OR(Tasks[[#This Row],[Task Name]]="",Tasks[[#This Row],[Baseline Work]]=""),"",Tasks[[#This Row],[Work]]-N(Tasks[[#This Row],[Baseline Work]]))</f>
        <v/>
      </c>
      <c r="BE23" s="111" t="str">
        <f aca="false">IF(OR(Tasks[[#This Row],[Task Name]]="",Tasks[[#This Row],[Baseline Cost]]=""),"",Tasks[[#This Row],[Cost]]-N(Tasks[[#This Row],[Baseline Cost]]))</f>
        <v/>
      </c>
      <c r="BF23" s="31" t="str">
        <f aca="false">IF(Tasks[[#This Row],[Task Name]]="","",Tasks[[#This Row],[Forecast Start]])</f>
        <v/>
      </c>
      <c r="BG23" s="31" t="str">
        <f aca="false">IF(Tasks[[#This Row],[Task Name]]="","",Tasks[[#This Row],[Forecast Finish]])</f>
        <v/>
      </c>
      <c r="BH23" s="51" t="str">
        <f aca="false">IF(Tasks[[#This Row],[Task Name]]="","",IF(Tasks[[#This Row],[_IsSummary]],NETWORKDAYS.INTL(Tasks[[#This Row],[Forecast Start]],Tasks[[#This Row],[Forecast Finish]],WorkWeek,Holidays),N(Tasks[[#This Row],[Duration]])))</f>
        <v/>
      </c>
      <c r="BI23" s="110" t="str">
        <f aca="false">IF(Tasks[[#This Row],[Task Name]]="","",Tasks[[#This Row],[Work]])</f>
        <v/>
      </c>
      <c r="BJ23" s="111" t="str">
        <f aca="false">IF(Tasks[[#This Row],[Task Name]]="","",Tasks[[#This Row],[Cost]])</f>
        <v/>
      </c>
      <c r="BK23" s="7"/>
      <c r="BL23" s="7"/>
      <c r="BM23" s="52"/>
      <c r="BN23" s="113"/>
      <c r="BO23" s="112"/>
      <c r="BP23" s="111" t="str">
        <f aca="false">IF(Tasks[[#This Row],[Task Name]]="","",IF(Tasks[[#This Row],[_IsSummary]],SUM(INDEX(Tasks[_LeafEV],Tasks[[#This Row],[_Row]]+1):INDEX(Tasks[_LeafEV],Tasks[[#This Row],[_Row]]+Tasks[[#This Row],[_Descendants]])),Tasks[[#This Row],[_LeafEV]]))</f>
        <v/>
      </c>
      <c r="BQ23" s="111" t="str">
        <f aca="false">IF(Tasks[[#This Row],[Task Name]]="","",IF(Tasks[[#This Row],[_IsSummary]],SUM(INDEX(Tasks[_LeafBudget],Tasks[[#This Row],[_Row]]+1):INDEX(Tasks[_LeafBudget],Tasks[[#This Row],[_Row]]+Tasks[[#This Row],[_Descendants]])),Tasks[[#This Row],[_LeafBudget]]))</f>
        <v/>
      </c>
      <c r="BR23" s="111" t="str">
        <f aca="false">IF(Tasks[[#This Row],[Task Name]]="","",IF(Tasks[[#This Row],[_IsSummary]],SUM(INDEX(Tasks[_LeafPV],Tasks[[#This Row],[_Row]]+1):INDEX(Tasks[_LeafPV],Tasks[[#This Row],[_Row]]+Tasks[[#This Row],[_Descendants]])),Tasks[[#This Row],[_LeafPV]]))</f>
        <v/>
      </c>
      <c r="BS23" s="111" t="str">
        <f aca="false">IF(Tasks[[#This Row],[Task Name]]="","",IF(Tasks[[#This Row],[_IsSummary]],SUM(INDEX(Tasks[_LeafAC],Tasks[[#This Row],[_Row]]+1):INDEX(Tasks[_LeafAC],Tasks[[#This Row],[_Row]]+Tasks[[#This Row],[_Descendants]])),Tasks[[#This Row],[_LeafAC]]))</f>
        <v/>
      </c>
      <c r="BT23" s="38" t="str">
        <f aca="false">IF(Tasks[[#This Row],[Task Name]]="","",MAX(1,N(Tasks[[#This Row],[Level]])))</f>
        <v/>
      </c>
      <c r="BU23" s="38" t="n">
        <f aca="false">ROW()-ROW(Tasks[[#Headers],[ID]])</f>
        <v>18</v>
      </c>
      <c r="BV23" s="38" t="n">
        <f aca="false">IF(OR(Tasks[[#This Row],[Task Name]]="",Tasks[[#This Row],[_Level]]&lt;=1),0,IFERROR(LOOKUP(2,1/(Tasks[[#Headers],[_Level]]:Tasks[[#This Row],[_Level]]=Tasks[[#This Row],[_Level]]-1),ROW(Tasks[[#Headers],[_Level]]:Tasks[[#This Row],[_Level]])),0))</f>
        <v>0</v>
      </c>
      <c r="BW23" s="38" t="n">
        <f aca="false">IFERROR(N(INDEX(Tasks[_Level],Tasks[[#This Row],[_Row]]+1)),0)</f>
        <v>0</v>
      </c>
      <c r="BX23" s="114" t="b">
        <f aca="false">AND(Tasks[[#This Row],[Task Name]]&lt;&gt;"",Tasks[[#This Row],[_NextLevel]]&gt;Tasks[[#This Row],[_Level]])</f>
        <v>0</v>
      </c>
      <c r="BY23" s="38" t="n">
        <f aca="false">IF(Tasks[[#This Row],[_IsSummary]],COUNTIF(Tasks[WBS],Tasks[[#This Row],[WBS]]&amp;".*"),0)</f>
        <v>0</v>
      </c>
      <c r="BZ23" s="38" t="n">
        <f aca="false">IF(AND(Tasks[[#This Row],[Task Name]]&lt;&gt;"",NOT(Tasks[[#This Row],[_IsSummary]])),1,0)</f>
        <v>0</v>
      </c>
      <c r="CA23" s="38" t="n">
        <f aca="false">IF(N(Tasks[[#This Row],[Pred1 UID]])=0,0,IFERROR(MATCH(Tasks[[#This Row],[Pred1 UID]],Tasks[UID],0),-1))</f>
        <v>0</v>
      </c>
      <c r="CB23" s="38" t="n">
        <f aca="false">IF(N(Tasks[[#This Row],[Pred2 UID]])=0,0,IFERROR(MATCH(Tasks[[#This Row],[Pred2 UID]],Tasks[UID],0),-1))</f>
        <v>0</v>
      </c>
      <c r="CC23" s="38" t="n">
        <f aca="false">IF(N(Tasks[[#This Row],[Pred3 UID]])=0,0,IFERROR(MATCH(Tasks[[#This Row],[Pred3 UID]],Tasks[UID],0),-1))</f>
        <v>0</v>
      </c>
      <c r="CD23" s="38" t="n">
        <f aca="false">IF(N(Tasks[[#This Row],[Pred4 UID]])=0,0,IFERROR(MATCH(Tasks[[#This Row],[Pred4 UID]],Tasks[UID],0),-1))</f>
        <v>0</v>
      </c>
      <c r="CE2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3" s="115" t="n">
        <f aca="false">IF(OR(Tasks[[#This Row],[_ConstraintCode]]=2,Tasks[[#This Row],[_ConstraintCode]]=3,Tasks[[#This Row],[_ConstraintCode]]=4,Tasks[[#This Row],[_ConstraintCode]]=6),Tasks[[#This Row],[_ConstraintStart]],0)</f>
        <v>0</v>
      </c>
      <c r="CH23" s="115" t="n">
        <f aca="false">IF(OR(Tasks[[#This Row],[_ConstraintCode]]=2,Tasks[[#This Row],[_ConstraintCode]]=3,Tasks[[#This Row],[_ConstraintCode]]=5,Tasks[[#This Row],[_ConstraintCode]]=7),Tasks[[#This Row],[_ConstraintStart]],2958465)</f>
        <v>2958465</v>
      </c>
      <c r="CI2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3" s="115" t="str">
        <f aca="false">IF(NOT(Tasks[[#This Row],[_IsLeaf]]=1),"",IF(N(Tasks[[#This Row],[Duration]])&lt;=0,Tasks[[#This Row],[_LeafCalcStart]],WORKDAY.INTL(Tasks[[#This Row],[_LeafCalcStart]],Tasks[[#This Row],[Duration]]-1,WorkWeek,Holidays)))</f>
        <v/>
      </c>
      <c r="CK2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3" s="38" t="n">
        <f aca="false">IF(NOT(Tasks[[#This Row],[_IsLeaf]]=1),0,IF(N(Tasks[[#This Row],[Actual Finish]])&gt;0,1,MIN(1,N(Tasks[[#This Row],[% Complete]]))))</f>
        <v>0</v>
      </c>
      <c r="CN23" s="38" t="n">
        <f aca="false">IF(OR(NOT(Tasks[[#This Row],[_IsLeaf]]=1),Tasks[[#This Row],[Resource]]=""),0,N(Tasks[[#This Row],[Duration]])*HoursPerDay*IF(Tasks[[#This Row],[Units]]="",DefaultUnits,Tasks[[#This Row],[Units]]))</f>
        <v>0</v>
      </c>
      <c r="CO23" s="38" t="n">
        <f aca="false">IF(Tasks[[#This Row],[_LeafWork]]=0,0,Tasks[[#This Row],[_LeafWork]]*IFERROR(INDEX(res_Rate,MATCH(Tasks[[#This Row],[Resource]],res_Name,0)),0))</f>
        <v>0</v>
      </c>
      <c r="CP23" s="38" t="n">
        <f aca="false">Tasks[[#This Row],[_LeafWork]]+IF(Tasks[[#This Row],[_IsLeaf]]=1,SUMIFS(asg_Work,asg_TaskUID,Tasks[[#This Row],[UID]],asg_Valid,1),0)</f>
        <v>0</v>
      </c>
      <c r="CQ23" s="38" t="n">
        <f aca="false">Tasks[[#This Row],[_LeafCost]]+IF(Tasks[[#This Row],[_IsLeaf]]=1,SUMIFS(asg_Cost,asg_TaskUID,Tasks[[#This Row],[UID]],asg_Valid,1),0)</f>
        <v>0</v>
      </c>
      <c r="CR23" s="38" t="n">
        <f aca="false">IF(Tasks[[#This Row],[_LeafTotalCost]]=0,Tasks[[#This Row],[_LeafAC]],Tasks[[#This Row],[_LeafAC]]*Tasks[[#This Row],[_LeafCost]]/Tasks[[#This Row],[_LeafTotalCost]])</f>
        <v>0</v>
      </c>
      <c r="CS2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3" s="38" t="n">
        <f aca="false">IF(NOT(Tasks[[#This Row],[_IsLeaf]]=1),0,MAX(_xlfn.MAXIFS(Tasks[_Row],Tasks[Pred1 UID],Tasks[[#This Row],[UID]]),_xlfn.MAXIFS(Tasks[_Row],Tasks[Pred2 UID],Tasks[[#This Row],[UID]]),_xlfn.MAXIFS(Tasks[_Row],Tasks[Pred3 UID],Tasks[[#This Row],[UID]]),_xlfn.MAXIFS(Tasks[_Row],Tasks[Pred4 UID],Tasks[[#This Row],[UID]])))</f>
        <v>0</v>
      </c>
      <c r="DB2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3" s="115" t="str">
        <f aca="false">IF(NOT(Tasks[[#This Row],[_IsLeaf]]=1),"",IF(N(Tasks[[#This Row],[Duration]])&lt;=0,Tasks[[#This Row],[_LeafLateFinish]],WORKDAY.INTL(Tasks[[#This Row],[_LeafLateFinish]],-(Tasks[[#This Row],[Duration]]-1),WorkWeek,Holidays)))</f>
        <v/>
      </c>
      <c r="DE2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3" s="114" t="b">
        <f aca="false">AND(Tasks[[#This Row],[_IsLeaf]]=1,Tasks[[#This Row],[_LeafProgress]]&lt;1,N(Tasks[[#This Row],[_LeafTotalSlack]])&lt;=CriticalSlackDays)</f>
        <v>0</v>
      </c>
      <c r="DG23" s="38" t="n">
        <f aca="false">IF(AND(Tasks[[#This Row],[_IsLeaf]]=1,Tasks[[#This Row],[_ConstraintCode]]=1,Tasks[[#This Row],[Mode]]&lt;&gt;"Manual",N(Tasks[[#This Row],[Actual Start]])=0),MAX(0,N(Tasks[[#This Row],[Free Slack]])),0)</f>
        <v>0</v>
      </c>
      <c r="DH23" s="115" t="str">
        <f aca="false">IF(NOT(Tasks[[#This Row],[_IsLeaf]]=1),"",IF(Tasks[[#This Row],[_AlapShift]]=0,Tasks[[#This Row],[_LeafCalcStart]],WORKDAY.INTL(Tasks[[#This Row],[_LeafCalcStart]],Tasks[[#This Row],[_AlapShift]],WorkWeek,Holidays)))</f>
        <v/>
      </c>
      <c r="DI23" s="115" t="str">
        <f aca="false">IF(NOT(Tasks[[#This Row],[_IsLeaf]]=1),"",IF(Tasks[[#This Row],[_AlapShift]]=0,Tasks[[#This Row],[_LeafCalcFinish]],WORKDAY.INTL(Tasks[[#This Row],[_LeafCalcFinish]],Tasks[[#This Row],[_AlapShift]],WorkWeek,Holidays)))</f>
        <v/>
      </c>
      <c r="DJ23" s="115" t="str">
        <f aca="false">IF(NOT(Tasks[[#This Row],[_IsLeaf]]=1),"",IF(Tasks[[#This Row],[_AlapShift]]=0,Tasks[[#This Row],[_LeafFcstStart]],WORKDAY.INTL(Tasks[[#This Row],[_LeafFcstStart]],Tasks[[#This Row],[_AlapShift]],WorkWeek,Holidays)))</f>
        <v/>
      </c>
      <c r="DK23" s="115" t="str">
        <f aca="false">IF(NOT(Tasks[[#This Row],[_IsLeaf]]=1),"",IF(Tasks[[#This Row],[_AlapShift]]=0,Tasks[[#This Row],[_LeafFcstFinish]],WORKDAY.INTL(Tasks[[#This Row],[_LeafFcstFinish]],Tasks[[#This Row],[_AlapShift]],WorkWeek,Holidays)))</f>
        <v/>
      </c>
      <c r="DL23" s="115" t="str">
        <f aca="false">IF(Tasks[[#This Row],[Task Name]]="","",IF(Tasks[[#This Row],[_IsSummary]],MIN(INDEX(Tasks[_ShownCalcStart],Tasks[[#This Row],[_Row]]+1):INDEX(Tasks[_ShownCalcStart],Tasks[[#This Row],[_Row]]+Tasks[[#This Row],[_Descendants]])),Tasks[[#This Row],[_ShownCalcStart]]))</f>
        <v/>
      </c>
      <c r="DM23" s="115" t="str">
        <f aca="false">IF(Tasks[[#This Row],[Task Name]]="","",IF(Tasks[[#This Row],[_IsSummary]],MAX(INDEX(Tasks[_ShownCalcFinish],Tasks[[#This Row],[_Row]]+1):INDEX(Tasks[_ShownCalcFinish],Tasks[[#This Row],[_Row]]+Tasks[[#This Row],[_Descendants]])),Tasks[[#This Row],[_ShownCalcFinish]]))</f>
        <v/>
      </c>
      <c r="DN2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3" s="38" t="n">
        <f aca="false">IF(AND(Tasks[[#This Row],[_IsLeaf]]=1,Tasks[[#This Row],[_LeafTotalWork]]&gt;0),NETWORKDAYS.INTL(ProjectStart,Tasks[[#This Row],[_ShownFcstStart]],WorkWeek,Holidays),0)</f>
        <v>0</v>
      </c>
      <c r="EA23" s="38" t="n">
        <f aca="false">IF(AND(Tasks[[#This Row],[_IsLeaf]]=1,Tasks[[#This Row],[_LeafTotalWork]]&gt;0),MAX(Tasks[[#This Row],[_StartWorkday]],NETWORKDAYS.INTL(ProjectStart,Tasks[[#This Row],[_ShownFcstFinish]],WorkWeek,Holidays)),0)</f>
        <v>0</v>
      </c>
      <c r="EB23" s="38" t="n">
        <f aca="false">IF(AND(Tasks[[#This Row],[_IsLeaf]]=1,Tasks[[#This Row],[_LeafTotalWork]]&gt;0),Tasks[[#This Row],[_LeafWork]]/(Tasks[[#This Row],[_FinishWorkday]]-Tasks[[#This Row],[_StartWorkday]]+1),0)</f>
        <v>0</v>
      </c>
      <c r="EC23" s="38" t="n">
        <f aca="false">Tasks[[#This Row],[_WorkPerWorkday]]*(Tasks[[#This Row],[_StartWorkday]]-1)</f>
        <v>-0</v>
      </c>
      <c r="ED23" s="38" t="n">
        <f aca="false">IF(Tasks[[#This Row],[_IsLeaf]]=1,MAX(N(Tasks[[#This Row],[Duration]]),0.1),0)</f>
        <v>0</v>
      </c>
      <c r="EE23" s="38" t="n">
        <f aca="false">Tasks[[#This Row],[_WeightDur]]*Tasks[[#This Row],[_LeafProgress]]</f>
        <v>0</v>
      </c>
      <c r="EF2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3" s="38" t="str">
        <f aca="false">IF(AND(Tasks[[#This Row],[_IsLeaf]]=1,N(Tasks[[#This Row],[Duration]])=0,Tasks[[#This Row],[_LeafProgress]]&lt;1),Tasks[[#This Row],[_ShownFcstFinish]]+Tasks[[#This Row],[_Row]]/100000,"")</f>
        <v/>
      </c>
      <c r="EH2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3" s="38" t="n">
        <f aca="false">IF(NOT(Tasks[[#This Row],[_IsLeaf]]=1),0,IF(Tasks[[#This Row],[Baseline Cost]]="",Tasks[[#This Row],[_LeafTotalCost]],N(Tasks[[#This Row],[Baseline Cost]])))</f>
        <v>0</v>
      </c>
      <c r="EJ23" s="38" t="n">
        <f aca="false">Tasks[[#This Row],[_LeafBudget]]*Tasks[[#This Row],[_PlannedPct]]</f>
        <v>0</v>
      </c>
      <c r="EK23" s="38" t="n">
        <f aca="false">Tasks[[#This Row],[_LeafBudget]]*Tasks[[#This Row],[_LeafProgress]]</f>
        <v>0</v>
      </c>
      <c r="EL23" s="38" t="n">
        <f aca="false">IF(NOT(Tasks[[#This Row],[_IsLeaf]]=1),0,IF(Tasks[[#This Row],[Actual Cost]]="",Tasks[[#This Row],[_LeafTotalCost]]*Tasks[[#This Row],[_LeafProgress]],N(Tasks[[#This Row],[Actual Cost]])))</f>
        <v>0</v>
      </c>
      <c r="EM23" s="38" t="str">
        <f aca="false">IF(Tasks[[#This Row],[Task Name]]="","",LEFT(Tasks[[#This Row],[WBS]],FIND(".",Tasks[[#This Row],[WBS]]&amp;".")-1))</f>
        <v/>
      </c>
      <c r="EN23" s="38" t="str">
        <f aca="false">IF(AND(Tasks[[#This Row],[Task Name]]&lt;&gt;"",Tasks[[#This Row],[_Level]]=1),Tasks[[#This Row],[_Row]],"")</f>
        <v/>
      </c>
      <c r="EO23" s="38" t="str">
        <f aca="false">IF(AND(Tasks[[#This Row],[_IsLeaf]]=1,N(Tasks[[#This Row],[Duration]])=0),Tasks[[#This Row],[Planned Finish]]+Tasks[[#This Row],[_Row]]/100000,"")</f>
        <v/>
      </c>
      <c r="EP23" s="38" t="str">
        <f aca="false">IF(AND(Tasks[[#This Row],[_IsLeaf]]=1,Tasks[[#This Row],[_LeafProgress]]&lt;1,OR(N(Tasks[[#This Row],[Finish Var]])&gt;0,Tasks[[#This Row],[Status]]="Late Start")),MAX(0,Tasks[[#This Row],[Finish Var]])+1-Tasks[[#This Row],[_Row]]/1000000,"")</f>
        <v/>
      </c>
      <c r="EQ23" s="38" t="str">
        <f aca="false">IF(AND(Tasks[[#This Row],[_IsLeaf]]=1,N(Tasks[[#This Row],[Actual Start]])=0,Tasks[[#This Row],[_ShownFcstStart]]&gt;=StatusDate,Tasks[[#This Row],[_ShownFcstStart]]&lt;=LookaheadEnd),Tasks[[#This Row],[_ShownFcstStart]]+Tasks[[#This Row],[_Row]]/100000,"")</f>
        <v/>
      </c>
      <c r="ER23" s="38" t="str">
        <f aca="false">IF(AND(Tasks[[#This Row],[_IsLeaf]]=1,Tasks[[#This Row],[_LeafProgress]]&lt;1,Tasks[[#This Row],[_ShownFcstFinish]]&gt;=StatusDate,Tasks[[#This Row],[_ShownFcstFinish]]&lt;=LookaheadEnd),Tasks[[#This Row],[_ShownFcstFinish]]+Tasks[[#This Row],[_Row]]/100000,"")</f>
        <v/>
      </c>
      <c r="ES23" s="38" t="str">
        <f aca="false">IF(Tasks[[#This Row],[_LeafCritical]],Tasks[[#This Row],[_ShownFcstStart]]+Tasks[[#This Row],[_Row]]/100000,"")</f>
        <v/>
      </c>
      <c r="ET23" s="38" t="n">
        <f aca="false">Tasks[[#This Row],[_LeafWork]]*Tasks[[#This Row],[_LeafProgress]]</f>
        <v>0</v>
      </c>
      <c r="EU23" s="115" t="str">
        <f aca="false">IF(AND(Tasks[[#This Row],[_IsLeaf]]=1,Tasks[[#This Row],[_LeafProgress]]&gt;=1),IF(N(Tasks[[#This Row],[Actual Finish]])&gt;0,Tasks[[#This Row],[Actual Finish]],Tasks[[#This Row],[_ShownFcstFinish]]),"")</f>
        <v/>
      </c>
      <c r="EV23" s="38" t="n">
        <f aca="false">IF(Tasks[[#This Row],[_IsLeaf]]=1,N(Tasks[[#This Row],[Story Points]]),0)</f>
        <v>0</v>
      </c>
      <c r="EW23" s="38" t="str">
        <f aca="false">IF(AND(Tasks[[#This Row],[_IsLeaf]]=1,CurrentSprint&lt;&gt;"",Tasks[[#This Row],[Sprint]]=CurrentSprint),Tasks[[#This Row],[_Row]],"")</f>
        <v/>
      </c>
    </row>
    <row r="24" customFormat="false" ht="15" hidden="false" customHeight="false" outlineLevel="0" collapsed="false">
      <c r="A24" s="51" t="str">
        <f aca="false">IF(Tasks[[#This Row],[Task Name]]="","",COUNTA(Tasks[[#Headers],[Task Name]]:Tasks[[#This Row],[Task Name]])-1)</f>
        <v/>
      </c>
      <c r="B24" s="52" t="n">
        <v>19</v>
      </c>
      <c r="C2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4" s="52"/>
      <c r="E24" s="53"/>
      <c r="F24" s="52"/>
      <c r="G24" s="52"/>
      <c r="H24" s="52"/>
      <c r="I24" s="52"/>
      <c r="J24" s="52"/>
      <c r="K24" s="52"/>
      <c r="L24" s="52"/>
      <c r="M24" s="52"/>
      <c r="N24" s="52"/>
      <c r="O24" s="52"/>
      <c r="P24" s="52"/>
      <c r="Q24" s="52"/>
      <c r="R24" s="52"/>
      <c r="S24" s="53"/>
      <c r="T24" s="102"/>
      <c r="U24" s="102"/>
      <c r="V24" s="7"/>
      <c r="W24" s="7"/>
      <c r="X24" s="53"/>
      <c r="Y24" s="31" t="str">
        <f aca="false">IF(Tasks[[#This Row],[Task Name]]="","",IF(Tasks[[#This Row],[_IsSummary]],MIN(INDEX(Tasks[_ShownFcstStart],Tasks[[#This Row],[_Row]]+1):INDEX(Tasks[_ShownFcstStart],Tasks[[#This Row],[_Row]]+Tasks[[#This Row],[_Descendants]])),Tasks[[#This Row],[_ShownFcstStart]]))</f>
        <v/>
      </c>
      <c r="Z24" s="31" t="str">
        <f aca="false">IF(Tasks[[#This Row],[Task Name]]="","",IF(Tasks[[#This Row],[_IsSummary]],MAX(INDEX(Tasks[_ShownFcstFinish],Tasks[[#This Row],[_Row]]+1):INDEX(Tasks[_ShownFcstFinish],Tasks[[#This Row],[_Row]]+Tasks[[#This Row],[_Descendants]])),Tasks[[#This Row],[_ShownFcstFinish]]))</f>
        <v/>
      </c>
      <c r="AA24" s="51" t="str">
        <f aca="false">IF(Tasks[[#This Row],[Task Name]]="","",IF(Tasks[[#This Row],[Progress]]&gt;=1,"Complete",IF(OR(N(Tasks[[#This Row],[Actual Start]])&gt;0,Tasks[[#This Row],[Progress]]&gt;0),IF(Tasks[[#This Row],[Finish Var]]&gt;0,"Behind","In Progress"),IF(Tasks[[#This Row],[Planned Start]]&lt;StatusDate,"Late Start","Not Started"))))</f>
        <v/>
      </c>
      <c r="AB24" s="51" t="str">
        <f aca="false">IF(Tasks[[#This Row],[Task Name]]="","",IF(IF(Tasks[[#This Row],[_IsSummary]],COUNTIF(INDEX(Tasks[_LeafCritical],Tasks[[#This Row],[_Row]]+1):INDEX(Tasks[_LeafCritical],Tasks[[#This Row],[_Row]]+Tasks[[#This Row],[_Descendants]]),TRUE())&gt;0,Tasks[[#This Row],[_LeafCritical]]),"Yes",""))</f>
        <v/>
      </c>
      <c r="AC2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4" s="51" t="str">
        <f aca="false">IF(Tasks[[#This Row],[Task Name]]="","",IF(Tasks[[#This Row],[_Level]]&lt;=OutlineShowLevel,"Yes","No"))</f>
        <v/>
      </c>
      <c r="AE24" s="7"/>
      <c r="AF24" s="52"/>
      <c r="AG24" s="53"/>
      <c r="AH24" s="7"/>
      <c r="AI2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4" s="31" t="str">
        <f aca="false">IF(Tasks[[#This Row],[Task Name]]="","",IF(N(Tasks[[#This Row],[Baseline Start]])&gt;0,Tasks[[#This Row],[Baseline Start]],Tasks[[#This Row],[_CalcStart]]))</f>
        <v/>
      </c>
      <c r="AK24" s="31" t="str">
        <f aca="false">IF(Tasks[[#This Row],[Task Name]]="","",IF(N(Tasks[[#This Row],[Baseline Finish]])&gt;0,Tasks[[#This Row],[Baseline Finish]],Tasks[[#This Row],[_CalcFinish]]))</f>
        <v/>
      </c>
      <c r="AL2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4" s="31" t="str">
        <f aca="false">IF(Tasks[[#This Row],[Task Name]]="","",IF(Tasks[[#This Row],[_IsSummary]],MIN(INDEX(Tasks[_LeafLateStart],Tasks[[#This Row],[_Row]]+1):INDEX(Tasks[_LeafLateStart],Tasks[[#This Row],[_Row]]+Tasks[[#This Row],[_Descendants]])),Tasks[[#This Row],[_LeafLateStart]]))</f>
        <v/>
      </c>
      <c r="AN24" s="31" t="str">
        <f aca="false">IF(Tasks[[#This Row],[Task Name]]="","",IF(Tasks[[#This Row],[_IsSummary]],MAX(INDEX(Tasks[_LeafLateFinish],Tasks[[#This Row],[_Row]]+1):INDEX(Tasks[_LeafLateFinish],Tasks[[#This Row],[_Row]]+Tasks[[#This Row],[_Descendants]])),Tasks[[#This Row],[_LeafLateFinish]]))</f>
        <v/>
      </c>
      <c r="AO24" s="51" t="str">
        <f aca="false">IF(Tasks[[#This Row],[Task Name]]="","",IF(Tasks[[#This Row],[_IsSummary]],MIN(INDEX(Tasks[_LeafTotalSlack],Tasks[[#This Row],[_Row]]+1):INDEX(Tasks[_LeafTotalSlack],Tasks[[#This Row],[_Row]]+Tasks[[#This Row],[_Descendants]])),Tasks[[#This Row],[_LeafTotalSlack]]))</f>
        <v/>
      </c>
      <c r="AP2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4" s="110" t="str">
        <f aca="false">IF(Tasks[[#This Row],[Task Name]]="","",IF(Tasks[[#This Row],[_IsSummary]],SUM(INDEX(Tasks[_LeafTotalWork],Tasks[[#This Row],[_Row]]+1):INDEX(Tasks[_LeafTotalWork],Tasks[[#This Row],[_Row]]+Tasks[[#This Row],[_Descendants]])),Tasks[[#This Row],[_LeafTotalWork]]))</f>
        <v/>
      </c>
      <c r="AV2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4" s="111" t="str">
        <f aca="false">IF(Tasks[[#This Row],[Task Name]]="","",IF(Tasks[[#This Row],[_IsSummary]],SUM(INDEX(Tasks[_LeafTotalCost],Tasks[[#This Row],[_Row]]+1):INDEX(Tasks[_LeafTotalCost],Tasks[[#This Row],[_Row]]+Tasks[[#This Row],[_Descendants]])),Tasks[[#This Row],[_LeafTotalCost]]))</f>
        <v/>
      </c>
      <c r="AY24" s="112"/>
      <c r="AZ2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4" s="52"/>
      <c r="BB24" s="98"/>
      <c r="BC24" s="51" t="str">
        <f aca="false">IF(OR(Tasks[[#This Row],[Task Name]]="",Tasks[[#This Row],[Baseline Duration]]=""),"",Tasks[[#This Row],[BL Source Duration]]-N(Tasks[[#This Row],[Baseline Duration]]))</f>
        <v/>
      </c>
      <c r="BD24" s="110" t="str">
        <f aca="false">IF(OR(Tasks[[#This Row],[Task Name]]="",Tasks[[#This Row],[Baseline Work]]=""),"",Tasks[[#This Row],[Work]]-N(Tasks[[#This Row],[Baseline Work]]))</f>
        <v/>
      </c>
      <c r="BE24" s="111" t="str">
        <f aca="false">IF(OR(Tasks[[#This Row],[Task Name]]="",Tasks[[#This Row],[Baseline Cost]]=""),"",Tasks[[#This Row],[Cost]]-N(Tasks[[#This Row],[Baseline Cost]]))</f>
        <v/>
      </c>
      <c r="BF24" s="31" t="str">
        <f aca="false">IF(Tasks[[#This Row],[Task Name]]="","",Tasks[[#This Row],[Forecast Start]])</f>
        <v/>
      </c>
      <c r="BG24" s="31" t="str">
        <f aca="false">IF(Tasks[[#This Row],[Task Name]]="","",Tasks[[#This Row],[Forecast Finish]])</f>
        <v/>
      </c>
      <c r="BH24" s="51" t="str">
        <f aca="false">IF(Tasks[[#This Row],[Task Name]]="","",IF(Tasks[[#This Row],[_IsSummary]],NETWORKDAYS.INTL(Tasks[[#This Row],[Forecast Start]],Tasks[[#This Row],[Forecast Finish]],WorkWeek,Holidays),N(Tasks[[#This Row],[Duration]])))</f>
        <v/>
      </c>
      <c r="BI24" s="110" t="str">
        <f aca="false">IF(Tasks[[#This Row],[Task Name]]="","",Tasks[[#This Row],[Work]])</f>
        <v/>
      </c>
      <c r="BJ24" s="111" t="str">
        <f aca="false">IF(Tasks[[#This Row],[Task Name]]="","",Tasks[[#This Row],[Cost]])</f>
        <v/>
      </c>
      <c r="BK24" s="7"/>
      <c r="BL24" s="7"/>
      <c r="BM24" s="52"/>
      <c r="BN24" s="113"/>
      <c r="BO24" s="112"/>
      <c r="BP24" s="111" t="str">
        <f aca="false">IF(Tasks[[#This Row],[Task Name]]="","",IF(Tasks[[#This Row],[_IsSummary]],SUM(INDEX(Tasks[_LeafEV],Tasks[[#This Row],[_Row]]+1):INDEX(Tasks[_LeafEV],Tasks[[#This Row],[_Row]]+Tasks[[#This Row],[_Descendants]])),Tasks[[#This Row],[_LeafEV]]))</f>
        <v/>
      </c>
      <c r="BQ24" s="111" t="str">
        <f aca="false">IF(Tasks[[#This Row],[Task Name]]="","",IF(Tasks[[#This Row],[_IsSummary]],SUM(INDEX(Tasks[_LeafBudget],Tasks[[#This Row],[_Row]]+1):INDEX(Tasks[_LeafBudget],Tasks[[#This Row],[_Row]]+Tasks[[#This Row],[_Descendants]])),Tasks[[#This Row],[_LeafBudget]]))</f>
        <v/>
      </c>
      <c r="BR24" s="111" t="str">
        <f aca="false">IF(Tasks[[#This Row],[Task Name]]="","",IF(Tasks[[#This Row],[_IsSummary]],SUM(INDEX(Tasks[_LeafPV],Tasks[[#This Row],[_Row]]+1):INDEX(Tasks[_LeafPV],Tasks[[#This Row],[_Row]]+Tasks[[#This Row],[_Descendants]])),Tasks[[#This Row],[_LeafPV]]))</f>
        <v/>
      </c>
      <c r="BS24" s="111" t="str">
        <f aca="false">IF(Tasks[[#This Row],[Task Name]]="","",IF(Tasks[[#This Row],[_IsSummary]],SUM(INDEX(Tasks[_LeafAC],Tasks[[#This Row],[_Row]]+1):INDEX(Tasks[_LeafAC],Tasks[[#This Row],[_Row]]+Tasks[[#This Row],[_Descendants]])),Tasks[[#This Row],[_LeafAC]]))</f>
        <v/>
      </c>
      <c r="BT24" s="38" t="str">
        <f aca="false">IF(Tasks[[#This Row],[Task Name]]="","",MAX(1,N(Tasks[[#This Row],[Level]])))</f>
        <v/>
      </c>
      <c r="BU24" s="38" t="n">
        <f aca="false">ROW()-ROW(Tasks[[#Headers],[ID]])</f>
        <v>19</v>
      </c>
      <c r="BV24" s="38" t="n">
        <f aca="false">IF(OR(Tasks[[#This Row],[Task Name]]="",Tasks[[#This Row],[_Level]]&lt;=1),0,IFERROR(LOOKUP(2,1/(Tasks[[#Headers],[_Level]]:Tasks[[#This Row],[_Level]]=Tasks[[#This Row],[_Level]]-1),ROW(Tasks[[#Headers],[_Level]]:Tasks[[#This Row],[_Level]])),0))</f>
        <v>0</v>
      </c>
      <c r="BW24" s="38" t="n">
        <f aca="false">IFERROR(N(INDEX(Tasks[_Level],Tasks[[#This Row],[_Row]]+1)),0)</f>
        <v>0</v>
      </c>
      <c r="BX24" s="114" t="b">
        <f aca="false">AND(Tasks[[#This Row],[Task Name]]&lt;&gt;"",Tasks[[#This Row],[_NextLevel]]&gt;Tasks[[#This Row],[_Level]])</f>
        <v>0</v>
      </c>
      <c r="BY24" s="38" t="n">
        <f aca="false">IF(Tasks[[#This Row],[_IsSummary]],COUNTIF(Tasks[WBS],Tasks[[#This Row],[WBS]]&amp;".*"),0)</f>
        <v>0</v>
      </c>
      <c r="BZ24" s="38" t="n">
        <f aca="false">IF(AND(Tasks[[#This Row],[Task Name]]&lt;&gt;"",NOT(Tasks[[#This Row],[_IsSummary]])),1,0)</f>
        <v>0</v>
      </c>
      <c r="CA24" s="38" t="n">
        <f aca="false">IF(N(Tasks[[#This Row],[Pred1 UID]])=0,0,IFERROR(MATCH(Tasks[[#This Row],[Pred1 UID]],Tasks[UID],0),-1))</f>
        <v>0</v>
      </c>
      <c r="CB24" s="38" t="n">
        <f aca="false">IF(N(Tasks[[#This Row],[Pred2 UID]])=0,0,IFERROR(MATCH(Tasks[[#This Row],[Pred2 UID]],Tasks[UID],0),-1))</f>
        <v>0</v>
      </c>
      <c r="CC24" s="38" t="n">
        <f aca="false">IF(N(Tasks[[#This Row],[Pred3 UID]])=0,0,IFERROR(MATCH(Tasks[[#This Row],[Pred3 UID]],Tasks[UID],0),-1))</f>
        <v>0</v>
      </c>
      <c r="CD24" s="38" t="n">
        <f aca="false">IF(N(Tasks[[#This Row],[Pred4 UID]])=0,0,IFERROR(MATCH(Tasks[[#This Row],[Pred4 UID]],Tasks[UID],0),-1))</f>
        <v>0</v>
      </c>
      <c r="CE2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4" s="115" t="n">
        <f aca="false">IF(OR(Tasks[[#This Row],[_ConstraintCode]]=2,Tasks[[#This Row],[_ConstraintCode]]=3,Tasks[[#This Row],[_ConstraintCode]]=4,Tasks[[#This Row],[_ConstraintCode]]=6),Tasks[[#This Row],[_ConstraintStart]],0)</f>
        <v>0</v>
      </c>
      <c r="CH24" s="115" t="n">
        <f aca="false">IF(OR(Tasks[[#This Row],[_ConstraintCode]]=2,Tasks[[#This Row],[_ConstraintCode]]=3,Tasks[[#This Row],[_ConstraintCode]]=5,Tasks[[#This Row],[_ConstraintCode]]=7),Tasks[[#This Row],[_ConstraintStart]],2958465)</f>
        <v>2958465</v>
      </c>
      <c r="CI2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4" s="115" t="str">
        <f aca="false">IF(NOT(Tasks[[#This Row],[_IsLeaf]]=1),"",IF(N(Tasks[[#This Row],[Duration]])&lt;=0,Tasks[[#This Row],[_LeafCalcStart]],WORKDAY.INTL(Tasks[[#This Row],[_LeafCalcStart]],Tasks[[#This Row],[Duration]]-1,WorkWeek,Holidays)))</f>
        <v/>
      </c>
      <c r="CK2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4" s="38" t="n">
        <f aca="false">IF(NOT(Tasks[[#This Row],[_IsLeaf]]=1),0,IF(N(Tasks[[#This Row],[Actual Finish]])&gt;0,1,MIN(1,N(Tasks[[#This Row],[% Complete]]))))</f>
        <v>0</v>
      </c>
      <c r="CN24" s="38" t="n">
        <f aca="false">IF(OR(NOT(Tasks[[#This Row],[_IsLeaf]]=1),Tasks[[#This Row],[Resource]]=""),0,N(Tasks[[#This Row],[Duration]])*HoursPerDay*IF(Tasks[[#This Row],[Units]]="",DefaultUnits,Tasks[[#This Row],[Units]]))</f>
        <v>0</v>
      </c>
      <c r="CO24" s="38" t="n">
        <f aca="false">IF(Tasks[[#This Row],[_LeafWork]]=0,0,Tasks[[#This Row],[_LeafWork]]*IFERROR(INDEX(res_Rate,MATCH(Tasks[[#This Row],[Resource]],res_Name,0)),0))</f>
        <v>0</v>
      </c>
      <c r="CP24" s="38" t="n">
        <f aca="false">Tasks[[#This Row],[_LeafWork]]+IF(Tasks[[#This Row],[_IsLeaf]]=1,SUMIFS(asg_Work,asg_TaskUID,Tasks[[#This Row],[UID]],asg_Valid,1),0)</f>
        <v>0</v>
      </c>
      <c r="CQ24" s="38" t="n">
        <f aca="false">Tasks[[#This Row],[_LeafCost]]+IF(Tasks[[#This Row],[_IsLeaf]]=1,SUMIFS(asg_Cost,asg_TaskUID,Tasks[[#This Row],[UID]],asg_Valid,1),0)</f>
        <v>0</v>
      </c>
      <c r="CR24" s="38" t="n">
        <f aca="false">IF(Tasks[[#This Row],[_LeafTotalCost]]=0,Tasks[[#This Row],[_LeafAC]],Tasks[[#This Row],[_LeafAC]]*Tasks[[#This Row],[_LeafCost]]/Tasks[[#This Row],[_LeafTotalCost]])</f>
        <v>0</v>
      </c>
      <c r="CS2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4" s="38" t="n">
        <f aca="false">IF(NOT(Tasks[[#This Row],[_IsLeaf]]=1),0,MAX(_xlfn.MAXIFS(Tasks[_Row],Tasks[Pred1 UID],Tasks[[#This Row],[UID]]),_xlfn.MAXIFS(Tasks[_Row],Tasks[Pred2 UID],Tasks[[#This Row],[UID]]),_xlfn.MAXIFS(Tasks[_Row],Tasks[Pred3 UID],Tasks[[#This Row],[UID]]),_xlfn.MAXIFS(Tasks[_Row],Tasks[Pred4 UID],Tasks[[#This Row],[UID]])))</f>
        <v>0</v>
      </c>
      <c r="DB2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4" s="115" t="str">
        <f aca="false">IF(NOT(Tasks[[#This Row],[_IsLeaf]]=1),"",IF(N(Tasks[[#This Row],[Duration]])&lt;=0,Tasks[[#This Row],[_LeafLateFinish]],WORKDAY.INTL(Tasks[[#This Row],[_LeafLateFinish]],-(Tasks[[#This Row],[Duration]]-1),WorkWeek,Holidays)))</f>
        <v/>
      </c>
      <c r="DE2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4" s="114" t="b">
        <f aca="false">AND(Tasks[[#This Row],[_IsLeaf]]=1,Tasks[[#This Row],[_LeafProgress]]&lt;1,N(Tasks[[#This Row],[_LeafTotalSlack]])&lt;=CriticalSlackDays)</f>
        <v>0</v>
      </c>
      <c r="DG24" s="38" t="n">
        <f aca="false">IF(AND(Tasks[[#This Row],[_IsLeaf]]=1,Tasks[[#This Row],[_ConstraintCode]]=1,Tasks[[#This Row],[Mode]]&lt;&gt;"Manual",N(Tasks[[#This Row],[Actual Start]])=0),MAX(0,N(Tasks[[#This Row],[Free Slack]])),0)</f>
        <v>0</v>
      </c>
      <c r="DH24" s="115" t="str">
        <f aca="false">IF(NOT(Tasks[[#This Row],[_IsLeaf]]=1),"",IF(Tasks[[#This Row],[_AlapShift]]=0,Tasks[[#This Row],[_LeafCalcStart]],WORKDAY.INTL(Tasks[[#This Row],[_LeafCalcStart]],Tasks[[#This Row],[_AlapShift]],WorkWeek,Holidays)))</f>
        <v/>
      </c>
      <c r="DI24" s="115" t="str">
        <f aca="false">IF(NOT(Tasks[[#This Row],[_IsLeaf]]=1),"",IF(Tasks[[#This Row],[_AlapShift]]=0,Tasks[[#This Row],[_LeafCalcFinish]],WORKDAY.INTL(Tasks[[#This Row],[_LeafCalcFinish]],Tasks[[#This Row],[_AlapShift]],WorkWeek,Holidays)))</f>
        <v/>
      </c>
      <c r="DJ24" s="115" t="str">
        <f aca="false">IF(NOT(Tasks[[#This Row],[_IsLeaf]]=1),"",IF(Tasks[[#This Row],[_AlapShift]]=0,Tasks[[#This Row],[_LeafFcstStart]],WORKDAY.INTL(Tasks[[#This Row],[_LeafFcstStart]],Tasks[[#This Row],[_AlapShift]],WorkWeek,Holidays)))</f>
        <v/>
      </c>
      <c r="DK24" s="115" t="str">
        <f aca="false">IF(NOT(Tasks[[#This Row],[_IsLeaf]]=1),"",IF(Tasks[[#This Row],[_AlapShift]]=0,Tasks[[#This Row],[_LeafFcstFinish]],WORKDAY.INTL(Tasks[[#This Row],[_LeafFcstFinish]],Tasks[[#This Row],[_AlapShift]],WorkWeek,Holidays)))</f>
        <v/>
      </c>
      <c r="DL24" s="115" t="str">
        <f aca="false">IF(Tasks[[#This Row],[Task Name]]="","",IF(Tasks[[#This Row],[_IsSummary]],MIN(INDEX(Tasks[_ShownCalcStart],Tasks[[#This Row],[_Row]]+1):INDEX(Tasks[_ShownCalcStart],Tasks[[#This Row],[_Row]]+Tasks[[#This Row],[_Descendants]])),Tasks[[#This Row],[_ShownCalcStart]]))</f>
        <v/>
      </c>
      <c r="DM24" s="115" t="str">
        <f aca="false">IF(Tasks[[#This Row],[Task Name]]="","",IF(Tasks[[#This Row],[_IsSummary]],MAX(INDEX(Tasks[_ShownCalcFinish],Tasks[[#This Row],[_Row]]+1):INDEX(Tasks[_ShownCalcFinish],Tasks[[#This Row],[_Row]]+Tasks[[#This Row],[_Descendants]])),Tasks[[#This Row],[_ShownCalcFinish]]))</f>
        <v/>
      </c>
      <c r="DN2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4" s="38" t="n">
        <f aca="false">IF(AND(Tasks[[#This Row],[_IsLeaf]]=1,Tasks[[#This Row],[_LeafTotalWork]]&gt;0),NETWORKDAYS.INTL(ProjectStart,Tasks[[#This Row],[_ShownFcstStart]],WorkWeek,Holidays),0)</f>
        <v>0</v>
      </c>
      <c r="EA24" s="38" t="n">
        <f aca="false">IF(AND(Tasks[[#This Row],[_IsLeaf]]=1,Tasks[[#This Row],[_LeafTotalWork]]&gt;0),MAX(Tasks[[#This Row],[_StartWorkday]],NETWORKDAYS.INTL(ProjectStart,Tasks[[#This Row],[_ShownFcstFinish]],WorkWeek,Holidays)),0)</f>
        <v>0</v>
      </c>
      <c r="EB24" s="38" t="n">
        <f aca="false">IF(AND(Tasks[[#This Row],[_IsLeaf]]=1,Tasks[[#This Row],[_LeafTotalWork]]&gt;0),Tasks[[#This Row],[_LeafWork]]/(Tasks[[#This Row],[_FinishWorkday]]-Tasks[[#This Row],[_StartWorkday]]+1),0)</f>
        <v>0</v>
      </c>
      <c r="EC24" s="38" t="n">
        <f aca="false">Tasks[[#This Row],[_WorkPerWorkday]]*(Tasks[[#This Row],[_StartWorkday]]-1)</f>
        <v>-0</v>
      </c>
      <c r="ED24" s="38" t="n">
        <f aca="false">IF(Tasks[[#This Row],[_IsLeaf]]=1,MAX(N(Tasks[[#This Row],[Duration]]),0.1),0)</f>
        <v>0</v>
      </c>
      <c r="EE24" s="38" t="n">
        <f aca="false">Tasks[[#This Row],[_WeightDur]]*Tasks[[#This Row],[_LeafProgress]]</f>
        <v>0</v>
      </c>
      <c r="EF2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4" s="38" t="str">
        <f aca="false">IF(AND(Tasks[[#This Row],[_IsLeaf]]=1,N(Tasks[[#This Row],[Duration]])=0,Tasks[[#This Row],[_LeafProgress]]&lt;1),Tasks[[#This Row],[_ShownFcstFinish]]+Tasks[[#This Row],[_Row]]/100000,"")</f>
        <v/>
      </c>
      <c r="EH2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4" s="38" t="n">
        <f aca="false">IF(NOT(Tasks[[#This Row],[_IsLeaf]]=1),0,IF(Tasks[[#This Row],[Baseline Cost]]="",Tasks[[#This Row],[_LeafTotalCost]],N(Tasks[[#This Row],[Baseline Cost]])))</f>
        <v>0</v>
      </c>
      <c r="EJ24" s="38" t="n">
        <f aca="false">Tasks[[#This Row],[_LeafBudget]]*Tasks[[#This Row],[_PlannedPct]]</f>
        <v>0</v>
      </c>
      <c r="EK24" s="38" t="n">
        <f aca="false">Tasks[[#This Row],[_LeafBudget]]*Tasks[[#This Row],[_LeafProgress]]</f>
        <v>0</v>
      </c>
      <c r="EL24" s="38" t="n">
        <f aca="false">IF(NOT(Tasks[[#This Row],[_IsLeaf]]=1),0,IF(Tasks[[#This Row],[Actual Cost]]="",Tasks[[#This Row],[_LeafTotalCost]]*Tasks[[#This Row],[_LeafProgress]],N(Tasks[[#This Row],[Actual Cost]])))</f>
        <v>0</v>
      </c>
      <c r="EM24" s="38" t="str">
        <f aca="false">IF(Tasks[[#This Row],[Task Name]]="","",LEFT(Tasks[[#This Row],[WBS]],FIND(".",Tasks[[#This Row],[WBS]]&amp;".")-1))</f>
        <v/>
      </c>
      <c r="EN24" s="38" t="str">
        <f aca="false">IF(AND(Tasks[[#This Row],[Task Name]]&lt;&gt;"",Tasks[[#This Row],[_Level]]=1),Tasks[[#This Row],[_Row]],"")</f>
        <v/>
      </c>
      <c r="EO24" s="38" t="str">
        <f aca="false">IF(AND(Tasks[[#This Row],[_IsLeaf]]=1,N(Tasks[[#This Row],[Duration]])=0),Tasks[[#This Row],[Planned Finish]]+Tasks[[#This Row],[_Row]]/100000,"")</f>
        <v/>
      </c>
      <c r="EP24" s="38" t="str">
        <f aca="false">IF(AND(Tasks[[#This Row],[_IsLeaf]]=1,Tasks[[#This Row],[_LeafProgress]]&lt;1,OR(N(Tasks[[#This Row],[Finish Var]])&gt;0,Tasks[[#This Row],[Status]]="Late Start")),MAX(0,Tasks[[#This Row],[Finish Var]])+1-Tasks[[#This Row],[_Row]]/1000000,"")</f>
        <v/>
      </c>
      <c r="EQ24" s="38" t="str">
        <f aca="false">IF(AND(Tasks[[#This Row],[_IsLeaf]]=1,N(Tasks[[#This Row],[Actual Start]])=0,Tasks[[#This Row],[_ShownFcstStart]]&gt;=StatusDate,Tasks[[#This Row],[_ShownFcstStart]]&lt;=LookaheadEnd),Tasks[[#This Row],[_ShownFcstStart]]+Tasks[[#This Row],[_Row]]/100000,"")</f>
        <v/>
      </c>
      <c r="ER24" s="38" t="str">
        <f aca="false">IF(AND(Tasks[[#This Row],[_IsLeaf]]=1,Tasks[[#This Row],[_LeafProgress]]&lt;1,Tasks[[#This Row],[_ShownFcstFinish]]&gt;=StatusDate,Tasks[[#This Row],[_ShownFcstFinish]]&lt;=LookaheadEnd),Tasks[[#This Row],[_ShownFcstFinish]]+Tasks[[#This Row],[_Row]]/100000,"")</f>
        <v/>
      </c>
      <c r="ES24" s="38" t="str">
        <f aca="false">IF(Tasks[[#This Row],[_LeafCritical]],Tasks[[#This Row],[_ShownFcstStart]]+Tasks[[#This Row],[_Row]]/100000,"")</f>
        <v/>
      </c>
      <c r="ET24" s="38" t="n">
        <f aca="false">Tasks[[#This Row],[_LeafWork]]*Tasks[[#This Row],[_LeafProgress]]</f>
        <v>0</v>
      </c>
      <c r="EU24" s="115" t="str">
        <f aca="false">IF(AND(Tasks[[#This Row],[_IsLeaf]]=1,Tasks[[#This Row],[_LeafProgress]]&gt;=1),IF(N(Tasks[[#This Row],[Actual Finish]])&gt;0,Tasks[[#This Row],[Actual Finish]],Tasks[[#This Row],[_ShownFcstFinish]]),"")</f>
        <v/>
      </c>
      <c r="EV24" s="38" t="n">
        <f aca="false">IF(Tasks[[#This Row],[_IsLeaf]]=1,N(Tasks[[#This Row],[Story Points]]),0)</f>
        <v>0</v>
      </c>
      <c r="EW24" s="38" t="str">
        <f aca="false">IF(AND(Tasks[[#This Row],[_IsLeaf]]=1,CurrentSprint&lt;&gt;"",Tasks[[#This Row],[Sprint]]=CurrentSprint),Tasks[[#This Row],[_Row]],"")</f>
        <v/>
      </c>
    </row>
    <row r="25" customFormat="false" ht="15" hidden="false" customHeight="false" outlineLevel="0" collapsed="false">
      <c r="A25" s="51" t="str">
        <f aca="false">IF(Tasks[[#This Row],[Task Name]]="","",COUNTA(Tasks[[#Headers],[Task Name]]:Tasks[[#This Row],[Task Name]])-1)</f>
        <v/>
      </c>
      <c r="B25" s="52" t="n">
        <v>20</v>
      </c>
      <c r="C2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5" s="52"/>
      <c r="E25" s="53"/>
      <c r="F25" s="52"/>
      <c r="G25" s="52"/>
      <c r="H25" s="52"/>
      <c r="I25" s="52"/>
      <c r="J25" s="52"/>
      <c r="K25" s="52"/>
      <c r="L25" s="52"/>
      <c r="M25" s="52"/>
      <c r="N25" s="52"/>
      <c r="O25" s="52"/>
      <c r="P25" s="52"/>
      <c r="Q25" s="52"/>
      <c r="R25" s="52"/>
      <c r="S25" s="53"/>
      <c r="T25" s="102"/>
      <c r="U25" s="102"/>
      <c r="V25" s="7"/>
      <c r="W25" s="7"/>
      <c r="X25" s="53"/>
      <c r="Y25" s="31" t="str">
        <f aca="false">IF(Tasks[[#This Row],[Task Name]]="","",IF(Tasks[[#This Row],[_IsSummary]],MIN(INDEX(Tasks[_ShownFcstStart],Tasks[[#This Row],[_Row]]+1):INDEX(Tasks[_ShownFcstStart],Tasks[[#This Row],[_Row]]+Tasks[[#This Row],[_Descendants]])),Tasks[[#This Row],[_ShownFcstStart]]))</f>
        <v/>
      </c>
      <c r="Z25" s="31" t="str">
        <f aca="false">IF(Tasks[[#This Row],[Task Name]]="","",IF(Tasks[[#This Row],[_IsSummary]],MAX(INDEX(Tasks[_ShownFcstFinish],Tasks[[#This Row],[_Row]]+1):INDEX(Tasks[_ShownFcstFinish],Tasks[[#This Row],[_Row]]+Tasks[[#This Row],[_Descendants]])),Tasks[[#This Row],[_ShownFcstFinish]]))</f>
        <v/>
      </c>
      <c r="AA25" s="51" t="str">
        <f aca="false">IF(Tasks[[#This Row],[Task Name]]="","",IF(Tasks[[#This Row],[Progress]]&gt;=1,"Complete",IF(OR(N(Tasks[[#This Row],[Actual Start]])&gt;0,Tasks[[#This Row],[Progress]]&gt;0),IF(Tasks[[#This Row],[Finish Var]]&gt;0,"Behind","In Progress"),IF(Tasks[[#This Row],[Planned Start]]&lt;StatusDate,"Late Start","Not Started"))))</f>
        <v/>
      </c>
      <c r="AB25" s="51" t="str">
        <f aca="false">IF(Tasks[[#This Row],[Task Name]]="","",IF(IF(Tasks[[#This Row],[_IsSummary]],COUNTIF(INDEX(Tasks[_LeafCritical],Tasks[[#This Row],[_Row]]+1):INDEX(Tasks[_LeafCritical],Tasks[[#This Row],[_Row]]+Tasks[[#This Row],[_Descendants]]),TRUE())&gt;0,Tasks[[#This Row],[_LeafCritical]]),"Yes",""))</f>
        <v/>
      </c>
      <c r="AC2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5" s="51" t="str">
        <f aca="false">IF(Tasks[[#This Row],[Task Name]]="","",IF(Tasks[[#This Row],[_Level]]&lt;=OutlineShowLevel,"Yes","No"))</f>
        <v/>
      </c>
      <c r="AE25" s="7"/>
      <c r="AF25" s="52"/>
      <c r="AG25" s="53"/>
      <c r="AH25" s="7"/>
      <c r="AI2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5" s="31" t="str">
        <f aca="false">IF(Tasks[[#This Row],[Task Name]]="","",IF(N(Tasks[[#This Row],[Baseline Start]])&gt;0,Tasks[[#This Row],[Baseline Start]],Tasks[[#This Row],[_CalcStart]]))</f>
        <v/>
      </c>
      <c r="AK25" s="31" t="str">
        <f aca="false">IF(Tasks[[#This Row],[Task Name]]="","",IF(N(Tasks[[#This Row],[Baseline Finish]])&gt;0,Tasks[[#This Row],[Baseline Finish]],Tasks[[#This Row],[_CalcFinish]]))</f>
        <v/>
      </c>
      <c r="AL2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5" s="31" t="str">
        <f aca="false">IF(Tasks[[#This Row],[Task Name]]="","",IF(Tasks[[#This Row],[_IsSummary]],MIN(INDEX(Tasks[_LeafLateStart],Tasks[[#This Row],[_Row]]+1):INDEX(Tasks[_LeafLateStart],Tasks[[#This Row],[_Row]]+Tasks[[#This Row],[_Descendants]])),Tasks[[#This Row],[_LeafLateStart]]))</f>
        <v/>
      </c>
      <c r="AN25" s="31" t="str">
        <f aca="false">IF(Tasks[[#This Row],[Task Name]]="","",IF(Tasks[[#This Row],[_IsSummary]],MAX(INDEX(Tasks[_LeafLateFinish],Tasks[[#This Row],[_Row]]+1):INDEX(Tasks[_LeafLateFinish],Tasks[[#This Row],[_Row]]+Tasks[[#This Row],[_Descendants]])),Tasks[[#This Row],[_LeafLateFinish]]))</f>
        <v/>
      </c>
      <c r="AO25" s="51" t="str">
        <f aca="false">IF(Tasks[[#This Row],[Task Name]]="","",IF(Tasks[[#This Row],[_IsSummary]],MIN(INDEX(Tasks[_LeafTotalSlack],Tasks[[#This Row],[_Row]]+1):INDEX(Tasks[_LeafTotalSlack],Tasks[[#This Row],[_Row]]+Tasks[[#This Row],[_Descendants]])),Tasks[[#This Row],[_LeafTotalSlack]]))</f>
        <v/>
      </c>
      <c r="AP2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5" s="110" t="str">
        <f aca="false">IF(Tasks[[#This Row],[Task Name]]="","",IF(Tasks[[#This Row],[_IsSummary]],SUM(INDEX(Tasks[_LeafTotalWork],Tasks[[#This Row],[_Row]]+1):INDEX(Tasks[_LeafTotalWork],Tasks[[#This Row],[_Row]]+Tasks[[#This Row],[_Descendants]])),Tasks[[#This Row],[_LeafTotalWork]]))</f>
        <v/>
      </c>
      <c r="AV2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5" s="111" t="str">
        <f aca="false">IF(Tasks[[#This Row],[Task Name]]="","",IF(Tasks[[#This Row],[_IsSummary]],SUM(INDEX(Tasks[_LeafTotalCost],Tasks[[#This Row],[_Row]]+1):INDEX(Tasks[_LeafTotalCost],Tasks[[#This Row],[_Row]]+Tasks[[#This Row],[_Descendants]])),Tasks[[#This Row],[_LeafTotalCost]]))</f>
        <v/>
      </c>
      <c r="AY25" s="112"/>
      <c r="AZ2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5" s="52"/>
      <c r="BB25" s="98"/>
      <c r="BC25" s="51" t="str">
        <f aca="false">IF(OR(Tasks[[#This Row],[Task Name]]="",Tasks[[#This Row],[Baseline Duration]]=""),"",Tasks[[#This Row],[BL Source Duration]]-N(Tasks[[#This Row],[Baseline Duration]]))</f>
        <v/>
      </c>
      <c r="BD25" s="110" t="str">
        <f aca="false">IF(OR(Tasks[[#This Row],[Task Name]]="",Tasks[[#This Row],[Baseline Work]]=""),"",Tasks[[#This Row],[Work]]-N(Tasks[[#This Row],[Baseline Work]]))</f>
        <v/>
      </c>
      <c r="BE25" s="111" t="str">
        <f aca="false">IF(OR(Tasks[[#This Row],[Task Name]]="",Tasks[[#This Row],[Baseline Cost]]=""),"",Tasks[[#This Row],[Cost]]-N(Tasks[[#This Row],[Baseline Cost]]))</f>
        <v/>
      </c>
      <c r="BF25" s="31" t="str">
        <f aca="false">IF(Tasks[[#This Row],[Task Name]]="","",Tasks[[#This Row],[Forecast Start]])</f>
        <v/>
      </c>
      <c r="BG25" s="31" t="str">
        <f aca="false">IF(Tasks[[#This Row],[Task Name]]="","",Tasks[[#This Row],[Forecast Finish]])</f>
        <v/>
      </c>
      <c r="BH25" s="51" t="str">
        <f aca="false">IF(Tasks[[#This Row],[Task Name]]="","",IF(Tasks[[#This Row],[_IsSummary]],NETWORKDAYS.INTL(Tasks[[#This Row],[Forecast Start]],Tasks[[#This Row],[Forecast Finish]],WorkWeek,Holidays),N(Tasks[[#This Row],[Duration]])))</f>
        <v/>
      </c>
      <c r="BI25" s="110" t="str">
        <f aca="false">IF(Tasks[[#This Row],[Task Name]]="","",Tasks[[#This Row],[Work]])</f>
        <v/>
      </c>
      <c r="BJ25" s="111" t="str">
        <f aca="false">IF(Tasks[[#This Row],[Task Name]]="","",Tasks[[#This Row],[Cost]])</f>
        <v/>
      </c>
      <c r="BK25" s="7"/>
      <c r="BL25" s="7"/>
      <c r="BM25" s="52"/>
      <c r="BN25" s="113"/>
      <c r="BO25" s="112"/>
      <c r="BP25" s="111" t="str">
        <f aca="false">IF(Tasks[[#This Row],[Task Name]]="","",IF(Tasks[[#This Row],[_IsSummary]],SUM(INDEX(Tasks[_LeafEV],Tasks[[#This Row],[_Row]]+1):INDEX(Tasks[_LeafEV],Tasks[[#This Row],[_Row]]+Tasks[[#This Row],[_Descendants]])),Tasks[[#This Row],[_LeafEV]]))</f>
        <v/>
      </c>
      <c r="BQ25" s="111" t="str">
        <f aca="false">IF(Tasks[[#This Row],[Task Name]]="","",IF(Tasks[[#This Row],[_IsSummary]],SUM(INDEX(Tasks[_LeafBudget],Tasks[[#This Row],[_Row]]+1):INDEX(Tasks[_LeafBudget],Tasks[[#This Row],[_Row]]+Tasks[[#This Row],[_Descendants]])),Tasks[[#This Row],[_LeafBudget]]))</f>
        <v/>
      </c>
      <c r="BR25" s="111" t="str">
        <f aca="false">IF(Tasks[[#This Row],[Task Name]]="","",IF(Tasks[[#This Row],[_IsSummary]],SUM(INDEX(Tasks[_LeafPV],Tasks[[#This Row],[_Row]]+1):INDEX(Tasks[_LeafPV],Tasks[[#This Row],[_Row]]+Tasks[[#This Row],[_Descendants]])),Tasks[[#This Row],[_LeafPV]]))</f>
        <v/>
      </c>
      <c r="BS25" s="111" t="str">
        <f aca="false">IF(Tasks[[#This Row],[Task Name]]="","",IF(Tasks[[#This Row],[_IsSummary]],SUM(INDEX(Tasks[_LeafAC],Tasks[[#This Row],[_Row]]+1):INDEX(Tasks[_LeafAC],Tasks[[#This Row],[_Row]]+Tasks[[#This Row],[_Descendants]])),Tasks[[#This Row],[_LeafAC]]))</f>
        <v/>
      </c>
      <c r="BT25" s="38" t="str">
        <f aca="false">IF(Tasks[[#This Row],[Task Name]]="","",MAX(1,N(Tasks[[#This Row],[Level]])))</f>
        <v/>
      </c>
      <c r="BU25" s="38" t="n">
        <f aca="false">ROW()-ROW(Tasks[[#Headers],[ID]])</f>
        <v>20</v>
      </c>
      <c r="BV25" s="38" t="n">
        <f aca="false">IF(OR(Tasks[[#This Row],[Task Name]]="",Tasks[[#This Row],[_Level]]&lt;=1),0,IFERROR(LOOKUP(2,1/(Tasks[[#Headers],[_Level]]:Tasks[[#This Row],[_Level]]=Tasks[[#This Row],[_Level]]-1),ROW(Tasks[[#Headers],[_Level]]:Tasks[[#This Row],[_Level]])),0))</f>
        <v>0</v>
      </c>
      <c r="BW25" s="38" t="n">
        <f aca="false">IFERROR(N(INDEX(Tasks[_Level],Tasks[[#This Row],[_Row]]+1)),0)</f>
        <v>0</v>
      </c>
      <c r="BX25" s="114" t="b">
        <f aca="false">AND(Tasks[[#This Row],[Task Name]]&lt;&gt;"",Tasks[[#This Row],[_NextLevel]]&gt;Tasks[[#This Row],[_Level]])</f>
        <v>0</v>
      </c>
      <c r="BY25" s="38" t="n">
        <f aca="false">IF(Tasks[[#This Row],[_IsSummary]],COUNTIF(Tasks[WBS],Tasks[[#This Row],[WBS]]&amp;".*"),0)</f>
        <v>0</v>
      </c>
      <c r="BZ25" s="38" t="n">
        <f aca="false">IF(AND(Tasks[[#This Row],[Task Name]]&lt;&gt;"",NOT(Tasks[[#This Row],[_IsSummary]])),1,0)</f>
        <v>0</v>
      </c>
      <c r="CA25" s="38" t="n">
        <f aca="false">IF(N(Tasks[[#This Row],[Pred1 UID]])=0,0,IFERROR(MATCH(Tasks[[#This Row],[Pred1 UID]],Tasks[UID],0),-1))</f>
        <v>0</v>
      </c>
      <c r="CB25" s="38" t="n">
        <f aca="false">IF(N(Tasks[[#This Row],[Pred2 UID]])=0,0,IFERROR(MATCH(Tasks[[#This Row],[Pred2 UID]],Tasks[UID],0),-1))</f>
        <v>0</v>
      </c>
      <c r="CC25" s="38" t="n">
        <f aca="false">IF(N(Tasks[[#This Row],[Pred3 UID]])=0,0,IFERROR(MATCH(Tasks[[#This Row],[Pred3 UID]],Tasks[UID],0),-1))</f>
        <v>0</v>
      </c>
      <c r="CD25" s="38" t="n">
        <f aca="false">IF(N(Tasks[[#This Row],[Pred4 UID]])=0,0,IFERROR(MATCH(Tasks[[#This Row],[Pred4 UID]],Tasks[UID],0),-1))</f>
        <v>0</v>
      </c>
      <c r="CE2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5" s="115" t="n">
        <f aca="false">IF(OR(Tasks[[#This Row],[_ConstraintCode]]=2,Tasks[[#This Row],[_ConstraintCode]]=3,Tasks[[#This Row],[_ConstraintCode]]=4,Tasks[[#This Row],[_ConstraintCode]]=6),Tasks[[#This Row],[_ConstraintStart]],0)</f>
        <v>0</v>
      </c>
      <c r="CH25" s="115" t="n">
        <f aca="false">IF(OR(Tasks[[#This Row],[_ConstraintCode]]=2,Tasks[[#This Row],[_ConstraintCode]]=3,Tasks[[#This Row],[_ConstraintCode]]=5,Tasks[[#This Row],[_ConstraintCode]]=7),Tasks[[#This Row],[_ConstraintStart]],2958465)</f>
        <v>2958465</v>
      </c>
      <c r="CI2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5" s="115" t="str">
        <f aca="false">IF(NOT(Tasks[[#This Row],[_IsLeaf]]=1),"",IF(N(Tasks[[#This Row],[Duration]])&lt;=0,Tasks[[#This Row],[_LeafCalcStart]],WORKDAY.INTL(Tasks[[#This Row],[_LeafCalcStart]],Tasks[[#This Row],[Duration]]-1,WorkWeek,Holidays)))</f>
        <v/>
      </c>
      <c r="CK2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5" s="38" t="n">
        <f aca="false">IF(NOT(Tasks[[#This Row],[_IsLeaf]]=1),0,IF(N(Tasks[[#This Row],[Actual Finish]])&gt;0,1,MIN(1,N(Tasks[[#This Row],[% Complete]]))))</f>
        <v>0</v>
      </c>
      <c r="CN25" s="38" t="n">
        <f aca="false">IF(OR(NOT(Tasks[[#This Row],[_IsLeaf]]=1),Tasks[[#This Row],[Resource]]=""),0,N(Tasks[[#This Row],[Duration]])*HoursPerDay*IF(Tasks[[#This Row],[Units]]="",DefaultUnits,Tasks[[#This Row],[Units]]))</f>
        <v>0</v>
      </c>
      <c r="CO25" s="38" t="n">
        <f aca="false">IF(Tasks[[#This Row],[_LeafWork]]=0,0,Tasks[[#This Row],[_LeafWork]]*IFERROR(INDEX(res_Rate,MATCH(Tasks[[#This Row],[Resource]],res_Name,0)),0))</f>
        <v>0</v>
      </c>
      <c r="CP25" s="38" t="n">
        <f aca="false">Tasks[[#This Row],[_LeafWork]]+IF(Tasks[[#This Row],[_IsLeaf]]=1,SUMIFS(asg_Work,asg_TaskUID,Tasks[[#This Row],[UID]],asg_Valid,1),0)</f>
        <v>0</v>
      </c>
      <c r="CQ25" s="38" t="n">
        <f aca="false">Tasks[[#This Row],[_LeafCost]]+IF(Tasks[[#This Row],[_IsLeaf]]=1,SUMIFS(asg_Cost,asg_TaskUID,Tasks[[#This Row],[UID]],asg_Valid,1),0)</f>
        <v>0</v>
      </c>
      <c r="CR25" s="38" t="n">
        <f aca="false">IF(Tasks[[#This Row],[_LeafTotalCost]]=0,Tasks[[#This Row],[_LeafAC]],Tasks[[#This Row],[_LeafAC]]*Tasks[[#This Row],[_LeafCost]]/Tasks[[#This Row],[_LeafTotalCost]])</f>
        <v>0</v>
      </c>
      <c r="CS2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5" s="38" t="n">
        <f aca="false">IF(NOT(Tasks[[#This Row],[_IsLeaf]]=1),0,MAX(_xlfn.MAXIFS(Tasks[_Row],Tasks[Pred1 UID],Tasks[[#This Row],[UID]]),_xlfn.MAXIFS(Tasks[_Row],Tasks[Pred2 UID],Tasks[[#This Row],[UID]]),_xlfn.MAXIFS(Tasks[_Row],Tasks[Pred3 UID],Tasks[[#This Row],[UID]]),_xlfn.MAXIFS(Tasks[_Row],Tasks[Pred4 UID],Tasks[[#This Row],[UID]])))</f>
        <v>0</v>
      </c>
      <c r="DB2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5" s="115" t="str">
        <f aca="false">IF(NOT(Tasks[[#This Row],[_IsLeaf]]=1),"",IF(N(Tasks[[#This Row],[Duration]])&lt;=0,Tasks[[#This Row],[_LeafLateFinish]],WORKDAY.INTL(Tasks[[#This Row],[_LeafLateFinish]],-(Tasks[[#This Row],[Duration]]-1),WorkWeek,Holidays)))</f>
        <v/>
      </c>
      <c r="DE2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5" s="114" t="b">
        <f aca="false">AND(Tasks[[#This Row],[_IsLeaf]]=1,Tasks[[#This Row],[_LeafProgress]]&lt;1,N(Tasks[[#This Row],[_LeafTotalSlack]])&lt;=CriticalSlackDays)</f>
        <v>0</v>
      </c>
      <c r="DG25" s="38" t="n">
        <f aca="false">IF(AND(Tasks[[#This Row],[_IsLeaf]]=1,Tasks[[#This Row],[_ConstraintCode]]=1,Tasks[[#This Row],[Mode]]&lt;&gt;"Manual",N(Tasks[[#This Row],[Actual Start]])=0),MAX(0,N(Tasks[[#This Row],[Free Slack]])),0)</f>
        <v>0</v>
      </c>
      <c r="DH25" s="115" t="str">
        <f aca="false">IF(NOT(Tasks[[#This Row],[_IsLeaf]]=1),"",IF(Tasks[[#This Row],[_AlapShift]]=0,Tasks[[#This Row],[_LeafCalcStart]],WORKDAY.INTL(Tasks[[#This Row],[_LeafCalcStart]],Tasks[[#This Row],[_AlapShift]],WorkWeek,Holidays)))</f>
        <v/>
      </c>
      <c r="DI25" s="115" t="str">
        <f aca="false">IF(NOT(Tasks[[#This Row],[_IsLeaf]]=1),"",IF(Tasks[[#This Row],[_AlapShift]]=0,Tasks[[#This Row],[_LeafCalcFinish]],WORKDAY.INTL(Tasks[[#This Row],[_LeafCalcFinish]],Tasks[[#This Row],[_AlapShift]],WorkWeek,Holidays)))</f>
        <v/>
      </c>
      <c r="DJ25" s="115" t="str">
        <f aca="false">IF(NOT(Tasks[[#This Row],[_IsLeaf]]=1),"",IF(Tasks[[#This Row],[_AlapShift]]=0,Tasks[[#This Row],[_LeafFcstStart]],WORKDAY.INTL(Tasks[[#This Row],[_LeafFcstStart]],Tasks[[#This Row],[_AlapShift]],WorkWeek,Holidays)))</f>
        <v/>
      </c>
      <c r="DK25" s="115" t="str">
        <f aca="false">IF(NOT(Tasks[[#This Row],[_IsLeaf]]=1),"",IF(Tasks[[#This Row],[_AlapShift]]=0,Tasks[[#This Row],[_LeafFcstFinish]],WORKDAY.INTL(Tasks[[#This Row],[_LeafFcstFinish]],Tasks[[#This Row],[_AlapShift]],WorkWeek,Holidays)))</f>
        <v/>
      </c>
      <c r="DL25" s="115" t="str">
        <f aca="false">IF(Tasks[[#This Row],[Task Name]]="","",IF(Tasks[[#This Row],[_IsSummary]],MIN(INDEX(Tasks[_ShownCalcStart],Tasks[[#This Row],[_Row]]+1):INDEX(Tasks[_ShownCalcStart],Tasks[[#This Row],[_Row]]+Tasks[[#This Row],[_Descendants]])),Tasks[[#This Row],[_ShownCalcStart]]))</f>
        <v/>
      </c>
      <c r="DM25" s="115" t="str">
        <f aca="false">IF(Tasks[[#This Row],[Task Name]]="","",IF(Tasks[[#This Row],[_IsSummary]],MAX(INDEX(Tasks[_ShownCalcFinish],Tasks[[#This Row],[_Row]]+1):INDEX(Tasks[_ShownCalcFinish],Tasks[[#This Row],[_Row]]+Tasks[[#This Row],[_Descendants]])),Tasks[[#This Row],[_ShownCalcFinish]]))</f>
        <v/>
      </c>
      <c r="DN2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5" s="38" t="n">
        <f aca="false">IF(AND(Tasks[[#This Row],[_IsLeaf]]=1,Tasks[[#This Row],[_LeafTotalWork]]&gt;0),NETWORKDAYS.INTL(ProjectStart,Tasks[[#This Row],[_ShownFcstStart]],WorkWeek,Holidays),0)</f>
        <v>0</v>
      </c>
      <c r="EA25" s="38" t="n">
        <f aca="false">IF(AND(Tasks[[#This Row],[_IsLeaf]]=1,Tasks[[#This Row],[_LeafTotalWork]]&gt;0),MAX(Tasks[[#This Row],[_StartWorkday]],NETWORKDAYS.INTL(ProjectStart,Tasks[[#This Row],[_ShownFcstFinish]],WorkWeek,Holidays)),0)</f>
        <v>0</v>
      </c>
      <c r="EB25" s="38" t="n">
        <f aca="false">IF(AND(Tasks[[#This Row],[_IsLeaf]]=1,Tasks[[#This Row],[_LeafTotalWork]]&gt;0),Tasks[[#This Row],[_LeafWork]]/(Tasks[[#This Row],[_FinishWorkday]]-Tasks[[#This Row],[_StartWorkday]]+1),0)</f>
        <v>0</v>
      </c>
      <c r="EC25" s="38" t="n">
        <f aca="false">Tasks[[#This Row],[_WorkPerWorkday]]*(Tasks[[#This Row],[_StartWorkday]]-1)</f>
        <v>-0</v>
      </c>
      <c r="ED25" s="38" t="n">
        <f aca="false">IF(Tasks[[#This Row],[_IsLeaf]]=1,MAX(N(Tasks[[#This Row],[Duration]]),0.1),0)</f>
        <v>0</v>
      </c>
      <c r="EE25" s="38" t="n">
        <f aca="false">Tasks[[#This Row],[_WeightDur]]*Tasks[[#This Row],[_LeafProgress]]</f>
        <v>0</v>
      </c>
      <c r="EF2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5" s="38" t="str">
        <f aca="false">IF(AND(Tasks[[#This Row],[_IsLeaf]]=1,N(Tasks[[#This Row],[Duration]])=0,Tasks[[#This Row],[_LeafProgress]]&lt;1),Tasks[[#This Row],[_ShownFcstFinish]]+Tasks[[#This Row],[_Row]]/100000,"")</f>
        <v/>
      </c>
      <c r="EH2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5" s="38" t="n">
        <f aca="false">IF(NOT(Tasks[[#This Row],[_IsLeaf]]=1),0,IF(Tasks[[#This Row],[Baseline Cost]]="",Tasks[[#This Row],[_LeafTotalCost]],N(Tasks[[#This Row],[Baseline Cost]])))</f>
        <v>0</v>
      </c>
      <c r="EJ25" s="38" t="n">
        <f aca="false">Tasks[[#This Row],[_LeafBudget]]*Tasks[[#This Row],[_PlannedPct]]</f>
        <v>0</v>
      </c>
      <c r="EK25" s="38" t="n">
        <f aca="false">Tasks[[#This Row],[_LeafBudget]]*Tasks[[#This Row],[_LeafProgress]]</f>
        <v>0</v>
      </c>
      <c r="EL25" s="38" t="n">
        <f aca="false">IF(NOT(Tasks[[#This Row],[_IsLeaf]]=1),0,IF(Tasks[[#This Row],[Actual Cost]]="",Tasks[[#This Row],[_LeafTotalCost]]*Tasks[[#This Row],[_LeafProgress]],N(Tasks[[#This Row],[Actual Cost]])))</f>
        <v>0</v>
      </c>
      <c r="EM25" s="38" t="str">
        <f aca="false">IF(Tasks[[#This Row],[Task Name]]="","",LEFT(Tasks[[#This Row],[WBS]],FIND(".",Tasks[[#This Row],[WBS]]&amp;".")-1))</f>
        <v/>
      </c>
      <c r="EN25" s="38" t="str">
        <f aca="false">IF(AND(Tasks[[#This Row],[Task Name]]&lt;&gt;"",Tasks[[#This Row],[_Level]]=1),Tasks[[#This Row],[_Row]],"")</f>
        <v/>
      </c>
      <c r="EO25" s="38" t="str">
        <f aca="false">IF(AND(Tasks[[#This Row],[_IsLeaf]]=1,N(Tasks[[#This Row],[Duration]])=0),Tasks[[#This Row],[Planned Finish]]+Tasks[[#This Row],[_Row]]/100000,"")</f>
        <v/>
      </c>
      <c r="EP25" s="38" t="str">
        <f aca="false">IF(AND(Tasks[[#This Row],[_IsLeaf]]=1,Tasks[[#This Row],[_LeafProgress]]&lt;1,OR(N(Tasks[[#This Row],[Finish Var]])&gt;0,Tasks[[#This Row],[Status]]="Late Start")),MAX(0,Tasks[[#This Row],[Finish Var]])+1-Tasks[[#This Row],[_Row]]/1000000,"")</f>
        <v/>
      </c>
      <c r="EQ25" s="38" t="str">
        <f aca="false">IF(AND(Tasks[[#This Row],[_IsLeaf]]=1,N(Tasks[[#This Row],[Actual Start]])=0,Tasks[[#This Row],[_ShownFcstStart]]&gt;=StatusDate,Tasks[[#This Row],[_ShownFcstStart]]&lt;=LookaheadEnd),Tasks[[#This Row],[_ShownFcstStart]]+Tasks[[#This Row],[_Row]]/100000,"")</f>
        <v/>
      </c>
      <c r="ER25" s="38" t="str">
        <f aca="false">IF(AND(Tasks[[#This Row],[_IsLeaf]]=1,Tasks[[#This Row],[_LeafProgress]]&lt;1,Tasks[[#This Row],[_ShownFcstFinish]]&gt;=StatusDate,Tasks[[#This Row],[_ShownFcstFinish]]&lt;=LookaheadEnd),Tasks[[#This Row],[_ShownFcstFinish]]+Tasks[[#This Row],[_Row]]/100000,"")</f>
        <v/>
      </c>
      <c r="ES25" s="38" t="str">
        <f aca="false">IF(Tasks[[#This Row],[_LeafCritical]],Tasks[[#This Row],[_ShownFcstStart]]+Tasks[[#This Row],[_Row]]/100000,"")</f>
        <v/>
      </c>
      <c r="ET25" s="38" t="n">
        <f aca="false">Tasks[[#This Row],[_LeafWork]]*Tasks[[#This Row],[_LeafProgress]]</f>
        <v>0</v>
      </c>
      <c r="EU25" s="115" t="str">
        <f aca="false">IF(AND(Tasks[[#This Row],[_IsLeaf]]=1,Tasks[[#This Row],[_LeafProgress]]&gt;=1),IF(N(Tasks[[#This Row],[Actual Finish]])&gt;0,Tasks[[#This Row],[Actual Finish]],Tasks[[#This Row],[_ShownFcstFinish]]),"")</f>
        <v/>
      </c>
      <c r="EV25" s="38" t="n">
        <f aca="false">IF(Tasks[[#This Row],[_IsLeaf]]=1,N(Tasks[[#This Row],[Story Points]]),0)</f>
        <v>0</v>
      </c>
      <c r="EW25" s="38" t="str">
        <f aca="false">IF(AND(Tasks[[#This Row],[_IsLeaf]]=1,CurrentSprint&lt;&gt;"",Tasks[[#This Row],[Sprint]]=CurrentSprint),Tasks[[#This Row],[_Row]],"")</f>
        <v/>
      </c>
    </row>
    <row r="26" customFormat="false" ht="15" hidden="false" customHeight="false" outlineLevel="0" collapsed="false">
      <c r="A26" s="51" t="str">
        <f aca="false">IF(Tasks[[#This Row],[Task Name]]="","",COUNTA(Tasks[[#Headers],[Task Name]]:Tasks[[#This Row],[Task Name]])-1)</f>
        <v/>
      </c>
      <c r="B26" s="52" t="n">
        <v>21</v>
      </c>
      <c r="C2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6" s="52"/>
      <c r="E26" s="53"/>
      <c r="F26" s="52"/>
      <c r="G26" s="52"/>
      <c r="H26" s="52"/>
      <c r="I26" s="52"/>
      <c r="J26" s="52"/>
      <c r="K26" s="52"/>
      <c r="L26" s="52"/>
      <c r="M26" s="52"/>
      <c r="N26" s="52"/>
      <c r="O26" s="52"/>
      <c r="P26" s="52"/>
      <c r="Q26" s="52"/>
      <c r="R26" s="52"/>
      <c r="S26" s="53"/>
      <c r="T26" s="102"/>
      <c r="U26" s="102"/>
      <c r="V26" s="7"/>
      <c r="W26" s="7"/>
      <c r="X26" s="53"/>
      <c r="Y26" s="31" t="str">
        <f aca="false">IF(Tasks[[#This Row],[Task Name]]="","",IF(Tasks[[#This Row],[_IsSummary]],MIN(INDEX(Tasks[_ShownFcstStart],Tasks[[#This Row],[_Row]]+1):INDEX(Tasks[_ShownFcstStart],Tasks[[#This Row],[_Row]]+Tasks[[#This Row],[_Descendants]])),Tasks[[#This Row],[_ShownFcstStart]]))</f>
        <v/>
      </c>
      <c r="Z26" s="31" t="str">
        <f aca="false">IF(Tasks[[#This Row],[Task Name]]="","",IF(Tasks[[#This Row],[_IsSummary]],MAX(INDEX(Tasks[_ShownFcstFinish],Tasks[[#This Row],[_Row]]+1):INDEX(Tasks[_ShownFcstFinish],Tasks[[#This Row],[_Row]]+Tasks[[#This Row],[_Descendants]])),Tasks[[#This Row],[_ShownFcstFinish]]))</f>
        <v/>
      </c>
      <c r="AA26" s="51" t="str">
        <f aca="false">IF(Tasks[[#This Row],[Task Name]]="","",IF(Tasks[[#This Row],[Progress]]&gt;=1,"Complete",IF(OR(N(Tasks[[#This Row],[Actual Start]])&gt;0,Tasks[[#This Row],[Progress]]&gt;0),IF(Tasks[[#This Row],[Finish Var]]&gt;0,"Behind","In Progress"),IF(Tasks[[#This Row],[Planned Start]]&lt;StatusDate,"Late Start","Not Started"))))</f>
        <v/>
      </c>
      <c r="AB26" s="51" t="str">
        <f aca="false">IF(Tasks[[#This Row],[Task Name]]="","",IF(IF(Tasks[[#This Row],[_IsSummary]],COUNTIF(INDEX(Tasks[_LeafCritical],Tasks[[#This Row],[_Row]]+1):INDEX(Tasks[_LeafCritical],Tasks[[#This Row],[_Row]]+Tasks[[#This Row],[_Descendants]]),TRUE())&gt;0,Tasks[[#This Row],[_LeafCritical]]),"Yes",""))</f>
        <v/>
      </c>
      <c r="AC2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6" s="51" t="str">
        <f aca="false">IF(Tasks[[#This Row],[Task Name]]="","",IF(Tasks[[#This Row],[_Level]]&lt;=OutlineShowLevel,"Yes","No"))</f>
        <v/>
      </c>
      <c r="AE26" s="7"/>
      <c r="AF26" s="52"/>
      <c r="AG26" s="53"/>
      <c r="AH26" s="7"/>
      <c r="AI2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6" s="31" t="str">
        <f aca="false">IF(Tasks[[#This Row],[Task Name]]="","",IF(N(Tasks[[#This Row],[Baseline Start]])&gt;0,Tasks[[#This Row],[Baseline Start]],Tasks[[#This Row],[_CalcStart]]))</f>
        <v/>
      </c>
      <c r="AK26" s="31" t="str">
        <f aca="false">IF(Tasks[[#This Row],[Task Name]]="","",IF(N(Tasks[[#This Row],[Baseline Finish]])&gt;0,Tasks[[#This Row],[Baseline Finish]],Tasks[[#This Row],[_CalcFinish]]))</f>
        <v/>
      </c>
      <c r="AL2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6" s="31" t="str">
        <f aca="false">IF(Tasks[[#This Row],[Task Name]]="","",IF(Tasks[[#This Row],[_IsSummary]],MIN(INDEX(Tasks[_LeafLateStart],Tasks[[#This Row],[_Row]]+1):INDEX(Tasks[_LeafLateStart],Tasks[[#This Row],[_Row]]+Tasks[[#This Row],[_Descendants]])),Tasks[[#This Row],[_LeafLateStart]]))</f>
        <v/>
      </c>
      <c r="AN26" s="31" t="str">
        <f aca="false">IF(Tasks[[#This Row],[Task Name]]="","",IF(Tasks[[#This Row],[_IsSummary]],MAX(INDEX(Tasks[_LeafLateFinish],Tasks[[#This Row],[_Row]]+1):INDEX(Tasks[_LeafLateFinish],Tasks[[#This Row],[_Row]]+Tasks[[#This Row],[_Descendants]])),Tasks[[#This Row],[_LeafLateFinish]]))</f>
        <v/>
      </c>
      <c r="AO26" s="51" t="str">
        <f aca="false">IF(Tasks[[#This Row],[Task Name]]="","",IF(Tasks[[#This Row],[_IsSummary]],MIN(INDEX(Tasks[_LeafTotalSlack],Tasks[[#This Row],[_Row]]+1):INDEX(Tasks[_LeafTotalSlack],Tasks[[#This Row],[_Row]]+Tasks[[#This Row],[_Descendants]])),Tasks[[#This Row],[_LeafTotalSlack]]))</f>
        <v/>
      </c>
      <c r="AP2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6" s="110" t="str">
        <f aca="false">IF(Tasks[[#This Row],[Task Name]]="","",IF(Tasks[[#This Row],[_IsSummary]],SUM(INDEX(Tasks[_LeafTotalWork],Tasks[[#This Row],[_Row]]+1):INDEX(Tasks[_LeafTotalWork],Tasks[[#This Row],[_Row]]+Tasks[[#This Row],[_Descendants]])),Tasks[[#This Row],[_LeafTotalWork]]))</f>
        <v/>
      </c>
      <c r="AV2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6" s="111" t="str">
        <f aca="false">IF(Tasks[[#This Row],[Task Name]]="","",IF(Tasks[[#This Row],[_IsSummary]],SUM(INDEX(Tasks[_LeafTotalCost],Tasks[[#This Row],[_Row]]+1):INDEX(Tasks[_LeafTotalCost],Tasks[[#This Row],[_Row]]+Tasks[[#This Row],[_Descendants]])),Tasks[[#This Row],[_LeafTotalCost]]))</f>
        <v/>
      </c>
      <c r="AY26" s="112"/>
      <c r="AZ2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6" s="52"/>
      <c r="BB26" s="98"/>
      <c r="BC26" s="51" t="str">
        <f aca="false">IF(OR(Tasks[[#This Row],[Task Name]]="",Tasks[[#This Row],[Baseline Duration]]=""),"",Tasks[[#This Row],[BL Source Duration]]-N(Tasks[[#This Row],[Baseline Duration]]))</f>
        <v/>
      </c>
      <c r="BD26" s="110" t="str">
        <f aca="false">IF(OR(Tasks[[#This Row],[Task Name]]="",Tasks[[#This Row],[Baseline Work]]=""),"",Tasks[[#This Row],[Work]]-N(Tasks[[#This Row],[Baseline Work]]))</f>
        <v/>
      </c>
      <c r="BE26" s="111" t="str">
        <f aca="false">IF(OR(Tasks[[#This Row],[Task Name]]="",Tasks[[#This Row],[Baseline Cost]]=""),"",Tasks[[#This Row],[Cost]]-N(Tasks[[#This Row],[Baseline Cost]]))</f>
        <v/>
      </c>
      <c r="BF26" s="31" t="str">
        <f aca="false">IF(Tasks[[#This Row],[Task Name]]="","",Tasks[[#This Row],[Forecast Start]])</f>
        <v/>
      </c>
      <c r="BG26" s="31" t="str">
        <f aca="false">IF(Tasks[[#This Row],[Task Name]]="","",Tasks[[#This Row],[Forecast Finish]])</f>
        <v/>
      </c>
      <c r="BH26" s="51" t="str">
        <f aca="false">IF(Tasks[[#This Row],[Task Name]]="","",IF(Tasks[[#This Row],[_IsSummary]],NETWORKDAYS.INTL(Tasks[[#This Row],[Forecast Start]],Tasks[[#This Row],[Forecast Finish]],WorkWeek,Holidays),N(Tasks[[#This Row],[Duration]])))</f>
        <v/>
      </c>
      <c r="BI26" s="110" t="str">
        <f aca="false">IF(Tasks[[#This Row],[Task Name]]="","",Tasks[[#This Row],[Work]])</f>
        <v/>
      </c>
      <c r="BJ26" s="111" t="str">
        <f aca="false">IF(Tasks[[#This Row],[Task Name]]="","",Tasks[[#This Row],[Cost]])</f>
        <v/>
      </c>
      <c r="BK26" s="7"/>
      <c r="BL26" s="7"/>
      <c r="BM26" s="52"/>
      <c r="BN26" s="113"/>
      <c r="BO26" s="112"/>
      <c r="BP26" s="111" t="str">
        <f aca="false">IF(Tasks[[#This Row],[Task Name]]="","",IF(Tasks[[#This Row],[_IsSummary]],SUM(INDEX(Tasks[_LeafEV],Tasks[[#This Row],[_Row]]+1):INDEX(Tasks[_LeafEV],Tasks[[#This Row],[_Row]]+Tasks[[#This Row],[_Descendants]])),Tasks[[#This Row],[_LeafEV]]))</f>
        <v/>
      </c>
      <c r="BQ26" s="111" t="str">
        <f aca="false">IF(Tasks[[#This Row],[Task Name]]="","",IF(Tasks[[#This Row],[_IsSummary]],SUM(INDEX(Tasks[_LeafBudget],Tasks[[#This Row],[_Row]]+1):INDEX(Tasks[_LeafBudget],Tasks[[#This Row],[_Row]]+Tasks[[#This Row],[_Descendants]])),Tasks[[#This Row],[_LeafBudget]]))</f>
        <v/>
      </c>
      <c r="BR26" s="111" t="str">
        <f aca="false">IF(Tasks[[#This Row],[Task Name]]="","",IF(Tasks[[#This Row],[_IsSummary]],SUM(INDEX(Tasks[_LeafPV],Tasks[[#This Row],[_Row]]+1):INDEX(Tasks[_LeafPV],Tasks[[#This Row],[_Row]]+Tasks[[#This Row],[_Descendants]])),Tasks[[#This Row],[_LeafPV]]))</f>
        <v/>
      </c>
      <c r="BS26" s="111" t="str">
        <f aca="false">IF(Tasks[[#This Row],[Task Name]]="","",IF(Tasks[[#This Row],[_IsSummary]],SUM(INDEX(Tasks[_LeafAC],Tasks[[#This Row],[_Row]]+1):INDEX(Tasks[_LeafAC],Tasks[[#This Row],[_Row]]+Tasks[[#This Row],[_Descendants]])),Tasks[[#This Row],[_LeafAC]]))</f>
        <v/>
      </c>
      <c r="BT26" s="38" t="str">
        <f aca="false">IF(Tasks[[#This Row],[Task Name]]="","",MAX(1,N(Tasks[[#This Row],[Level]])))</f>
        <v/>
      </c>
      <c r="BU26" s="38" t="n">
        <f aca="false">ROW()-ROW(Tasks[[#Headers],[ID]])</f>
        <v>21</v>
      </c>
      <c r="BV26" s="38" t="n">
        <f aca="false">IF(OR(Tasks[[#This Row],[Task Name]]="",Tasks[[#This Row],[_Level]]&lt;=1),0,IFERROR(LOOKUP(2,1/(Tasks[[#Headers],[_Level]]:Tasks[[#This Row],[_Level]]=Tasks[[#This Row],[_Level]]-1),ROW(Tasks[[#Headers],[_Level]]:Tasks[[#This Row],[_Level]])),0))</f>
        <v>0</v>
      </c>
      <c r="BW26" s="38" t="n">
        <f aca="false">IFERROR(N(INDEX(Tasks[_Level],Tasks[[#This Row],[_Row]]+1)),0)</f>
        <v>0</v>
      </c>
      <c r="BX26" s="114" t="b">
        <f aca="false">AND(Tasks[[#This Row],[Task Name]]&lt;&gt;"",Tasks[[#This Row],[_NextLevel]]&gt;Tasks[[#This Row],[_Level]])</f>
        <v>0</v>
      </c>
      <c r="BY26" s="38" t="n">
        <f aca="false">IF(Tasks[[#This Row],[_IsSummary]],COUNTIF(Tasks[WBS],Tasks[[#This Row],[WBS]]&amp;".*"),0)</f>
        <v>0</v>
      </c>
      <c r="BZ26" s="38" t="n">
        <f aca="false">IF(AND(Tasks[[#This Row],[Task Name]]&lt;&gt;"",NOT(Tasks[[#This Row],[_IsSummary]])),1,0)</f>
        <v>0</v>
      </c>
      <c r="CA26" s="38" t="n">
        <f aca="false">IF(N(Tasks[[#This Row],[Pred1 UID]])=0,0,IFERROR(MATCH(Tasks[[#This Row],[Pred1 UID]],Tasks[UID],0),-1))</f>
        <v>0</v>
      </c>
      <c r="CB26" s="38" t="n">
        <f aca="false">IF(N(Tasks[[#This Row],[Pred2 UID]])=0,0,IFERROR(MATCH(Tasks[[#This Row],[Pred2 UID]],Tasks[UID],0),-1))</f>
        <v>0</v>
      </c>
      <c r="CC26" s="38" t="n">
        <f aca="false">IF(N(Tasks[[#This Row],[Pred3 UID]])=0,0,IFERROR(MATCH(Tasks[[#This Row],[Pred3 UID]],Tasks[UID],0),-1))</f>
        <v>0</v>
      </c>
      <c r="CD26" s="38" t="n">
        <f aca="false">IF(N(Tasks[[#This Row],[Pred4 UID]])=0,0,IFERROR(MATCH(Tasks[[#This Row],[Pred4 UID]],Tasks[UID],0),-1))</f>
        <v>0</v>
      </c>
      <c r="CE2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6" s="115" t="n">
        <f aca="false">IF(OR(Tasks[[#This Row],[_ConstraintCode]]=2,Tasks[[#This Row],[_ConstraintCode]]=3,Tasks[[#This Row],[_ConstraintCode]]=4,Tasks[[#This Row],[_ConstraintCode]]=6),Tasks[[#This Row],[_ConstraintStart]],0)</f>
        <v>0</v>
      </c>
      <c r="CH26" s="115" t="n">
        <f aca="false">IF(OR(Tasks[[#This Row],[_ConstraintCode]]=2,Tasks[[#This Row],[_ConstraintCode]]=3,Tasks[[#This Row],[_ConstraintCode]]=5,Tasks[[#This Row],[_ConstraintCode]]=7),Tasks[[#This Row],[_ConstraintStart]],2958465)</f>
        <v>2958465</v>
      </c>
      <c r="CI2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6" s="115" t="str">
        <f aca="false">IF(NOT(Tasks[[#This Row],[_IsLeaf]]=1),"",IF(N(Tasks[[#This Row],[Duration]])&lt;=0,Tasks[[#This Row],[_LeafCalcStart]],WORKDAY.INTL(Tasks[[#This Row],[_LeafCalcStart]],Tasks[[#This Row],[Duration]]-1,WorkWeek,Holidays)))</f>
        <v/>
      </c>
      <c r="CK2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6" s="38" t="n">
        <f aca="false">IF(NOT(Tasks[[#This Row],[_IsLeaf]]=1),0,IF(N(Tasks[[#This Row],[Actual Finish]])&gt;0,1,MIN(1,N(Tasks[[#This Row],[% Complete]]))))</f>
        <v>0</v>
      </c>
      <c r="CN26" s="38" t="n">
        <f aca="false">IF(OR(NOT(Tasks[[#This Row],[_IsLeaf]]=1),Tasks[[#This Row],[Resource]]=""),0,N(Tasks[[#This Row],[Duration]])*HoursPerDay*IF(Tasks[[#This Row],[Units]]="",DefaultUnits,Tasks[[#This Row],[Units]]))</f>
        <v>0</v>
      </c>
      <c r="CO26" s="38" t="n">
        <f aca="false">IF(Tasks[[#This Row],[_LeafWork]]=0,0,Tasks[[#This Row],[_LeafWork]]*IFERROR(INDEX(res_Rate,MATCH(Tasks[[#This Row],[Resource]],res_Name,0)),0))</f>
        <v>0</v>
      </c>
      <c r="CP26" s="38" t="n">
        <f aca="false">Tasks[[#This Row],[_LeafWork]]+IF(Tasks[[#This Row],[_IsLeaf]]=1,SUMIFS(asg_Work,asg_TaskUID,Tasks[[#This Row],[UID]],asg_Valid,1),0)</f>
        <v>0</v>
      </c>
      <c r="CQ26" s="38" t="n">
        <f aca="false">Tasks[[#This Row],[_LeafCost]]+IF(Tasks[[#This Row],[_IsLeaf]]=1,SUMIFS(asg_Cost,asg_TaskUID,Tasks[[#This Row],[UID]],asg_Valid,1),0)</f>
        <v>0</v>
      </c>
      <c r="CR26" s="38" t="n">
        <f aca="false">IF(Tasks[[#This Row],[_LeafTotalCost]]=0,Tasks[[#This Row],[_LeafAC]],Tasks[[#This Row],[_LeafAC]]*Tasks[[#This Row],[_LeafCost]]/Tasks[[#This Row],[_LeafTotalCost]])</f>
        <v>0</v>
      </c>
      <c r="CS2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6" s="38" t="n">
        <f aca="false">IF(NOT(Tasks[[#This Row],[_IsLeaf]]=1),0,MAX(_xlfn.MAXIFS(Tasks[_Row],Tasks[Pred1 UID],Tasks[[#This Row],[UID]]),_xlfn.MAXIFS(Tasks[_Row],Tasks[Pred2 UID],Tasks[[#This Row],[UID]]),_xlfn.MAXIFS(Tasks[_Row],Tasks[Pred3 UID],Tasks[[#This Row],[UID]]),_xlfn.MAXIFS(Tasks[_Row],Tasks[Pred4 UID],Tasks[[#This Row],[UID]])))</f>
        <v>0</v>
      </c>
      <c r="DB2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6" s="115" t="str">
        <f aca="false">IF(NOT(Tasks[[#This Row],[_IsLeaf]]=1),"",IF(N(Tasks[[#This Row],[Duration]])&lt;=0,Tasks[[#This Row],[_LeafLateFinish]],WORKDAY.INTL(Tasks[[#This Row],[_LeafLateFinish]],-(Tasks[[#This Row],[Duration]]-1),WorkWeek,Holidays)))</f>
        <v/>
      </c>
      <c r="DE2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6" s="114" t="b">
        <f aca="false">AND(Tasks[[#This Row],[_IsLeaf]]=1,Tasks[[#This Row],[_LeafProgress]]&lt;1,N(Tasks[[#This Row],[_LeafTotalSlack]])&lt;=CriticalSlackDays)</f>
        <v>0</v>
      </c>
      <c r="DG26" s="38" t="n">
        <f aca="false">IF(AND(Tasks[[#This Row],[_IsLeaf]]=1,Tasks[[#This Row],[_ConstraintCode]]=1,Tasks[[#This Row],[Mode]]&lt;&gt;"Manual",N(Tasks[[#This Row],[Actual Start]])=0),MAX(0,N(Tasks[[#This Row],[Free Slack]])),0)</f>
        <v>0</v>
      </c>
      <c r="DH26" s="115" t="str">
        <f aca="false">IF(NOT(Tasks[[#This Row],[_IsLeaf]]=1),"",IF(Tasks[[#This Row],[_AlapShift]]=0,Tasks[[#This Row],[_LeafCalcStart]],WORKDAY.INTL(Tasks[[#This Row],[_LeafCalcStart]],Tasks[[#This Row],[_AlapShift]],WorkWeek,Holidays)))</f>
        <v/>
      </c>
      <c r="DI26" s="115" t="str">
        <f aca="false">IF(NOT(Tasks[[#This Row],[_IsLeaf]]=1),"",IF(Tasks[[#This Row],[_AlapShift]]=0,Tasks[[#This Row],[_LeafCalcFinish]],WORKDAY.INTL(Tasks[[#This Row],[_LeafCalcFinish]],Tasks[[#This Row],[_AlapShift]],WorkWeek,Holidays)))</f>
        <v/>
      </c>
      <c r="DJ26" s="115" t="str">
        <f aca="false">IF(NOT(Tasks[[#This Row],[_IsLeaf]]=1),"",IF(Tasks[[#This Row],[_AlapShift]]=0,Tasks[[#This Row],[_LeafFcstStart]],WORKDAY.INTL(Tasks[[#This Row],[_LeafFcstStart]],Tasks[[#This Row],[_AlapShift]],WorkWeek,Holidays)))</f>
        <v/>
      </c>
      <c r="DK26" s="115" t="str">
        <f aca="false">IF(NOT(Tasks[[#This Row],[_IsLeaf]]=1),"",IF(Tasks[[#This Row],[_AlapShift]]=0,Tasks[[#This Row],[_LeafFcstFinish]],WORKDAY.INTL(Tasks[[#This Row],[_LeafFcstFinish]],Tasks[[#This Row],[_AlapShift]],WorkWeek,Holidays)))</f>
        <v/>
      </c>
      <c r="DL26" s="115" t="str">
        <f aca="false">IF(Tasks[[#This Row],[Task Name]]="","",IF(Tasks[[#This Row],[_IsSummary]],MIN(INDEX(Tasks[_ShownCalcStart],Tasks[[#This Row],[_Row]]+1):INDEX(Tasks[_ShownCalcStart],Tasks[[#This Row],[_Row]]+Tasks[[#This Row],[_Descendants]])),Tasks[[#This Row],[_ShownCalcStart]]))</f>
        <v/>
      </c>
      <c r="DM26" s="115" t="str">
        <f aca="false">IF(Tasks[[#This Row],[Task Name]]="","",IF(Tasks[[#This Row],[_IsSummary]],MAX(INDEX(Tasks[_ShownCalcFinish],Tasks[[#This Row],[_Row]]+1):INDEX(Tasks[_ShownCalcFinish],Tasks[[#This Row],[_Row]]+Tasks[[#This Row],[_Descendants]])),Tasks[[#This Row],[_ShownCalcFinish]]))</f>
        <v/>
      </c>
      <c r="DN2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6" s="38" t="n">
        <f aca="false">IF(AND(Tasks[[#This Row],[_IsLeaf]]=1,Tasks[[#This Row],[_LeafTotalWork]]&gt;0),NETWORKDAYS.INTL(ProjectStart,Tasks[[#This Row],[_ShownFcstStart]],WorkWeek,Holidays),0)</f>
        <v>0</v>
      </c>
      <c r="EA26" s="38" t="n">
        <f aca="false">IF(AND(Tasks[[#This Row],[_IsLeaf]]=1,Tasks[[#This Row],[_LeafTotalWork]]&gt;0),MAX(Tasks[[#This Row],[_StartWorkday]],NETWORKDAYS.INTL(ProjectStart,Tasks[[#This Row],[_ShownFcstFinish]],WorkWeek,Holidays)),0)</f>
        <v>0</v>
      </c>
      <c r="EB26" s="38" t="n">
        <f aca="false">IF(AND(Tasks[[#This Row],[_IsLeaf]]=1,Tasks[[#This Row],[_LeafTotalWork]]&gt;0),Tasks[[#This Row],[_LeafWork]]/(Tasks[[#This Row],[_FinishWorkday]]-Tasks[[#This Row],[_StartWorkday]]+1),0)</f>
        <v>0</v>
      </c>
      <c r="EC26" s="38" t="n">
        <f aca="false">Tasks[[#This Row],[_WorkPerWorkday]]*(Tasks[[#This Row],[_StartWorkday]]-1)</f>
        <v>-0</v>
      </c>
      <c r="ED26" s="38" t="n">
        <f aca="false">IF(Tasks[[#This Row],[_IsLeaf]]=1,MAX(N(Tasks[[#This Row],[Duration]]),0.1),0)</f>
        <v>0</v>
      </c>
      <c r="EE26" s="38" t="n">
        <f aca="false">Tasks[[#This Row],[_WeightDur]]*Tasks[[#This Row],[_LeafProgress]]</f>
        <v>0</v>
      </c>
      <c r="EF2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6" s="38" t="str">
        <f aca="false">IF(AND(Tasks[[#This Row],[_IsLeaf]]=1,N(Tasks[[#This Row],[Duration]])=0,Tasks[[#This Row],[_LeafProgress]]&lt;1),Tasks[[#This Row],[_ShownFcstFinish]]+Tasks[[#This Row],[_Row]]/100000,"")</f>
        <v/>
      </c>
      <c r="EH2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6" s="38" t="n">
        <f aca="false">IF(NOT(Tasks[[#This Row],[_IsLeaf]]=1),0,IF(Tasks[[#This Row],[Baseline Cost]]="",Tasks[[#This Row],[_LeafTotalCost]],N(Tasks[[#This Row],[Baseline Cost]])))</f>
        <v>0</v>
      </c>
      <c r="EJ26" s="38" t="n">
        <f aca="false">Tasks[[#This Row],[_LeafBudget]]*Tasks[[#This Row],[_PlannedPct]]</f>
        <v>0</v>
      </c>
      <c r="EK26" s="38" t="n">
        <f aca="false">Tasks[[#This Row],[_LeafBudget]]*Tasks[[#This Row],[_LeafProgress]]</f>
        <v>0</v>
      </c>
      <c r="EL26" s="38" t="n">
        <f aca="false">IF(NOT(Tasks[[#This Row],[_IsLeaf]]=1),0,IF(Tasks[[#This Row],[Actual Cost]]="",Tasks[[#This Row],[_LeafTotalCost]]*Tasks[[#This Row],[_LeafProgress]],N(Tasks[[#This Row],[Actual Cost]])))</f>
        <v>0</v>
      </c>
      <c r="EM26" s="38" t="str">
        <f aca="false">IF(Tasks[[#This Row],[Task Name]]="","",LEFT(Tasks[[#This Row],[WBS]],FIND(".",Tasks[[#This Row],[WBS]]&amp;".")-1))</f>
        <v/>
      </c>
      <c r="EN26" s="38" t="str">
        <f aca="false">IF(AND(Tasks[[#This Row],[Task Name]]&lt;&gt;"",Tasks[[#This Row],[_Level]]=1),Tasks[[#This Row],[_Row]],"")</f>
        <v/>
      </c>
      <c r="EO26" s="38" t="str">
        <f aca="false">IF(AND(Tasks[[#This Row],[_IsLeaf]]=1,N(Tasks[[#This Row],[Duration]])=0),Tasks[[#This Row],[Planned Finish]]+Tasks[[#This Row],[_Row]]/100000,"")</f>
        <v/>
      </c>
      <c r="EP26" s="38" t="str">
        <f aca="false">IF(AND(Tasks[[#This Row],[_IsLeaf]]=1,Tasks[[#This Row],[_LeafProgress]]&lt;1,OR(N(Tasks[[#This Row],[Finish Var]])&gt;0,Tasks[[#This Row],[Status]]="Late Start")),MAX(0,Tasks[[#This Row],[Finish Var]])+1-Tasks[[#This Row],[_Row]]/1000000,"")</f>
        <v/>
      </c>
      <c r="EQ26" s="38" t="str">
        <f aca="false">IF(AND(Tasks[[#This Row],[_IsLeaf]]=1,N(Tasks[[#This Row],[Actual Start]])=0,Tasks[[#This Row],[_ShownFcstStart]]&gt;=StatusDate,Tasks[[#This Row],[_ShownFcstStart]]&lt;=LookaheadEnd),Tasks[[#This Row],[_ShownFcstStart]]+Tasks[[#This Row],[_Row]]/100000,"")</f>
        <v/>
      </c>
      <c r="ER26" s="38" t="str">
        <f aca="false">IF(AND(Tasks[[#This Row],[_IsLeaf]]=1,Tasks[[#This Row],[_LeafProgress]]&lt;1,Tasks[[#This Row],[_ShownFcstFinish]]&gt;=StatusDate,Tasks[[#This Row],[_ShownFcstFinish]]&lt;=LookaheadEnd),Tasks[[#This Row],[_ShownFcstFinish]]+Tasks[[#This Row],[_Row]]/100000,"")</f>
        <v/>
      </c>
      <c r="ES26" s="38" t="str">
        <f aca="false">IF(Tasks[[#This Row],[_LeafCritical]],Tasks[[#This Row],[_ShownFcstStart]]+Tasks[[#This Row],[_Row]]/100000,"")</f>
        <v/>
      </c>
      <c r="ET26" s="38" t="n">
        <f aca="false">Tasks[[#This Row],[_LeafWork]]*Tasks[[#This Row],[_LeafProgress]]</f>
        <v>0</v>
      </c>
      <c r="EU26" s="115" t="str">
        <f aca="false">IF(AND(Tasks[[#This Row],[_IsLeaf]]=1,Tasks[[#This Row],[_LeafProgress]]&gt;=1),IF(N(Tasks[[#This Row],[Actual Finish]])&gt;0,Tasks[[#This Row],[Actual Finish]],Tasks[[#This Row],[_ShownFcstFinish]]),"")</f>
        <v/>
      </c>
      <c r="EV26" s="38" t="n">
        <f aca="false">IF(Tasks[[#This Row],[_IsLeaf]]=1,N(Tasks[[#This Row],[Story Points]]),0)</f>
        <v>0</v>
      </c>
      <c r="EW26" s="38" t="str">
        <f aca="false">IF(AND(Tasks[[#This Row],[_IsLeaf]]=1,CurrentSprint&lt;&gt;"",Tasks[[#This Row],[Sprint]]=CurrentSprint),Tasks[[#This Row],[_Row]],"")</f>
        <v/>
      </c>
    </row>
    <row r="27" customFormat="false" ht="15" hidden="false" customHeight="false" outlineLevel="0" collapsed="false">
      <c r="A27" s="51" t="str">
        <f aca="false">IF(Tasks[[#This Row],[Task Name]]="","",COUNTA(Tasks[[#Headers],[Task Name]]:Tasks[[#This Row],[Task Name]])-1)</f>
        <v/>
      </c>
      <c r="B27" s="52" t="n">
        <v>22</v>
      </c>
      <c r="C2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7" s="52"/>
      <c r="E27" s="53"/>
      <c r="F27" s="52"/>
      <c r="G27" s="52"/>
      <c r="H27" s="52"/>
      <c r="I27" s="52"/>
      <c r="J27" s="52"/>
      <c r="K27" s="52"/>
      <c r="L27" s="52"/>
      <c r="M27" s="52"/>
      <c r="N27" s="52"/>
      <c r="O27" s="52"/>
      <c r="P27" s="52"/>
      <c r="Q27" s="52"/>
      <c r="R27" s="52"/>
      <c r="S27" s="53"/>
      <c r="T27" s="102"/>
      <c r="U27" s="102"/>
      <c r="V27" s="7"/>
      <c r="W27" s="7"/>
      <c r="X27" s="53"/>
      <c r="Y27" s="31" t="str">
        <f aca="false">IF(Tasks[[#This Row],[Task Name]]="","",IF(Tasks[[#This Row],[_IsSummary]],MIN(INDEX(Tasks[_ShownFcstStart],Tasks[[#This Row],[_Row]]+1):INDEX(Tasks[_ShownFcstStart],Tasks[[#This Row],[_Row]]+Tasks[[#This Row],[_Descendants]])),Tasks[[#This Row],[_ShownFcstStart]]))</f>
        <v/>
      </c>
      <c r="Z27" s="31" t="str">
        <f aca="false">IF(Tasks[[#This Row],[Task Name]]="","",IF(Tasks[[#This Row],[_IsSummary]],MAX(INDEX(Tasks[_ShownFcstFinish],Tasks[[#This Row],[_Row]]+1):INDEX(Tasks[_ShownFcstFinish],Tasks[[#This Row],[_Row]]+Tasks[[#This Row],[_Descendants]])),Tasks[[#This Row],[_ShownFcstFinish]]))</f>
        <v/>
      </c>
      <c r="AA27" s="51" t="str">
        <f aca="false">IF(Tasks[[#This Row],[Task Name]]="","",IF(Tasks[[#This Row],[Progress]]&gt;=1,"Complete",IF(OR(N(Tasks[[#This Row],[Actual Start]])&gt;0,Tasks[[#This Row],[Progress]]&gt;0),IF(Tasks[[#This Row],[Finish Var]]&gt;0,"Behind","In Progress"),IF(Tasks[[#This Row],[Planned Start]]&lt;StatusDate,"Late Start","Not Started"))))</f>
        <v/>
      </c>
      <c r="AB27" s="51" t="str">
        <f aca="false">IF(Tasks[[#This Row],[Task Name]]="","",IF(IF(Tasks[[#This Row],[_IsSummary]],COUNTIF(INDEX(Tasks[_LeafCritical],Tasks[[#This Row],[_Row]]+1):INDEX(Tasks[_LeafCritical],Tasks[[#This Row],[_Row]]+Tasks[[#This Row],[_Descendants]]),TRUE())&gt;0,Tasks[[#This Row],[_LeafCritical]]),"Yes",""))</f>
        <v/>
      </c>
      <c r="AC2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7" s="51" t="str">
        <f aca="false">IF(Tasks[[#This Row],[Task Name]]="","",IF(Tasks[[#This Row],[_Level]]&lt;=OutlineShowLevel,"Yes","No"))</f>
        <v/>
      </c>
      <c r="AE27" s="7"/>
      <c r="AF27" s="52"/>
      <c r="AG27" s="53"/>
      <c r="AH27" s="7"/>
      <c r="AI2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7" s="31" t="str">
        <f aca="false">IF(Tasks[[#This Row],[Task Name]]="","",IF(N(Tasks[[#This Row],[Baseline Start]])&gt;0,Tasks[[#This Row],[Baseline Start]],Tasks[[#This Row],[_CalcStart]]))</f>
        <v/>
      </c>
      <c r="AK27" s="31" t="str">
        <f aca="false">IF(Tasks[[#This Row],[Task Name]]="","",IF(N(Tasks[[#This Row],[Baseline Finish]])&gt;0,Tasks[[#This Row],[Baseline Finish]],Tasks[[#This Row],[_CalcFinish]]))</f>
        <v/>
      </c>
      <c r="AL2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7" s="31" t="str">
        <f aca="false">IF(Tasks[[#This Row],[Task Name]]="","",IF(Tasks[[#This Row],[_IsSummary]],MIN(INDEX(Tasks[_LeafLateStart],Tasks[[#This Row],[_Row]]+1):INDEX(Tasks[_LeafLateStart],Tasks[[#This Row],[_Row]]+Tasks[[#This Row],[_Descendants]])),Tasks[[#This Row],[_LeafLateStart]]))</f>
        <v/>
      </c>
      <c r="AN27" s="31" t="str">
        <f aca="false">IF(Tasks[[#This Row],[Task Name]]="","",IF(Tasks[[#This Row],[_IsSummary]],MAX(INDEX(Tasks[_LeafLateFinish],Tasks[[#This Row],[_Row]]+1):INDEX(Tasks[_LeafLateFinish],Tasks[[#This Row],[_Row]]+Tasks[[#This Row],[_Descendants]])),Tasks[[#This Row],[_LeafLateFinish]]))</f>
        <v/>
      </c>
      <c r="AO27" s="51" t="str">
        <f aca="false">IF(Tasks[[#This Row],[Task Name]]="","",IF(Tasks[[#This Row],[_IsSummary]],MIN(INDEX(Tasks[_LeafTotalSlack],Tasks[[#This Row],[_Row]]+1):INDEX(Tasks[_LeafTotalSlack],Tasks[[#This Row],[_Row]]+Tasks[[#This Row],[_Descendants]])),Tasks[[#This Row],[_LeafTotalSlack]]))</f>
        <v/>
      </c>
      <c r="AP2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7" s="110" t="str">
        <f aca="false">IF(Tasks[[#This Row],[Task Name]]="","",IF(Tasks[[#This Row],[_IsSummary]],SUM(INDEX(Tasks[_LeafTotalWork],Tasks[[#This Row],[_Row]]+1):INDEX(Tasks[_LeafTotalWork],Tasks[[#This Row],[_Row]]+Tasks[[#This Row],[_Descendants]])),Tasks[[#This Row],[_LeafTotalWork]]))</f>
        <v/>
      </c>
      <c r="AV2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7" s="111" t="str">
        <f aca="false">IF(Tasks[[#This Row],[Task Name]]="","",IF(Tasks[[#This Row],[_IsSummary]],SUM(INDEX(Tasks[_LeafTotalCost],Tasks[[#This Row],[_Row]]+1):INDEX(Tasks[_LeafTotalCost],Tasks[[#This Row],[_Row]]+Tasks[[#This Row],[_Descendants]])),Tasks[[#This Row],[_LeafTotalCost]]))</f>
        <v/>
      </c>
      <c r="AY27" s="112"/>
      <c r="AZ2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7" s="52"/>
      <c r="BB27" s="98"/>
      <c r="BC27" s="51" t="str">
        <f aca="false">IF(OR(Tasks[[#This Row],[Task Name]]="",Tasks[[#This Row],[Baseline Duration]]=""),"",Tasks[[#This Row],[BL Source Duration]]-N(Tasks[[#This Row],[Baseline Duration]]))</f>
        <v/>
      </c>
      <c r="BD27" s="110" t="str">
        <f aca="false">IF(OR(Tasks[[#This Row],[Task Name]]="",Tasks[[#This Row],[Baseline Work]]=""),"",Tasks[[#This Row],[Work]]-N(Tasks[[#This Row],[Baseline Work]]))</f>
        <v/>
      </c>
      <c r="BE27" s="111" t="str">
        <f aca="false">IF(OR(Tasks[[#This Row],[Task Name]]="",Tasks[[#This Row],[Baseline Cost]]=""),"",Tasks[[#This Row],[Cost]]-N(Tasks[[#This Row],[Baseline Cost]]))</f>
        <v/>
      </c>
      <c r="BF27" s="31" t="str">
        <f aca="false">IF(Tasks[[#This Row],[Task Name]]="","",Tasks[[#This Row],[Forecast Start]])</f>
        <v/>
      </c>
      <c r="BG27" s="31" t="str">
        <f aca="false">IF(Tasks[[#This Row],[Task Name]]="","",Tasks[[#This Row],[Forecast Finish]])</f>
        <v/>
      </c>
      <c r="BH27" s="51" t="str">
        <f aca="false">IF(Tasks[[#This Row],[Task Name]]="","",IF(Tasks[[#This Row],[_IsSummary]],NETWORKDAYS.INTL(Tasks[[#This Row],[Forecast Start]],Tasks[[#This Row],[Forecast Finish]],WorkWeek,Holidays),N(Tasks[[#This Row],[Duration]])))</f>
        <v/>
      </c>
      <c r="BI27" s="110" t="str">
        <f aca="false">IF(Tasks[[#This Row],[Task Name]]="","",Tasks[[#This Row],[Work]])</f>
        <v/>
      </c>
      <c r="BJ27" s="111" t="str">
        <f aca="false">IF(Tasks[[#This Row],[Task Name]]="","",Tasks[[#This Row],[Cost]])</f>
        <v/>
      </c>
      <c r="BK27" s="7"/>
      <c r="BL27" s="7"/>
      <c r="BM27" s="52"/>
      <c r="BN27" s="113"/>
      <c r="BO27" s="112"/>
      <c r="BP27" s="111" t="str">
        <f aca="false">IF(Tasks[[#This Row],[Task Name]]="","",IF(Tasks[[#This Row],[_IsSummary]],SUM(INDEX(Tasks[_LeafEV],Tasks[[#This Row],[_Row]]+1):INDEX(Tasks[_LeafEV],Tasks[[#This Row],[_Row]]+Tasks[[#This Row],[_Descendants]])),Tasks[[#This Row],[_LeafEV]]))</f>
        <v/>
      </c>
      <c r="BQ27" s="111" t="str">
        <f aca="false">IF(Tasks[[#This Row],[Task Name]]="","",IF(Tasks[[#This Row],[_IsSummary]],SUM(INDEX(Tasks[_LeafBudget],Tasks[[#This Row],[_Row]]+1):INDEX(Tasks[_LeafBudget],Tasks[[#This Row],[_Row]]+Tasks[[#This Row],[_Descendants]])),Tasks[[#This Row],[_LeafBudget]]))</f>
        <v/>
      </c>
      <c r="BR27" s="111" t="str">
        <f aca="false">IF(Tasks[[#This Row],[Task Name]]="","",IF(Tasks[[#This Row],[_IsSummary]],SUM(INDEX(Tasks[_LeafPV],Tasks[[#This Row],[_Row]]+1):INDEX(Tasks[_LeafPV],Tasks[[#This Row],[_Row]]+Tasks[[#This Row],[_Descendants]])),Tasks[[#This Row],[_LeafPV]]))</f>
        <v/>
      </c>
      <c r="BS27" s="111" t="str">
        <f aca="false">IF(Tasks[[#This Row],[Task Name]]="","",IF(Tasks[[#This Row],[_IsSummary]],SUM(INDEX(Tasks[_LeafAC],Tasks[[#This Row],[_Row]]+1):INDEX(Tasks[_LeafAC],Tasks[[#This Row],[_Row]]+Tasks[[#This Row],[_Descendants]])),Tasks[[#This Row],[_LeafAC]]))</f>
        <v/>
      </c>
      <c r="BT27" s="38" t="str">
        <f aca="false">IF(Tasks[[#This Row],[Task Name]]="","",MAX(1,N(Tasks[[#This Row],[Level]])))</f>
        <v/>
      </c>
      <c r="BU27" s="38" t="n">
        <f aca="false">ROW()-ROW(Tasks[[#Headers],[ID]])</f>
        <v>22</v>
      </c>
      <c r="BV27" s="38" t="n">
        <f aca="false">IF(OR(Tasks[[#This Row],[Task Name]]="",Tasks[[#This Row],[_Level]]&lt;=1),0,IFERROR(LOOKUP(2,1/(Tasks[[#Headers],[_Level]]:Tasks[[#This Row],[_Level]]=Tasks[[#This Row],[_Level]]-1),ROW(Tasks[[#Headers],[_Level]]:Tasks[[#This Row],[_Level]])),0))</f>
        <v>0</v>
      </c>
      <c r="BW27" s="38" t="n">
        <f aca="false">IFERROR(N(INDEX(Tasks[_Level],Tasks[[#This Row],[_Row]]+1)),0)</f>
        <v>0</v>
      </c>
      <c r="BX27" s="114" t="b">
        <f aca="false">AND(Tasks[[#This Row],[Task Name]]&lt;&gt;"",Tasks[[#This Row],[_NextLevel]]&gt;Tasks[[#This Row],[_Level]])</f>
        <v>0</v>
      </c>
      <c r="BY27" s="38" t="n">
        <f aca="false">IF(Tasks[[#This Row],[_IsSummary]],COUNTIF(Tasks[WBS],Tasks[[#This Row],[WBS]]&amp;".*"),0)</f>
        <v>0</v>
      </c>
      <c r="BZ27" s="38" t="n">
        <f aca="false">IF(AND(Tasks[[#This Row],[Task Name]]&lt;&gt;"",NOT(Tasks[[#This Row],[_IsSummary]])),1,0)</f>
        <v>0</v>
      </c>
      <c r="CA27" s="38" t="n">
        <f aca="false">IF(N(Tasks[[#This Row],[Pred1 UID]])=0,0,IFERROR(MATCH(Tasks[[#This Row],[Pred1 UID]],Tasks[UID],0),-1))</f>
        <v>0</v>
      </c>
      <c r="CB27" s="38" t="n">
        <f aca="false">IF(N(Tasks[[#This Row],[Pred2 UID]])=0,0,IFERROR(MATCH(Tasks[[#This Row],[Pred2 UID]],Tasks[UID],0),-1))</f>
        <v>0</v>
      </c>
      <c r="CC27" s="38" t="n">
        <f aca="false">IF(N(Tasks[[#This Row],[Pred3 UID]])=0,0,IFERROR(MATCH(Tasks[[#This Row],[Pred3 UID]],Tasks[UID],0),-1))</f>
        <v>0</v>
      </c>
      <c r="CD27" s="38" t="n">
        <f aca="false">IF(N(Tasks[[#This Row],[Pred4 UID]])=0,0,IFERROR(MATCH(Tasks[[#This Row],[Pred4 UID]],Tasks[UID],0),-1))</f>
        <v>0</v>
      </c>
      <c r="CE2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7" s="115" t="n">
        <f aca="false">IF(OR(Tasks[[#This Row],[_ConstraintCode]]=2,Tasks[[#This Row],[_ConstraintCode]]=3,Tasks[[#This Row],[_ConstraintCode]]=4,Tasks[[#This Row],[_ConstraintCode]]=6),Tasks[[#This Row],[_ConstraintStart]],0)</f>
        <v>0</v>
      </c>
      <c r="CH27" s="115" t="n">
        <f aca="false">IF(OR(Tasks[[#This Row],[_ConstraintCode]]=2,Tasks[[#This Row],[_ConstraintCode]]=3,Tasks[[#This Row],[_ConstraintCode]]=5,Tasks[[#This Row],[_ConstraintCode]]=7),Tasks[[#This Row],[_ConstraintStart]],2958465)</f>
        <v>2958465</v>
      </c>
      <c r="CI2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7" s="115" t="str">
        <f aca="false">IF(NOT(Tasks[[#This Row],[_IsLeaf]]=1),"",IF(N(Tasks[[#This Row],[Duration]])&lt;=0,Tasks[[#This Row],[_LeafCalcStart]],WORKDAY.INTL(Tasks[[#This Row],[_LeafCalcStart]],Tasks[[#This Row],[Duration]]-1,WorkWeek,Holidays)))</f>
        <v/>
      </c>
      <c r="CK2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7" s="38" t="n">
        <f aca="false">IF(NOT(Tasks[[#This Row],[_IsLeaf]]=1),0,IF(N(Tasks[[#This Row],[Actual Finish]])&gt;0,1,MIN(1,N(Tasks[[#This Row],[% Complete]]))))</f>
        <v>0</v>
      </c>
      <c r="CN27" s="38" t="n">
        <f aca="false">IF(OR(NOT(Tasks[[#This Row],[_IsLeaf]]=1),Tasks[[#This Row],[Resource]]=""),0,N(Tasks[[#This Row],[Duration]])*HoursPerDay*IF(Tasks[[#This Row],[Units]]="",DefaultUnits,Tasks[[#This Row],[Units]]))</f>
        <v>0</v>
      </c>
      <c r="CO27" s="38" t="n">
        <f aca="false">IF(Tasks[[#This Row],[_LeafWork]]=0,0,Tasks[[#This Row],[_LeafWork]]*IFERROR(INDEX(res_Rate,MATCH(Tasks[[#This Row],[Resource]],res_Name,0)),0))</f>
        <v>0</v>
      </c>
      <c r="CP27" s="38" t="n">
        <f aca="false">Tasks[[#This Row],[_LeafWork]]+IF(Tasks[[#This Row],[_IsLeaf]]=1,SUMIFS(asg_Work,asg_TaskUID,Tasks[[#This Row],[UID]],asg_Valid,1),0)</f>
        <v>0</v>
      </c>
      <c r="CQ27" s="38" t="n">
        <f aca="false">Tasks[[#This Row],[_LeafCost]]+IF(Tasks[[#This Row],[_IsLeaf]]=1,SUMIFS(asg_Cost,asg_TaskUID,Tasks[[#This Row],[UID]],asg_Valid,1),0)</f>
        <v>0</v>
      </c>
      <c r="CR27" s="38" t="n">
        <f aca="false">IF(Tasks[[#This Row],[_LeafTotalCost]]=0,Tasks[[#This Row],[_LeafAC]],Tasks[[#This Row],[_LeafAC]]*Tasks[[#This Row],[_LeafCost]]/Tasks[[#This Row],[_LeafTotalCost]])</f>
        <v>0</v>
      </c>
      <c r="CS2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7" s="38" t="n">
        <f aca="false">IF(NOT(Tasks[[#This Row],[_IsLeaf]]=1),0,MAX(_xlfn.MAXIFS(Tasks[_Row],Tasks[Pred1 UID],Tasks[[#This Row],[UID]]),_xlfn.MAXIFS(Tasks[_Row],Tasks[Pred2 UID],Tasks[[#This Row],[UID]]),_xlfn.MAXIFS(Tasks[_Row],Tasks[Pred3 UID],Tasks[[#This Row],[UID]]),_xlfn.MAXIFS(Tasks[_Row],Tasks[Pred4 UID],Tasks[[#This Row],[UID]])))</f>
        <v>0</v>
      </c>
      <c r="DB2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7" s="115" t="str">
        <f aca="false">IF(NOT(Tasks[[#This Row],[_IsLeaf]]=1),"",IF(N(Tasks[[#This Row],[Duration]])&lt;=0,Tasks[[#This Row],[_LeafLateFinish]],WORKDAY.INTL(Tasks[[#This Row],[_LeafLateFinish]],-(Tasks[[#This Row],[Duration]]-1),WorkWeek,Holidays)))</f>
        <v/>
      </c>
      <c r="DE2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7" s="114" t="b">
        <f aca="false">AND(Tasks[[#This Row],[_IsLeaf]]=1,Tasks[[#This Row],[_LeafProgress]]&lt;1,N(Tasks[[#This Row],[_LeafTotalSlack]])&lt;=CriticalSlackDays)</f>
        <v>0</v>
      </c>
      <c r="DG27" s="38" t="n">
        <f aca="false">IF(AND(Tasks[[#This Row],[_IsLeaf]]=1,Tasks[[#This Row],[_ConstraintCode]]=1,Tasks[[#This Row],[Mode]]&lt;&gt;"Manual",N(Tasks[[#This Row],[Actual Start]])=0),MAX(0,N(Tasks[[#This Row],[Free Slack]])),0)</f>
        <v>0</v>
      </c>
      <c r="DH27" s="115" t="str">
        <f aca="false">IF(NOT(Tasks[[#This Row],[_IsLeaf]]=1),"",IF(Tasks[[#This Row],[_AlapShift]]=0,Tasks[[#This Row],[_LeafCalcStart]],WORKDAY.INTL(Tasks[[#This Row],[_LeafCalcStart]],Tasks[[#This Row],[_AlapShift]],WorkWeek,Holidays)))</f>
        <v/>
      </c>
      <c r="DI27" s="115" t="str">
        <f aca="false">IF(NOT(Tasks[[#This Row],[_IsLeaf]]=1),"",IF(Tasks[[#This Row],[_AlapShift]]=0,Tasks[[#This Row],[_LeafCalcFinish]],WORKDAY.INTL(Tasks[[#This Row],[_LeafCalcFinish]],Tasks[[#This Row],[_AlapShift]],WorkWeek,Holidays)))</f>
        <v/>
      </c>
      <c r="DJ27" s="115" t="str">
        <f aca="false">IF(NOT(Tasks[[#This Row],[_IsLeaf]]=1),"",IF(Tasks[[#This Row],[_AlapShift]]=0,Tasks[[#This Row],[_LeafFcstStart]],WORKDAY.INTL(Tasks[[#This Row],[_LeafFcstStart]],Tasks[[#This Row],[_AlapShift]],WorkWeek,Holidays)))</f>
        <v/>
      </c>
      <c r="DK27" s="115" t="str">
        <f aca="false">IF(NOT(Tasks[[#This Row],[_IsLeaf]]=1),"",IF(Tasks[[#This Row],[_AlapShift]]=0,Tasks[[#This Row],[_LeafFcstFinish]],WORKDAY.INTL(Tasks[[#This Row],[_LeafFcstFinish]],Tasks[[#This Row],[_AlapShift]],WorkWeek,Holidays)))</f>
        <v/>
      </c>
      <c r="DL27" s="115" t="str">
        <f aca="false">IF(Tasks[[#This Row],[Task Name]]="","",IF(Tasks[[#This Row],[_IsSummary]],MIN(INDEX(Tasks[_ShownCalcStart],Tasks[[#This Row],[_Row]]+1):INDEX(Tasks[_ShownCalcStart],Tasks[[#This Row],[_Row]]+Tasks[[#This Row],[_Descendants]])),Tasks[[#This Row],[_ShownCalcStart]]))</f>
        <v/>
      </c>
      <c r="DM27" s="115" t="str">
        <f aca="false">IF(Tasks[[#This Row],[Task Name]]="","",IF(Tasks[[#This Row],[_IsSummary]],MAX(INDEX(Tasks[_ShownCalcFinish],Tasks[[#This Row],[_Row]]+1):INDEX(Tasks[_ShownCalcFinish],Tasks[[#This Row],[_Row]]+Tasks[[#This Row],[_Descendants]])),Tasks[[#This Row],[_ShownCalcFinish]]))</f>
        <v/>
      </c>
      <c r="DN2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7" s="38" t="n">
        <f aca="false">IF(AND(Tasks[[#This Row],[_IsLeaf]]=1,Tasks[[#This Row],[_LeafTotalWork]]&gt;0),NETWORKDAYS.INTL(ProjectStart,Tasks[[#This Row],[_ShownFcstStart]],WorkWeek,Holidays),0)</f>
        <v>0</v>
      </c>
      <c r="EA27" s="38" t="n">
        <f aca="false">IF(AND(Tasks[[#This Row],[_IsLeaf]]=1,Tasks[[#This Row],[_LeafTotalWork]]&gt;0),MAX(Tasks[[#This Row],[_StartWorkday]],NETWORKDAYS.INTL(ProjectStart,Tasks[[#This Row],[_ShownFcstFinish]],WorkWeek,Holidays)),0)</f>
        <v>0</v>
      </c>
      <c r="EB27" s="38" t="n">
        <f aca="false">IF(AND(Tasks[[#This Row],[_IsLeaf]]=1,Tasks[[#This Row],[_LeafTotalWork]]&gt;0),Tasks[[#This Row],[_LeafWork]]/(Tasks[[#This Row],[_FinishWorkday]]-Tasks[[#This Row],[_StartWorkday]]+1),0)</f>
        <v>0</v>
      </c>
      <c r="EC27" s="38" t="n">
        <f aca="false">Tasks[[#This Row],[_WorkPerWorkday]]*(Tasks[[#This Row],[_StartWorkday]]-1)</f>
        <v>-0</v>
      </c>
      <c r="ED27" s="38" t="n">
        <f aca="false">IF(Tasks[[#This Row],[_IsLeaf]]=1,MAX(N(Tasks[[#This Row],[Duration]]),0.1),0)</f>
        <v>0</v>
      </c>
      <c r="EE27" s="38" t="n">
        <f aca="false">Tasks[[#This Row],[_WeightDur]]*Tasks[[#This Row],[_LeafProgress]]</f>
        <v>0</v>
      </c>
      <c r="EF2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7" s="38" t="str">
        <f aca="false">IF(AND(Tasks[[#This Row],[_IsLeaf]]=1,N(Tasks[[#This Row],[Duration]])=0,Tasks[[#This Row],[_LeafProgress]]&lt;1),Tasks[[#This Row],[_ShownFcstFinish]]+Tasks[[#This Row],[_Row]]/100000,"")</f>
        <v/>
      </c>
      <c r="EH2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7" s="38" t="n">
        <f aca="false">IF(NOT(Tasks[[#This Row],[_IsLeaf]]=1),0,IF(Tasks[[#This Row],[Baseline Cost]]="",Tasks[[#This Row],[_LeafTotalCost]],N(Tasks[[#This Row],[Baseline Cost]])))</f>
        <v>0</v>
      </c>
      <c r="EJ27" s="38" t="n">
        <f aca="false">Tasks[[#This Row],[_LeafBudget]]*Tasks[[#This Row],[_PlannedPct]]</f>
        <v>0</v>
      </c>
      <c r="EK27" s="38" t="n">
        <f aca="false">Tasks[[#This Row],[_LeafBudget]]*Tasks[[#This Row],[_LeafProgress]]</f>
        <v>0</v>
      </c>
      <c r="EL27" s="38" t="n">
        <f aca="false">IF(NOT(Tasks[[#This Row],[_IsLeaf]]=1),0,IF(Tasks[[#This Row],[Actual Cost]]="",Tasks[[#This Row],[_LeafTotalCost]]*Tasks[[#This Row],[_LeafProgress]],N(Tasks[[#This Row],[Actual Cost]])))</f>
        <v>0</v>
      </c>
      <c r="EM27" s="38" t="str">
        <f aca="false">IF(Tasks[[#This Row],[Task Name]]="","",LEFT(Tasks[[#This Row],[WBS]],FIND(".",Tasks[[#This Row],[WBS]]&amp;".")-1))</f>
        <v/>
      </c>
      <c r="EN27" s="38" t="str">
        <f aca="false">IF(AND(Tasks[[#This Row],[Task Name]]&lt;&gt;"",Tasks[[#This Row],[_Level]]=1),Tasks[[#This Row],[_Row]],"")</f>
        <v/>
      </c>
      <c r="EO27" s="38" t="str">
        <f aca="false">IF(AND(Tasks[[#This Row],[_IsLeaf]]=1,N(Tasks[[#This Row],[Duration]])=0),Tasks[[#This Row],[Planned Finish]]+Tasks[[#This Row],[_Row]]/100000,"")</f>
        <v/>
      </c>
      <c r="EP27" s="38" t="str">
        <f aca="false">IF(AND(Tasks[[#This Row],[_IsLeaf]]=1,Tasks[[#This Row],[_LeafProgress]]&lt;1,OR(N(Tasks[[#This Row],[Finish Var]])&gt;0,Tasks[[#This Row],[Status]]="Late Start")),MAX(0,Tasks[[#This Row],[Finish Var]])+1-Tasks[[#This Row],[_Row]]/1000000,"")</f>
        <v/>
      </c>
      <c r="EQ27" s="38" t="str">
        <f aca="false">IF(AND(Tasks[[#This Row],[_IsLeaf]]=1,N(Tasks[[#This Row],[Actual Start]])=0,Tasks[[#This Row],[_ShownFcstStart]]&gt;=StatusDate,Tasks[[#This Row],[_ShownFcstStart]]&lt;=LookaheadEnd),Tasks[[#This Row],[_ShownFcstStart]]+Tasks[[#This Row],[_Row]]/100000,"")</f>
        <v/>
      </c>
      <c r="ER27" s="38" t="str">
        <f aca="false">IF(AND(Tasks[[#This Row],[_IsLeaf]]=1,Tasks[[#This Row],[_LeafProgress]]&lt;1,Tasks[[#This Row],[_ShownFcstFinish]]&gt;=StatusDate,Tasks[[#This Row],[_ShownFcstFinish]]&lt;=LookaheadEnd),Tasks[[#This Row],[_ShownFcstFinish]]+Tasks[[#This Row],[_Row]]/100000,"")</f>
        <v/>
      </c>
      <c r="ES27" s="38" t="str">
        <f aca="false">IF(Tasks[[#This Row],[_LeafCritical]],Tasks[[#This Row],[_ShownFcstStart]]+Tasks[[#This Row],[_Row]]/100000,"")</f>
        <v/>
      </c>
      <c r="ET27" s="38" t="n">
        <f aca="false">Tasks[[#This Row],[_LeafWork]]*Tasks[[#This Row],[_LeafProgress]]</f>
        <v>0</v>
      </c>
      <c r="EU27" s="115" t="str">
        <f aca="false">IF(AND(Tasks[[#This Row],[_IsLeaf]]=1,Tasks[[#This Row],[_LeafProgress]]&gt;=1),IF(N(Tasks[[#This Row],[Actual Finish]])&gt;0,Tasks[[#This Row],[Actual Finish]],Tasks[[#This Row],[_ShownFcstFinish]]),"")</f>
        <v/>
      </c>
      <c r="EV27" s="38" t="n">
        <f aca="false">IF(Tasks[[#This Row],[_IsLeaf]]=1,N(Tasks[[#This Row],[Story Points]]),0)</f>
        <v>0</v>
      </c>
      <c r="EW27" s="38" t="str">
        <f aca="false">IF(AND(Tasks[[#This Row],[_IsLeaf]]=1,CurrentSprint&lt;&gt;"",Tasks[[#This Row],[Sprint]]=CurrentSprint),Tasks[[#This Row],[_Row]],"")</f>
        <v/>
      </c>
    </row>
    <row r="28" customFormat="false" ht="15" hidden="false" customHeight="false" outlineLevel="0" collapsed="false">
      <c r="A28" s="51" t="str">
        <f aca="false">IF(Tasks[[#This Row],[Task Name]]="","",COUNTA(Tasks[[#Headers],[Task Name]]:Tasks[[#This Row],[Task Name]])-1)</f>
        <v/>
      </c>
      <c r="B28" s="52" t="n">
        <v>23</v>
      </c>
      <c r="C2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8" s="52"/>
      <c r="E28" s="53"/>
      <c r="F28" s="52"/>
      <c r="G28" s="52"/>
      <c r="H28" s="52"/>
      <c r="I28" s="52"/>
      <c r="J28" s="52"/>
      <c r="K28" s="52"/>
      <c r="L28" s="52"/>
      <c r="M28" s="52"/>
      <c r="N28" s="52"/>
      <c r="O28" s="52"/>
      <c r="P28" s="52"/>
      <c r="Q28" s="52"/>
      <c r="R28" s="52"/>
      <c r="S28" s="53"/>
      <c r="T28" s="102"/>
      <c r="U28" s="102"/>
      <c r="V28" s="7"/>
      <c r="W28" s="7"/>
      <c r="X28" s="53"/>
      <c r="Y28" s="31" t="str">
        <f aca="false">IF(Tasks[[#This Row],[Task Name]]="","",IF(Tasks[[#This Row],[_IsSummary]],MIN(INDEX(Tasks[_ShownFcstStart],Tasks[[#This Row],[_Row]]+1):INDEX(Tasks[_ShownFcstStart],Tasks[[#This Row],[_Row]]+Tasks[[#This Row],[_Descendants]])),Tasks[[#This Row],[_ShownFcstStart]]))</f>
        <v/>
      </c>
      <c r="Z28" s="31" t="str">
        <f aca="false">IF(Tasks[[#This Row],[Task Name]]="","",IF(Tasks[[#This Row],[_IsSummary]],MAX(INDEX(Tasks[_ShownFcstFinish],Tasks[[#This Row],[_Row]]+1):INDEX(Tasks[_ShownFcstFinish],Tasks[[#This Row],[_Row]]+Tasks[[#This Row],[_Descendants]])),Tasks[[#This Row],[_ShownFcstFinish]]))</f>
        <v/>
      </c>
      <c r="AA28" s="51" t="str">
        <f aca="false">IF(Tasks[[#This Row],[Task Name]]="","",IF(Tasks[[#This Row],[Progress]]&gt;=1,"Complete",IF(OR(N(Tasks[[#This Row],[Actual Start]])&gt;0,Tasks[[#This Row],[Progress]]&gt;0),IF(Tasks[[#This Row],[Finish Var]]&gt;0,"Behind","In Progress"),IF(Tasks[[#This Row],[Planned Start]]&lt;StatusDate,"Late Start","Not Started"))))</f>
        <v/>
      </c>
      <c r="AB28" s="51" t="str">
        <f aca="false">IF(Tasks[[#This Row],[Task Name]]="","",IF(IF(Tasks[[#This Row],[_IsSummary]],COUNTIF(INDEX(Tasks[_LeafCritical],Tasks[[#This Row],[_Row]]+1):INDEX(Tasks[_LeafCritical],Tasks[[#This Row],[_Row]]+Tasks[[#This Row],[_Descendants]]),TRUE())&gt;0,Tasks[[#This Row],[_LeafCritical]]),"Yes",""))</f>
        <v/>
      </c>
      <c r="AC2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8" s="51" t="str">
        <f aca="false">IF(Tasks[[#This Row],[Task Name]]="","",IF(Tasks[[#This Row],[_Level]]&lt;=OutlineShowLevel,"Yes","No"))</f>
        <v/>
      </c>
      <c r="AE28" s="7"/>
      <c r="AF28" s="52"/>
      <c r="AG28" s="53"/>
      <c r="AH28" s="7"/>
      <c r="AI2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8" s="31" t="str">
        <f aca="false">IF(Tasks[[#This Row],[Task Name]]="","",IF(N(Tasks[[#This Row],[Baseline Start]])&gt;0,Tasks[[#This Row],[Baseline Start]],Tasks[[#This Row],[_CalcStart]]))</f>
        <v/>
      </c>
      <c r="AK28" s="31" t="str">
        <f aca="false">IF(Tasks[[#This Row],[Task Name]]="","",IF(N(Tasks[[#This Row],[Baseline Finish]])&gt;0,Tasks[[#This Row],[Baseline Finish]],Tasks[[#This Row],[_CalcFinish]]))</f>
        <v/>
      </c>
      <c r="AL2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8" s="31" t="str">
        <f aca="false">IF(Tasks[[#This Row],[Task Name]]="","",IF(Tasks[[#This Row],[_IsSummary]],MIN(INDEX(Tasks[_LeafLateStart],Tasks[[#This Row],[_Row]]+1):INDEX(Tasks[_LeafLateStart],Tasks[[#This Row],[_Row]]+Tasks[[#This Row],[_Descendants]])),Tasks[[#This Row],[_LeafLateStart]]))</f>
        <v/>
      </c>
      <c r="AN28" s="31" t="str">
        <f aca="false">IF(Tasks[[#This Row],[Task Name]]="","",IF(Tasks[[#This Row],[_IsSummary]],MAX(INDEX(Tasks[_LeafLateFinish],Tasks[[#This Row],[_Row]]+1):INDEX(Tasks[_LeafLateFinish],Tasks[[#This Row],[_Row]]+Tasks[[#This Row],[_Descendants]])),Tasks[[#This Row],[_LeafLateFinish]]))</f>
        <v/>
      </c>
      <c r="AO28" s="51" t="str">
        <f aca="false">IF(Tasks[[#This Row],[Task Name]]="","",IF(Tasks[[#This Row],[_IsSummary]],MIN(INDEX(Tasks[_LeafTotalSlack],Tasks[[#This Row],[_Row]]+1):INDEX(Tasks[_LeafTotalSlack],Tasks[[#This Row],[_Row]]+Tasks[[#This Row],[_Descendants]])),Tasks[[#This Row],[_LeafTotalSlack]]))</f>
        <v/>
      </c>
      <c r="AP2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8" s="110" t="str">
        <f aca="false">IF(Tasks[[#This Row],[Task Name]]="","",IF(Tasks[[#This Row],[_IsSummary]],SUM(INDEX(Tasks[_LeafTotalWork],Tasks[[#This Row],[_Row]]+1):INDEX(Tasks[_LeafTotalWork],Tasks[[#This Row],[_Row]]+Tasks[[#This Row],[_Descendants]])),Tasks[[#This Row],[_LeafTotalWork]]))</f>
        <v/>
      </c>
      <c r="AV2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8" s="111" t="str">
        <f aca="false">IF(Tasks[[#This Row],[Task Name]]="","",IF(Tasks[[#This Row],[_IsSummary]],SUM(INDEX(Tasks[_LeafTotalCost],Tasks[[#This Row],[_Row]]+1):INDEX(Tasks[_LeafTotalCost],Tasks[[#This Row],[_Row]]+Tasks[[#This Row],[_Descendants]])),Tasks[[#This Row],[_LeafTotalCost]]))</f>
        <v/>
      </c>
      <c r="AY28" s="112"/>
      <c r="AZ2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8" s="52"/>
      <c r="BB28" s="98"/>
      <c r="BC28" s="51" t="str">
        <f aca="false">IF(OR(Tasks[[#This Row],[Task Name]]="",Tasks[[#This Row],[Baseline Duration]]=""),"",Tasks[[#This Row],[BL Source Duration]]-N(Tasks[[#This Row],[Baseline Duration]]))</f>
        <v/>
      </c>
      <c r="BD28" s="110" t="str">
        <f aca="false">IF(OR(Tasks[[#This Row],[Task Name]]="",Tasks[[#This Row],[Baseline Work]]=""),"",Tasks[[#This Row],[Work]]-N(Tasks[[#This Row],[Baseline Work]]))</f>
        <v/>
      </c>
      <c r="BE28" s="111" t="str">
        <f aca="false">IF(OR(Tasks[[#This Row],[Task Name]]="",Tasks[[#This Row],[Baseline Cost]]=""),"",Tasks[[#This Row],[Cost]]-N(Tasks[[#This Row],[Baseline Cost]]))</f>
        <v/>
      </c>
      <c r="BF28" s="31" t="str">
        <f aca="false">IF(Tasks[[#This Row],[Task Name]]="","",Tasks[[#This Row],[Forecast Start]])</f>
        <v/>
      </c>
      <c r="BG28" s="31" t="str">
        <f aca="false">IF(Tasks[[#This Row],[Task Name]]="","",Tasks[[#This Row],[Forecast Finish]])</f>
        <v/>
      </c>
      <c r="BH28" s="51" t="str">
        <f aca="false">IF(Tasks[[#This Row],[Task Name]]="","",IF(Tasks[[#This Row],[_IsSummary]],NETWORKDAYS.INTL(Tasks[[#This Row],[Forecast Start]],Tasks[[#This Row],[Forecast Finish]],WorkWeek,Holidays),N(Tasks[[#This Row],[Duration]])))</f>
        <v/>
      </c>
      <c r="BI28" s="110" t="str">
        <f aca="false">IF(Tasks[[#This Row],[Task Name]]="","",Tasks[[#This Row],[Work]])</f>
        <v/>
      </c>
      <c r="BJ28" s="111" t="str">
        <f aca="false">IF(Tasks[[#This Row],[Task Name]]="","",Tasks[[#This Row],[Cost]])</f>
        <v/>
      </c>
      <c r="BK28" s="7"/>
      <c r="BL28" s="7"/>
      <c r="BM28" s="52"/>
      <c r="BN28" s="113"/>
      <c r="BO28" s="112"/>
      <c r="BP28" s="111" t="str">
        <f aca="false">IF(Tasks[[#This Row],[Task Name]]="","",IF(Tasks[[#This Row],[_IsSummary]],SUM(INDEX(Tasks[_LeafEV],Tasks[[#This Row],[_Row]]+1):INDEX(Tasks[_LeafEV],Tasks[[#This Row],[_Row]]+Tasks[[#This Row],[_Descendants]])),Tasks[[#This Row],[_LeafEV]]))</f>
        <v/>
      </c>
      <c r="BQ28" s="111" t="str">
        <f aca="false">IF(Tasks[[#This Row],[Task Name]]="","",IF(Tasks[[#This Row],[_IsSummary]],SUM(INDEX(Tasks[_LeafBudget],Tasks[[#This Row],[_Row]]+1):INDEX(Tasks[_LeafBudget],Tasks[[#This Row],[_Row]]+Tasks[[#This Row],[_Descendants]])),Tasks[[#This Row],[_LeafBudget]]))</f>
        <v/>
      </c>
      <c r="BR28" s="111" t="str">
        <f aca="false">IF(Tasks[[#This Row],[Task Name]]="","",IF(Tasks[[#This Row],[_IsSummary]],SUM(INDEX(Tasks[_LeafPV],Tasks[[#This Row],[_Row]]+1):INDEX(Tasks[_LeafPV],Tasks[[#This Row],[_Row]]+Tasks[[#This Row],[_Descendants]])),Tasks[[#This Row],[_LeafPV]]))</f>
        <v/>
      </c>
      <c r="BS28" s="111" t="str">
        <f aca="false">IF(Tasks[[#This Row],[Task Name]]="","",IF(Tasks[[#This Row],[_IsSummary]],SUM(INDEX(Tasks[_LeafAC],Tasks[[#This Row],[_Row]]+1):INDEX(Tasks[_LeafAC],Tasks[[#This Row],[_Row]]+Tasks[[#This Row],[_Descendants]])),Tasks[[#This Row],[_LeafAC]]))</f>
        <v/>
      </c>
      <c r="BT28" s="38" t="str">
        <f aca="false">IF(Tasks[[#This Row],[Task Name]]="","",MAX(1,N(Tasks[[#This Row],[Level]])))</f>
        <v/>
      </c>
      <c r="BU28" s="38" t="n">
        <f aca="false">ROW()-ROW(Tasks[[#Headers],[ID]])</f>
        <v>23</v>
      </c>
      <c r="BV28" s="38" t="n">
        <f aca="false">IF(OR(Tasks[[#This Row],[Task Name]]="",Tasks[[#This Row],[_Level]]&lt;=1),0,IFERROR(LOOKUP(2,1/(Tasks[[#Headers],[_Level]]:Tasks[[#This Row],[_Level]]=Tasks[[#This Row],[_Level]]-1),ROW(Tasks[[#Headers],[_Level]]:Tasks[[#This Row],[_Level]])),0))</f>
        <v>0</v>
      </c>
      <c r="BW28" s="38" t="n">
        <f aca="false">IFERROR(N(INDEX(Tasks[_Level],Tasks[[#This Row],[_Row]]+1)),0)</f>
        <v>0</v>
      </c>
      <c r="BX28" s="114" t="b">
        <f aca="false">AND(Tasks[[#This Row],[Task Name]]&lt;&gt;"",Tasks[[#This Row],[_NextLevel]]&gt;Tasks[[#This Row],[_Level]])</f>
        <v>0</v>
      </c>
      <c r="BY28" s="38" t="n">
        <f aca="false">IF(Tasks[[#This Row],[_IsSummary]],COUNTIF(Tasks[WBS],Tasks[[#This Row],[WBS]]&amp;".*"),0)</f>
        <v>0</v>
      </c>
      <c r="BZ28" s="38" t="n">
        <f aca="false">IF(AND(Tasks[[#This Row],[Task Name]]&lt;&gt;"",NOT(Tasks[[#This Row],[_IsSummary]])),1,0)</f>
        <v>0</v>
      </c>
      <c r="CA28" s="38" t="n">
        <f aca="false">IF(N(Tasks[[#This Row],[Pred1 UID]])=0,0,IFERROR(MATCH(Tasks[[#This Row],[Pred1 UID]],Tasks[UID],0),-1))</f>
        <v>0</v>
      </c>
      <c r="CB28" s="38" t="n">
        <f aca="false">IF(N(Tasks[[#This Row],[Pred2 UID]])=0,0,IFERROR(MATCH(Tasks[[#This Row],[Pred2 UID]],Tasks[UID],0),-1))</f>
        <v>0</v>
      </c>
      <c r="CC28" s="38" t="n">
        <f aca="false">IF(N(Tasks[[#This Row],[Pred3 UID]])=0,0,IFERROR(MATCH(Tasks[[#This Row],[Pred3 UID]],Tasks[UID],0),-1))</f>
        <v>0</v>
      </c>
      <c r="CD28" s="38" t="n">
        <f aca="false">IF(N(Tasks[[#This Row],[Pred4 UID]])=0,0,IFERROR(MATCH(Tasks[[#This Row],[Pred4 UID]],Tasks[UID],0),-1))</f>
        <v>0</v>
      </c>
      <c r="CE2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8" s="115" t="n">
        <f aca="false">IF(OR(Tasks[[#This Row],[_ConstraintCode]]=2,Tasks[[#This Row],[_ConstraintCode]]=3,Tasks[[#This Row],[_ConstraintCode]]=4,Tasks[[#This Row],[_ConstraintCode]]=6),Tasks[[#This Row],[_ConstraintStart]],0)</f>
        <v>0</v>
      </c>
      <c r="CH28" s="115" t="n">
        <f aca="false">IF(OR(Tasks[[#This Row],[_ConstraintCode]]=2,Tasks[[#This Row],[_ConstraintCode]]=3,Tasks[[#This Row],[_ConstraintCode]]=5,Tasks[[#This Row],[_ConstraintCode]]=7),Tasks[[#This Row],[_ConstraintStart]],2958465)</f>
        <v>2958465</v>
      </c>
      <c r="CI2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8" s="115" t="str">
        <f aca="false">IF(NOT(Tasks[[#This Row],[_IsLeaf]]=1),"",IF(N(Tasks[[#This Row],[Duration]])&lt;=0,Tasks[[#This Row],[_LeafCalcStart]],WORKDAY.INTL(Tasks[[#This Row],[_LeafCalcStart]],Tasks[[#This Row],[Duration]]-1,WorkWeek,Holidays)))</f>
        <v/>
      </c>
      <c r="CK2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8" s="38" t="n">
        <f aca="false">IF(NOT(Tasks[[#This Row],[_IsLeaf]]=1),0,IF(N(Tasks[[#This Row],[Actual Finish]])&gt;0,1,MIN(1,N(Tasks[[#This Row],[% Complete]]))))</f>
        <v>0</v>
      </c>
      <c r="CN28" s="38" t="n">
        <f aca="false">IF(OR(NOT(Tasks[[#This Row],[_IsLeaf]]=1),Tasks[[#This Row],[Resource]]=""),0,N(Tasks[[#This Row],[Duration]])*HoursPerDay*IF(Tasks[[#This Row],[Units]]="",DefaultUnits,Tasks[[#This Row],[Units]]))</f>
        <v>0</v>
      </c>
      <c r="CO28" s="38" t="n">
        <f aca="false">IF(Tasks[[#This Row],[_LeafWork]]=0,0,Tasks[[#This Row],[_LeafWork]]*IFERROR(INDEX(res_Rate,MATCH(Tasks[[#This Row],[Resource]],res_Name,0)),0))</f>
        <v>0</v>
      </c>
      <c r="CP28" s="38" t="n">
        <f aca="false">Tasks[[#This Row],[_LeafWork]]+IF(Tasks[[#This Row],[_IsLeaf]]=1,SUMIFS(asg_Work,asg_TaskUID,Tasks[[#This Row],[UID]],asg_Valid,1),0)</f>
        <v>0</v>
      </c>
      <c r="CQ28" s="38" t="n">
        <f aca="false">Tasks[[#This Row],[_LeafCost]]+IF(Tasks[[#This Row],[_IsLeaf]]=1,SUMIFS(asg_Cost,asg_TaskUID,Tasks[[#This Row],[UID]],asg_Valid,1),0)</f>
        <v>0</v>
      </c>
      <c r="CR28" s="38" t="n">
        <f aca="false">IF(Tasks[[#This Row],[_LeafTotalCost]]=0,Tasks[[#This Row],[_LeafAC]],Tasks[[#This Row],[_LeafAC]]*Tasks[[#This Row],[_LeafCost]]/Tasks[[#This Row],[_LeafTotalCost]])</f>
        <v>0</v>
      </c>
      <c r="CS2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8" s="38" t="n">
        <f aca="false">IF(NOT(Tasks[[#This Row],[_IsLeaf]]=1),0,MAX(_xlfn.MAXIFS(Tasks[_Row],Tasks[Pred1 UID],Tasks[[#This Row],[UID]]),_xlfn.MAXIFS(Tasks[_Row],Tasks[Pred2 UID],Tasks[[#This Row],[UID]]),_xlfn.MAXIFS(Tasks[_Row],Tasks[Pred3 UID],Tasks[[#This Row],[UID]]),_xlfn.MAXIFS(Tasks[_Row],Tasks[Pred4 UID],Tasks[[#This Row],[UID]])))</f>
        <v>0</v>
      </c>
      <c r="DB2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8" s="115" t="str">
        <f aca="false">IF(NOT(Tasks[[#This Row],[_IsLeaf]]=1),"",IF(N(Tasks[[#This Row],[Duration]])&lt;=0,Tasks[[#This Row],[_LeafLateFinish]],WORKDAY.INTL(Tasks[[#This Row],[_LeafLateFinish]],-(Tasks[[#This Row],[Duration]]-1),WorkWeek,Holidays)))</f>
        <v/>
      </c>
      <c r="DE2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8" s="114" t="b">
        <f aca="false">AND(Tasks[[#This Row],[_IsLeaf]]=1,Tasks[[#This Row],[_LeafProgress]]&lt;1,N(Tasks[[#This Row],[_LeafTotalSlack]])&lt;=CriticalSlackDays)</f>
        <v>0</v>
      </c>
      <c r="DG28" s="38" t="n">
        <f aca="false">IF(AND(Tasks[[#This Row],[_IsLeaf]]=1,Tasks[[#This Row],[_ConstraintCode]]=1,Tasks[[#This Row],[Mode]]&lt;&gt;"Manual",N(Tasks[[#This Row],[Actual Start]])=0),MAX(0,N(Tasks[[#This Row],[Free Slack]])),0)</f>
        <v>0</v>
      </c>
      <c r="DH28" s="115" t="str">
        <f aca="false">IF(NOT(Tasks[[#This Row],[_IsLeaf]]=1),"",IF(Tasks[[#This Row],[_AlapShift]]=0,Tasks[[#This Row],[_LeafCalcStart]],WORKDAY.INTL(Tasks[[#This Row],[_LeafCalcStart]],Tasks[[#This Row],[_AlapShift]],WorkWeek,Holidays)))</f>
        <v/>
      </c>
      <c r="DI28" s="115" t="str">
        <f aca="false">IF(NOT(Tasks[[#This Row],[_IsLeaf]]=1),"",IF(Tasks[[#This Row],[_AlapShift]]=0,Tasks[[#This Row],[_LeafCalcFinish]],WORKDAY.INTL(Tasks[[#This Row],[_LeafCalcFinish]],Tasks[[#This Row],[_AlapShift]],WorkWeek,Holidays)))</f>
        <v/>
      </c>
      <c r="DJ28" s="115" t="str">
        <f aca="false">IF(NOT(Tasks[[#This Row],[_IsLeaf]]=1),"",IF(Tasks[[#This Row],[_AlapShift]]=0,Tasks[[#This Row],[_LeafFcstStart]],WORKDAY.INTL(Tasks[[#This Row],[_LeafFcstStart]],Tasks[[#This Row],[_AlapShift]],WorkWeek,Holidays)))</f>
        <v/>
      </c>
      <c r="DK28" s="115" t="str">
        <f aca="false">IF(NOT(Tasks[[#This Row],[_IsLeaf]]=1),"",IF(Tasks[[#This Row],[_AlapShift]]=0,Tasks[[#This Row],[_LeafFcstFinish]],WORKDAY.INTL(Tasks[[#This Row],[_LeafFcstFinish]],Tasks[[#This Row],[_AlapShift]],WorkWeek,Holidays)))</f>
        <v/>
      </c>
      <c r="DL28" s="115" t="str">
        <f aca="false">IF(Tasks[[#This Row],[Task Name]]="","",IF(Tasks[[#This Row],[_IsSummary]],MIN(INDEX(Tasks[_ShownCalcStart],Tasks[[#This Row],[_Row]]+1):INDEX(Tasks[_ShownCalcStart],Tasks[[#This Row],[_Row]]+Tasks[[#This Row],[_Descendants]])),Tasks[[#This Row],[_ShownCalcStart]]))</f>
        <v/>
      </c>
      <c r="DM28" s="115" t="str">
        <f aca="false">IF(Tasks[[#This Row],[Task Name]]="","",IF(Tasks[[#This Row],[_IsSummary]],MAX(INDEX(Tasks[_ShownCalcFinish],Tasks[[#This Row],[_Row]]+1):INDEX(Tasks[_ShownCalcFinish],Tasks[[#This Row],[_Row]]+Tasks[[#This Row],[_Descendants]])),Tasks[[#This Row],[_ShownCalcFinish]]))</f>
        <v/>
      </c>
      <c r="DN2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8" s="38" t="n">
        <f aca="false">IF(AND(Tasks[[#This Row],[_IsLeaf]]=1,Tasks[[#This Row],[_LeafTotalWork]]&gt;0),NETWORKDAYS.INTL(ProjectStart,Tasks[[#This Row],[_ShownFcstStart]],WorkWeek,Holidays),0)</f>
        <v>0</v>
      </c>
      <c r="EA28" s="38" t="n">
        <f aca="false">IF(AND(Tasks[[#This Row],[_IsLeaf]]=1,Tasks[[#This Row],[_LeafTotalWork]]&gt;0),MAX(Tasks[[#This Row],[_StartWorkday]],NETWORKDAYS.INTL(ProjectStart,Tasks[[#This Row],[_ShownFcstFinish]],WorkWeek,Holidays)),0)</f>
        <v>0</v>
      </c>
      <c r="EB28" s="38" t="n">
        <f aca="false">IF(AND(Tasks[[#This Row],[_IsLeaf]]=1,Tasks[[#This Row],[_LeafTotalWork]]&gt;0),Tasks[[#This Row],[_LeafWork]]/(Tasks[[#This Row],[_FinishWorkday]]-Tasks[[#This Row],[_StartWorkday]]+1),0)</f>
        <v>0</v>
      </c>
      <c r="EC28" s="38" t="n">
        <f aca="false">Tasks[[#This Row],[_WorkPerWorkday]]*(Tasks[[#This Row],[_StartWorkday]]-1)</f>
        <v>-0</v>
      </c>
      <c r="ED28" s="38" t="n">
        <f aca="false">IF(Tasks[[#This Row],[_IsLeaf]]=1,MAX(N(Tasks[[#This Row],[Duration]]),0.1),0)</f>
        <v>0</v>
      </c>
      <c r="EE28" s="38" t="n">
        <f aca="false">Tasks[[#This Row],[_WeightDur]]*Tasks[[#This Row],[_LeafProgress]]</f>
        <v>0</v>
      </c>
      <c r="EF2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8" s="38" t="str">
        <f aca="false">IF(AND(Tasks[[#This Row],[_IsLeaf]]=1,N(Tasks[[#This Row],[Duration]])=0,Tasks[[#This Row],[_LeafProgress]]&lt;1),Tasks[[#This Row],[_ShownFcstFinish]]+Tasks[[#This Row],[_Row]]/100000,"")</f>
        <v/>
      </c>
      <c r="EH2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8" s="38" t="n">
        <f aca="false">IF(NOT(Tasks[[#This Row],[_IsLeaf]]=1),0,IF(Tasks[[#This Row],[Baseline Cost]]="",Tasks[[#This Row],[_LeafTotalCost]],N(Tasks[[#This Row],[Baseline Cost]])))</f>
        <v>0</v>
      </c>
      <c r="EJ28" s="38" t="n">
        <f aca="false">Tasks[[#This Row],[_LeafBudget]]*Tasks[[#This Row],[_PlannedPct]]</f>
        <v>0</v>
      </c>
      <c r="EK28" s="38" t="n">
        <f aca="false">Tasks[[#This Row],[_LeafBudget]]*Tasks[[#This Row],[_LeafProgress]]</f>
        <v>0</v>
      </c>
      <c r="EL28" s="38" t="n">
        <f aca="false">IF(NOT(Tasks[[#This Row],[_IsLeaf]]=1),0,IF(Tasks[[#This Row],[Actual Cost]]="",Tasks[[#This Row],[_LeafTotalCost]]*Tasks[[#This Row],[_LeafProgress]],N(Tasks[[#This Row],[Actual Cost]])))</f>
        <v>0</v>
      </c>
      <c r="EM28" s="38" t="str">
        <f aca="false">IF(Tasks[[#This Row],[Task Name]]="","",LEFT(Tasks[[#This Row],[WBS]],FIND(".",Tasks[[#This Row],[WBS]]&amp;".")-1))</f>
        <v/>
      </c>
      <c r="EN28" s="38" t="str">
        <f aca="false">IF(AND(Tasks[[#This Row],[Task Name]]&lt;&gt;"",Tasks[[#This Row],[_Level]]=1),Tasks[[#This Row],[_Row]],"")</f>
        <v/>
      </c>
      <c r="EO28" s="38" t="str">
        <f aca="false">IF(AND(Tasks[[#This Row],[_IsLeaf]]=1,N(Tasks[[#This Row],[Duration]])=0),Tasks[[#This Row],[Planned Finish]]+Tasks[[#This Row],[_Row]]/100000,"")</f>
        <v/>
      </c>
      <c r="EP28" s="38" t="str">
        <f aca="false">IF(AND(Tasks[[#This Row],[_IsLeaf]]=1,Tasks[[#This Row],[_LeafProgress]]&lt;1,OR(N(Tasks[[#This Row],[Finish Var]])&gt;0,Tasks[[#This Row],[Status]]="Late Start")),MAX(0,Tasks[[#This Row],[Finish Var]])+1-Tasks[[#This Row],[_Row]]/1000000,"")</f>
        <v/>
      </c>
      <c r="EQ28" s="38" t="str">
        <f aca="false">IF(AND(Tasks[[#This Row],[_IsLeaf]]=1,N(Tasks[[#This Row],[Actual Start]])=0,Tasks[[#This Row],[_ShownFcstStart]]&gt;=StatusDate,Tasks[[#This Row],[_ShownFcstStart]]&lt;=LookaheadEnd),Tasks[[#This Row],[_ShownFcstStart]]+Tasks[[#This Row],[_Row]]/100000,"")</f>
        <v/>
      </c>
      <c r="ER28" s="38" t="str">
        <f aca="false">IF(AND(Tasks[[#This Row],[_IsLeaf]]=1,Tasks[[#This Row],[_LeafProgress]]&lt;1,Tasks[[#This Row],[_ShownFcstFinish]]&gt;=StatusDate,Tasks[[#This Row],[_ShownFcstFinish]]&lt;=LookaheadEnd),Tasks[[#This Row],[_ShownFcstFinish]]+Tasks[[#This Row],[_Row]]/100000,"")</f>
        <v/>
      </c>
      <c r="ES28" s="38" t="str">
        <f aca="false">IF(Tasks[[#This Row],[_LeafCritical]],Tasks[[#This Row],[_ShownFcstStart]]+Tasks[[#This Row],[_Row]]/100000,"")</f>
        <v/>
      </c>
      <c r="ET28" s="38" t="n">
        <f aca="false">Tasks[[#This Row],[_LeafWork]]*Tasks[[#This Row],[_LeafProgress]]</f>
        <v>0</v>
      </c>
      <c r="EU28" s="115" t="str">
        <f aca="false">IF(AND(Tasks[[#This Row],[_IsLeaf]]=1,Tasks[[#This Row],[_LeafProgress]]&gt;=1),IF(N(Tasks[[#This Row],[Actual Finish]])&gt;0,Tasks[[#This Row],[Actual Finish]],Tasks[[#This Row],[_ShownFcstFinish]]),"")</f>
        <v/>
      </c>
      <c r="EV28" s="38" t="n">
        <f aca="false">IF(Tasks[[#This Row],[_IsLeaf]]=1,N(Tasks[[#This Row],[Story Points]]),0)</f>
        <v>0</v>
      </c>
      <c r="EW28" s="38" t="str">
        <f aca="false">IF(AND(Tasks[[#This Row],[_IsLeaf]]=1,CurrentSprint&lt;&gt;"",Tasks[[#This Row],[Sprint]]=CurrentSprint),Tasks[[#This Row],[_Row]],"")</f>
        <v/>
      </c>
    </row>
    <row r="29" customFormat="false" ht="15" hidden="false" customHeight="false" outlineLevel="0" collapsed="false">
      <c r="A29" s="51" t="str">
        <f aca="false">IF(Tasks[[#This Row],[Task Name]]="","",COUNTA(Tasks[[#Headers],[Task Name]]:Tasks[[#This Row],[Task Name]])-1)</f>
        <v/>
      </c>
      <c r="B29" s="52" t="n">
        <v>24</v>
      </c>
      <c r="C2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9" s="52"/>
      <c r="E29" s="53"/>
      <c r="F29" s="52"/>
      <c r="G29" s="52"/>
      <c r="H29" s="52"/>
      <c r="I29" s="52"/>
      <c r="J29" s="52"/>
      <c r="K29" s="52"/>
      <c r="L29" s="52"/>
      <c r="M29" s="52"/>
      <c r="N29" s="52"/>
      <c r="O29" s="52"/>
      <c r="P29" s="52"/>
      <c r="Q29" s="52"/>
      <c r="R29" s="52"/>
      <c r="S29" s="53"/>
      <c r="T29" s="102"/>
      <c r="U29" s="102"/>
      <c r="V29" s="7"/>
      <c r="W29" s="7"/>
      <c r="X29" s="53"/>
      <c r="Y29" s="31" t="str">
        <f aca="false">IF(Tasks[[#This Row],[Task Name]]="","",IF(Tasks[[#This Row],[_IsSummary]],MIN(INDEX(Tasks[_ShownFcstStart],Tasks[[#This Row],[_Row]]+1):INDEX(Tasks[_ShownFcstStart],Tasks[[#This Row],[_Row]]+Tasks[[#This Row],[_Descendants]])),Tasks[[#This Row],[_ShownFcstStart]]))</f>
        <v/>
      </c>
      <c r="Z29" s="31" t="str">
        <f aca="false">IF(Tasks[[#This Row],[Task Name]]="","",IF(Tasks[[#This Row],[_IsSummary]],MAX(INDEX(Tasks[_ShownFcstFinish],Tasks[[#This Row],[_Row]]+1):INDEX(Tasks[_ShownFcstFinish],Tasks[[#This Row],[_Row]]+Tasks[[#This Row],[_Descendants]])),Tasks[[#This Row],[_ShownFcstFinish]]))</f>
        <v/>
      </c>
      <c r="AA29" s="51" t="str">
        <f aca="false">IF(Tasks[[#This Row],[Task Name]]="","",IF(Tasks[[#This Row],[Progress]]&gt;=1,"Complete",IF(OR(N(Tasks[[#This Row],[Actual Start]])&gt;0,Tasks[[#This Row],[Progress]]&gt;0),IF(Tasks[[#This Row],[Finish Var]]&gt;0,"Behind","In Progress"),IF(Tasks[[#This Row],[Planned Start]]&lt;StatusDate,"Late Start","Not Started"))))</f>
        <v/>
      </c>
      <c r="AB29" s="51" t="str">
        <f aca="false">IF(Tasks[[#This Row],[Task Name]]="","",IF(IF(Tasks[[#This Row],[_IsSummary]],COUNTIF(INDEX(Tasks[_LeafCritical],Tasks[[#This Row],[_Row]]+1):INDEX(Tasks[_LeafCritical],Tasks[[#This Row],[_Row]]+Tasks[[#This Row],[_Descendants]]),TRUE())&gt;0,Tasks[[#This Row],[_LeafCritical]]),"Yes",""))</f>
        <v/>
      </c>
      <c r="AC2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9" s="51" t="str">
        <f aca="false">IF(Tasks[[#This Row],[Task Name]]="","",IF(Tasks[[#This Row],[_Level]]&lt;=OutlineShowLevel,"Yes","No"))</f>
        <v/>
      </c>
      <c r="AE29" s="7"/>
      <c r="AF29" s="52"/>
      <c r="AG29" s="53"/>
      <c r="AH29" s="7"/>
      <c r="AI2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9" s="31" t="str">
        <f aca="false">IF(Tasks[[#This Row],[Task Name]]="","",IF(N(Tasks[[#This Row],[Baseline Start]])&gt;0,Tasks[[#This Row],[Baseline Start]],Tasks[[#This Row],[_CalcStart]]))</f>
        <v/>
      </c>
      <c r="AK29" s="31" t="str">
        <f aca="false">IF(Tasks[[#This Row],[Task Name]]="","",IF(N(Tasks[[#This Row],[Baseline Finish]])&gt;0,Tasks[[#This Row],[Baseline Finish]],Tasks[[#This Row],[_CalcFinish]]))</f>
        <v/>
      </c>
      <c r="AL2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9" s="31" t="str">
        <f aca="false">IF(Tasks[[#This Row],[Task Name]]="","",IF(Tasks[[#This Row],[_IsSummary]],MIN(INDEX(Tasks[_LeafLateStart],Tasks[[#This Row],[_Row]]+1):INDEX(Tasks[_LeafLateStart],Tasks[[#This Row],[_Row]]+Tasks[[#This Row],[_Descendants]])),Tasks[[#This Row],[_LeafLateStart]]))</f>
        <v/>
      </c>
      <c r="AN29" s="31" t="str">
        <f aca="false">IF(Tasks[[#This Row],[Task Name]]="","",IF(Tasks[[#This Row],[_IsSummary]],MAX(INDEX(Tasks[_LeafLateFinish],Tasks[[#This Row],[_Row]]+1):INDEX(Tasks[_LeafLateFinish],Tasks[[#This Row],[_Row]]+Tasks[[#This Row],[_Descendants]])),Tasks[[#This Row],[_LeafLateFinish]]))</f>
        <v/>
      </c>
      <c r="AO29" s="51" t="str">
        <f aca="false">IF(Tasks[[#This Row],[Task Name]]="","",IF(Tasks[[#This Row],[_IsSummary]],MIN(INDEX(Tasks[_LeafTotalSlack],Tasks[[#This Row],[_Row]]+1):INDEX(Tasks[_LeafTotalSlack],Tasks[[#This Row],[_Row]]+Tasks[[#This Row],[_Descendants]])),Tasks[[#This Row],[_LeafTotalSlack]]))</f>
        <v/>
      </c>
      <c r="AP2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9" s="110" t="str">
        <f aca="false">IF(Tasks[[#This Row],[Task Name]]="","",IF(Tasks[[#This Row],[_IsSummary]],SUM(INDEX(Tasks[_LeafTotalWork],Tasks[[#This Row],[_Row]]+1):INDEX(Tasks[_LeafTotalWork],Tasks[[#This Row],[_Row]]+Tasks[[#This Row],[_Descendants]])),Tasks[[#This Row],[_LeafTotalWork]]))</f>
        <v/>
      </c>
      <c r="AV2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9" s="111" t="str">
        <f aca="false">IF(Tasks[[#This Row],[Task Name]]="","",IF(Tasks[[#This Row],[_IsSummary]],SUM(INDEX(Tasks[_LeafTotalCost],Tasks[[#This Row],[_Row]]+1):INDEX(Tasks[_LeafTotalCost],Tasks[[#This Row],[_Row]]+Tasks[[#This Row],[_Descendants]])),Tasks[[#This Row],[_LeafTotalCost]]))</f>
        <v/>
      </c>
      <c r="AY29" s="112"/>
      <c r="AZ2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9" s="52"/>
      <c r="BB29" s="98"/>
      <c r="BC29" s="51" t="str">
        <f aca="false">IF(OR(Tasks[[#This Row],[Task Name]]="",Tasks[[#This Row],[Baseline Duration]]=""),"",Tasks[[#This Row],[BL Source Duration]]-N(Tasks[[#This Row],[Baseline Duration]]))</f>
        <v/>
      </c>
      <c r="BD29" s="110" t="str">
        <f aca="false">IF(OR(Tasks[[#This Row],[Task Name]]="",Tasks[[#This Row],[Baseline Work]]=""),"",Tasks[[#This Row],[Work]]-N(Tasks[[#This Row],[Baseline Work]]))</f>
        <v/>
      </c>
      <c r="BE29" s="111" t="str">
        <f aca="false">IF(OR(Tasks[[#This Row],[Task Name]]="",Tasks[[#This Row],[Baseline Cost]]=""),"",Tasks[[#This Row],[Cost]]-N(Tasks[[#This Row],[Baseline Cost]]))</f>
        <v/>
      </c>
      <c r="BF29" s="31" t="str">
        <f aca="false">IF(Tasks[[#This Row],[Task Name]]="","",Tasks[[#This Row],[Forecast Start]])</f>
        <v/>
      </c>
      <c r="BG29" s="31" t="str">
        <f aca="false">IF(Tasks[[#This Row],[Task Name]]="","",Tasks[[#This Row],[Forecast Finish]])</f>
        <v/>
      </c>
      <c r="BH29" s="51" t="str">
        <f aca="false">IF(Tasks[[#This Row],[Task Name]]="","",IF(Tasks[[#This Row],[_IsSummary]],NETWORKDAYS.INTL(Tasks[[#This Row],[Forecast Start]],Tasks[[#This Row],[Forecast Finish]],WorkWeek,Holidays),N(Tasks[[#This Row],[Duration]])))</f>
        <v/>
      </c>
      <c r="BI29" s="110" t="str">
        <f aca="false">IF(Tasks[[#This Row],[Task Name]]="","",Tasks[[#This Row],[Work]])</f>
        <v/>
      </c>
      <c r="BJ29" s="111" t="str">
        <f aca="false">IF(Tasks[[#This Row],[Task Name]]="","",Tasks[[#This Row],[Cost]])</f>
        <v/>
      </c>
      <c r="BK29" s="7"/>
      <c r="BL29" s="7"/>
      <c r="BM29" s="52"/>
      <c r="BN29" s="113"/>
      <c r="BO29" s="112"/>
      <c r="BP29" s="111" t="str">
        <f aca="false">IF(Tasks[[#This Row],[Task Name]]="","",IF(Tasks[[#This Row],[_IsSummary]],SUM(INDEX(Tasks[_LeafEV],Tasks[[#This Row],[_Row]]+1):INDEX(Tasks[_LeafEV],Tasks[[#This Row],[_Row]]+Tasks[[#This Row],[_Descendants]])),Tasks[[#This Row],[_LeafEV]]))</f>
        <v/>
      </c>
      <c r="BQ29" s="111" t="str">
        <f aca="false">IF(Tasks[[#This Row],[Task Name]]="","",IF(Tasks[[#This Row],[_IsSummary]],SUM(INDEX(Tasks[_LeafBudget],Tasks[[#This Row],[_Row]]+1):INDEX(Tasks[_LeafBudget],Tasks[[#This Row],[_Row]]+Tasks[[#This Row],[_Descendants]])),Tasks[[#This Row],[_LeafBudget]]))</f>
        <v/>
      </c>
      <c r="BR29" s="111" t="str">
        <f aca="false">IF(Tasks[[#This Row],[Task Name]]="","",IF(Tasks[[#This Row],[_IsSummary]],SUM(INDEX(Tasks[_LeafPV],Tasks[[#This Row],[_Row]]+1):INDEX(Tasks[_LeafPV],Tasks[[#This Row],[_Row]]+Tasks[[#This Row],[_Descendants]])),Tasks[[#This Row],[_LeafPV]]))</f>
        <v/>
      </c>
      <c r="BS29" s="111" t="str">
        <f aca="false">IF(Tasks[[#This Row],[Task Name]]="","",IF(Tasks[[#This Row],[_IsSummary]],SUM(INDEX(Tasks[_LeafAC],Tasks[[#This Row],[_Row]]+1):INDEX(Tasks[_LeafAC],Tasks[[#This Row],[_Row]]+Tasks[[#This Row],[_Descendants]])),Tasks[[#This Row],[_LeafAC]]))</f>
        <v/>
      </c>
      <c r="BT29" s="38" t="str">
        <f aca="false">IF(Tasks[[#This Row],[Task Name]]="","",MAX(1,N(Tasks[[#This Row],[Level]])))</f>
        <v/>
      </c>
      <c r="BU29" s="38" t="n">
        <f aca="false">ROW()-ROW(Tasks[[#Headers],[ID]])</f>
        <v>24</v>
      </c>
      <c r="BV29" s="38" t="n">
        <f aca="false">IF(OR(Tasks[[#This Row],[Task Name]]="",Tasks[[#This Row],[_Level]]&lt;=1),0,IFERROR(LOOKUP(2,1/(Tasks[[#Headers],[_Level]]:Tasks[[#This Row],[_Level]]=Tasks[[#This Row],[_Level]]-1),ROW(Tasks[[#Headers],[_Level]]:Tasks[[#This Row],[_Level]])),0))</f>
        <v>0</v>
      </c>
      <c r="BW29" s="38" t="n">
        <f aca="false">IFERROR(N(INDEX(Tasks[_Level],Tasks[[#This Row],[_Row]]+1)),0)</f>
        <v>0</v>
      </c>
      <c r="BX29" s="114" t="b">
        <f aca="false">AND(Tasks[[#This Row],[Task Name]]&lt;&gt;"",Tasks[[#This Row],[_NextLevel]]&gt;Tasks[[#This Row],[_Level]])</f>
        <v>0</v>
      </c>
      <c r="BY29" s="38" t="n">
        <f aca="false">IF(Tasks[[#This Row],[_IsSummary]],COUNTIF(Tasks[WBS],Tasks[[#This Row],[WBS]]&amp;".*"),0)</f>
        <v>0</v>
      </c>
      <c r="BZ29" s="38" t="n">
        <f aca="false">IF(AND(Tasks[[#This Row],[Task Name]]&lt;&gt;"",NOT(Tasks[[#This Row],[_IsSummary]])),1,0)</f>
        <v>0</v>
      </c>
      <c r="CA29" s="38" t="n">
        <f aca="false">IF(N(Tasks[[#This Row],[Pred1 UID]])=0,0,IFERROR(MATCH(Tasks[[#This Row],[Pred1 UID]],Tasks[UID],0),-1))</f>
        <v>0</v>
      </c>
      <c r="CB29" s="38" t="n">
        <f aca="false">IF(N(Tasks[[#This Row],[Pred2 UID]])=0,0,IFERROR(MATCH(Tasks[[#This Row],[Pred2 UID]],Tasks[UID],0),-1))</f>
        <v>0</v>
      </c>
      <c r="CC29" s="38" t="n">
        <f aca="false">IF(N(Tasks[[#This Row],[Pred3 UID]])=0,0,IFERROR(MATCH(Tasks[[#This Row],[Pred3 UID]],Tasks[UID],0),-1))</f>
        <v>0</v>
      </c>
      <c r="CD29" s="38" t="n">
        <f aca="false">IF(N(Tasks[[#This Row],[Pred4 UID]])=0,0,IFERROR(MATCH(Tasks[[#This Row],[Pred4 UID]],Tasks[UID],0),-1))</f>
        <v>0</v>
      </c>
      <c r="CE2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9" s="115" t="n">
        <f aca="false">IF(OR(Tasks[[#This Row],[_ConstraintCode]]=2,Tasks[[#This Row],[_ConstraintCode]]=3,Tasks[[#This Row],[_ConstraintCode]]=4,Tasks[[#This Row],[_ConstraintCode]]=6),Tasks[[#This Row],[_ConstraintStart]],0)</f>
        <v>0</v>
      </c>
      <c r="CH29" s="115" t="n">
        <f aca="false">IF(OR(Tasks[[#This Row],[_ConstraintCode]]=2,Tasks[[#This Row],[_ConstraintCode]]=3,Tasks[[#This Row],[_ConstraintCode]]=5,Tasks[[#This Row],[_ConstraintCode]]=7),Tasks[[#This Row],[_ConstraintStart]],2958465)</f>
        <v>2958465</v>
      </c>
      <c r="CI2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9" s="115" t="str">
        <f aca="false">IF(NOT(Tasks[[#This Row],[_IsLeaf]]=1),"",IF(N(Tasks[[#This Row],[Duration]])&lt;=0,Tasks[[#This Row],[_LeafCalcStart]],WORKDAY.INTL(Tasks[[#This Row],[_LeafCalcStart]],Tasks[[#This Row],[Duration]]-1,WorkWeek,Holidays)))</f>
        <v/>
      </c>
      <c r="CK2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9" s="38" t="n">
        <f aca="false">IF(NOT(Tasks[[#This Row],[_IsLeaf]]=1),0,IF(N(Tasks[[#This Row],[Actual Finish]])&gt;0,1,MIN(1,N(Tasks[[#This Row],[% Complete]]))))</f>
        <v>0</v>
      </c>
      <c r="CN29" s="38" t="n">
        <f aca="false">IF(OR(NOT(Tasks[[#This Row],[_IsLeaf]]=1),Tasks[[#This Row],[Resource]]=""),0,N(Tasks[[#This Row],[Duration]])*HoursPerDay*IF(Tasks[[#This Row],[Units]]="",DefaultUnits,Tasks[[#This Row],[Units]]))</f>
        <v>0</v>
      </c>
      <c r="CO29" s="38" t="n">
        <f aca="false">IF(Tasks[[#This Row],[_LeafWork]]=0,0,Tasks[[#This Row],[_LeafWork]]*IFERROR(INDEX(res_Rate,MATCH(Tasks[[#This Row],[Resource]],res_Name,0)),0))</f>
        <v>0</v>
      </c>
      <c r="CP29" s="38" t="n">
        <f aca="false">Tasks[[#This Row],[_LeafWork]]+IF(Tasks[[#This Row],[_IsLeaf]]=1,SUMIFS(asg_Work,asg_TaskUID,Tasks[[#This Row],[UID]],asg_Valid,1),0)</f>
        <v>0</v>
      </c>
      <c r="CQ29" s="38" t="n">
        <f aca="false">Tasks[[#This Row],[_LeafCost]]+IF(Tasks[[#This Row],[_IsLeaf]]=1,SUMIFS(asg_Cost,asg_TaskUID,Tasks[[#This Row],[UID]],asg_Valid,1),0)</f>
        <v>0</v>
      </c>
      <c r="CR29" s="38" t="n">
        <f aca="false">IF(Tasks[[#This Row],[_LeafTotalCost]]=0,Tasks[[#This Row],[_LeafAC]],Tasks[[#This Row],[_LeafAC]]*Tasks[[#This Row],[_LeafCost]]/Tasks[[#This Row],[_LeafTotalCost]])</f>
        <v>0</v>
      </c>
      <c r="CS2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9" s="38" t="n">
        <f aca="false">IF(NOT(Tasks[[#This Row],[_IsLeaf]]=1),0,MAX(_xlfn.MAXIFS(Tasks[_Row],Tasks[Pred1 UID],Tasks[[#This Row],[UID]]),_xlfn.MAXIFS(Tasks[_Row],Tasks[Pred2 UID],Tasks[[#This Row],[UID]]),_xlfn.MAXIFS(Tasks[_Row],Tasks[Pred3 UID],Tasks[[#This Row],[UID]]),_xlfn.MAXIFS(Tasks[_Row],Tasks[Pred4 UID],Tasks[[#This Row],[UID]])))</f>
        <v>0</v>
      </c>
      <c r="DB2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9" s="115" t="str">
        <f aca="false">IF(NOT(Tasks[[#This Row],[_IsLeaf]]=1),"",IF(N(Tasks[[#This Row],[Duration]])&lt;=0,Tasks[[#This Row],[_LeafLateFinish]],WORKDAY.INTL(Tasks[[#This Row],[_LeafLateFinish]],-(Tasks[[#This Row],[Duration]]-1),WorkWeek,Holidays)))</f>
        <v/>
      </c>
      <c r="DE2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9" s="114" t="b">
        <f aca="false">AND(Tasks[[#This Row],[_IsLeaf]]=1,Tasks[[#This Row],[_LeafProgress]]&lt;1,N(Tasks[[#This Row],[_LeafTotalSlack]])&lt;=CriticalSlackDays)</f>
        <v>0</v>
      </c>
      <c r="DG29" s="38" t="n">
        <f aca="false">IF(AND(Tasks[[#This Row],[_IsLeaf]]=1,Tasks[[#This Row],[_ConstraintCode]]=1,Tasks[[#This Row],[Mode]]&lt;&gt;"Manual",N(Tasks[[#This Row],[Actual Start]])=0),MAX(0,N(Tasks[[#This Row],[Free Slack]])),0)</f>
        <v>0</v>
      </c>
      <c r="DH29" s="115" t="str">
        <f aca="false">IF(NOT(Tasks[[#This Row],[_IsLeaf]]=1),"",IF(Tasks[[#This Row],[_AlapShift]]=0,Tasks[[#This Row],[_LeafCalcStart]],WORKDAY.INTL(Tasks[[#This Row],[_LeafCalcStart]],Tasks[[#This Row],[_AlapShift]],WorkWeek,Holidays)))</f>
        <v/>
      </c>
      <c r="DI29" s="115" t="str">
        <f aca="false">IF(NOT(Tasks[[#This Row],[_IsLeaf]]=1),"",IF(Tasks[[#This Row],[_AlapShift]]=0,Tasks[[#This Row],[_LeafCalcFinish]],WORKDAY.INTL(Tasks[[#This Row],[_LeafCalcFinish]],Tasks[[#This Row],[_AlapShift]],WorkWeek,Holidays)))</f>
        <v/>
      </c>
      <c r="DJ29" s="115" t="str">
        <f aca="false">IF(NOT(Tasks[[#This Row],[_IsLeaf]]=1),"",IF(Tasks[[#This Row],[_AlapShift]]=0,Tasks[[#This Row],[_LeafFcstStart]],WORKDAY.INTL(Tasks[[#This Row],[_LeafFcstStart]],Tasks[[#This Row],[_AlapShift]],WorkWeek,Holidays)))</f>
        <v/>
      </c>
      <c r="DK29" s="115" t="str">
        <f aca="false">IF(NOT(Tasks[[#This Row],[_IsLeaf]]=1),"",IF(Tasks[[#This Row],[_AlapShift]]=0,Tasks[[#This Row],[_LeafFcstFinish]],WORKDAY.INTL(Tasks[[#This Row],[_LeafFcstFinish]],Tasks[[#This Row],[_AlapShift]],WorkWeek,Holidays)))</f>
        <v/>
      </c>
      <c r="DL29" s="115" t="str">
        <f aca="false">IF(Tasks[[#This Row],[Task Name]]="","",IF(Tasks[[#This Row],[_IsSummary]],MIN(INDEX(Tasks[_ShownCalcStart],Tasks[[#This Row],[_Row]]+1):INDEX(Tasks[_ShownCalcStart],Tasks[[#This Row],[_Row]]+Tasks[[#This Row],[_Descendants]])),Tasks[[#This Row],[_ShownCalcStart]]))</f>
        <v/>
      </c>
      <c r="DM29" s="115" t="str">
        <f aca="false">IF(Tasks[[#This Row],[Task Name]]="","",IF(Tasks[[#This Row],[_IsSummary]],MAX(INDEX(Tasks[_ShownCalcFinish],Tasks[[#This Row],[_Row]]+1):INDEX(Tasks[_ShownCalcFinish],Tasks[[#This Row],[_Row]]+Tasks[[#This Row],[_Descendants]])),Tasks[[#This Row],[_ShownCalcFinish]]))</f>
        <v/>
      </c>
      <c r="DN2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9" s="38" t="n">
        <f aca="false">IF(AND(Tasks[[#This Row],[_IsLeaf]]=1,Tasks[[#This Row],[_LeafTotalWork]]&gt;0),NETWORKDAYS.INTL(ProjectStart,Tasks[[#This Row],[_ShownFcstStart]],WorkWeek,Holidays),0)</f>
        <v>0</v>
      </c>
      <c r="EA29" s="38" t="n">
        <f aca="false">IF(AND(Tasks[[#This Row],[_IsLeaf]]=1,Tasks[[#This Row],[_LeafTotalWork]]&gt;0),MAX(Tasks[[#This Row],[_StartWorkday]],NETWORKDAYS.INTL(ProjectStart,Tasks[[#This Row],[_ShownFcstFinish]],WorkWeek,Holidays)),0)</f>
        <v>0</v>
      </c>
      <c r="EB29" s="38" t="n">
        <f aca="false">IF(AND(Tasks[[#This Row],[_IsLeaf]]=1,Tasks[[#This Row],[_LeafTotalWork]]&gt;0),Tasks[[#This Row],[_LeafWork]]/(Tasks[[#This Row],[_FinishWorkday]]-Tasks[[#This Row],[_StartWorkday]]+1),0)</f>
        <v>0</v>
      </c>
      <c r="EC29" s="38" t="n">
        <f aca="false">Tasks[[#This Row],[_WorkPerWorkday]]*(Tasks[[#This Row],[_StartWorkday]]-1)</f>
        <v>-0</v>
      </c>
      <c r="ED29" s="38" t="n">
        <f aca="false">IF(Tasks[[#This Row],[_IsLeaf]]=1,MAX(N(Tasks[[#This Row],[Duration]]),0.1),0)</f>
        <v>0</v>
      </c>
      <c r="EE29" s="38" t="n">
        <f aca="false">Tasks[[#This Row],[_WeightDur]]*Tasks[[#This Row],[_LeafProgress]]</f>
        <v>0</v>
      </c>
      <c r="EF2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9" s="38" t="str">
        <f aca="false">IF(AND(Tasks[[#This Row],[_IsLeaf]]=1,N(Tasks[[#This Row],[Duration]])=0,Tasks[[#This Row],[_LeafProgress]]&lt;1),Tasks[[#This Row],[_ShownFcstFinish]]+Tasks[[#This Row],[_Row]]/100000,"")</f>
        <v/>
      </c>
      <c r="EH2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9" s="38" t="n">
        <f aca="false">IF(NOT(Tasks[[#This Row],[_IsLeaf]]=1),0,IF(Tasks[[#This Row],[Baseline Cost]]="",Tasks[[#This Row],[_LeafTotalCost]],N(Tasks[[#This Row],[Baseline Cost]])))</f>
        <v>0</v>
      </c>
      <c r="EJ29" s="38" t="n">
        <f aca="false">Tasks[[#This Row],[_LeafBudget]]*Tasks[[#This Row],[_PlannedPct]]</f>
        <v>0</v>
      </c>
      <c r="EK29" s="38" t="n">
        <f aca="false">Tasks[[#This Row],[_LeafBudget]]*Tasks[[#This Row],[_LeafProgress]]</f>
        <v>0</v>
      </c>
      <c r="EL29" s="38" t="n">
        <f aca="false">IF(NOT(Tasks[[#This Row],[_IsLeaf]]=1),0,IF(Tasks[[#This Row],[Actual Cost]]="",Tasks[[#This Row],[_LeafTotalCost]]*Tasks[[#This Row],[_LeafProgress]],N(Tasks[[#This Row],[Actual Cost]])))</f>
        <v>0</v>
      </c>
      <c r="EM29" s="38" t="str">
        <f aca="false">IF(Tasks[[#This Row],[Task Name]]="","",LEFT(Tasks[[#This Row],[WBS]],FIND(".",Tasks[[#This Row],[WBS]]&amp;".")-1))</f>
        <v/>
      </c>
      <c r="EN29" s="38" t="str">
        <f aca="false">IF(AND(Tasks[[#This Row],[Task Name]]&lt;&gt;"",Tasks[[#This Row],[_Level]]=1),Tasks[[#This Row],[_Row]],"")</f>
        <v/>
      </c>
      <c r="EO29" s="38" t="str">
        <f aca="false">IF(AND(Tasks[[#This Row],[_IsLeaf]]=1,N(Tasks[[#This Row],[Duration]])=0),Tasks[[#This Row],[Planned Finish]]+Tasks[[#This Row],[_Row]]/100000,"")</f>
        <v/>
      </c>
      <c r="EP29" s="38" t="str">
        <f aca="false">IF(AND(Tasks[[#This Row],[_IsLeaf]]=1,Tasks[[#This Row],[_LeafProgress]]&lt;1,OR(N(Tasks[[#This Row],[Finish Var]])&gt;0,Tasks[[#This Row],[Status]]="Late Start")),MAX(0,Tasks[[#This Row],[Finish Var]])+1-Tasks[[#This Row],[_Row]]/1000000,"")</f>
        <v/>
      </c>
      <c r="EQ29" s="38" t="str">
        <f aca="false">IF(AND(Tasks[[#This Row],[_IsLeaf]]=1,N(Tasks[[#This Row],[Actual Start]])=0,Tasks[[#This Row],[_ShownFcstStart]]&gt;=StatusDate,Tasks[[#This Row],[_ShownFcstStart]]&lt;=LookaheadEnd),Tasks[[#This Row],[_ShownFcstStart]]+Tasks[[#This Row],[_Row]]/100000,"")</f>
        <v/>
      </c>
      <c r="ER29" s="38" t="str">
        <f aca="false">IF(AND(Tasks[[#This Row],[_IsLeaf]]=1,Tasks[[#This Row],[_LeafProgress]]&lt;1,Tasks[[#This Row],[_ShownFcstFinish]]&gt;=StatusDate,Tasks[[#This Row],[_ShownFcstFinish]]&lt;=LookaheadEnd),Tasks[[#This Row],[_ShownFcstFinish]]+Tasks[[#This Row],[_Row]]/100000,"")</f>
        <v/>
      </c>
      <c r="ES29" s="38" t="str">
        <f aca="false">IF(Tasks[[#This Row],[_LeafCritical]],Tasks[[#This Row],[_ShownFcstStart]]+Tasks[[#This Row],[_Row]]/100000,"")</f>
        <v/>
      </c>
      <c r="ET29" s="38" t="n">
        <f aca="false">Tasks[[#This Row],[_LeafWork]]*Tasks[[#This Row],[_LeafProgress]]</f>
        <v>0</v>
      </c>
      <c r="EU29" s="115" t="str">
        <f aca="false">IF(AND(Tasks[[#This Row],[_IsLeaf]]=1,Tasks[[#This Row],[_LeafProgress]]&gt;=1),IF(N(Tasks[[#This Row],[Actual Finish]])&gt;0,Tasks[[#This Row],[Actual Finish]],Tasks[[#This Row],[_ShownFcstFinish]]),"")</f>
        <v/>
      </c>
      <c r="EV29" s="38" t="n">
        <f aca="false">IF(Tasks[[#This Row],[_IsLeaf]]=1,N(Tasks[[#This Row],[Story Points]]),0)</f>
        <v>0</v>
      </c>
      <c r="EW29" s="38" t="str">
        <f aca="false">IF(AND(Tasks[[#This Row],[_IsLeaf]]=1,CurrentSprint&lt;&gt;"",Tasks[[#This Row],[Sprint]]=CurrentSprint),Tasks[[#This Row],[_Row]],"")</f>
        <v/>
      </c>
    </row>
    <row r="30" customFormat="false" ht="15" hidden="false" customHeight="false" outlineLevel="0" collapsed="false">
      <c r="A30" s="51" t="str">
        <f aca="false">IF(Tasks[[#This Row],[Task Name]]="","",COUNTA(Tasks[[#Headers],[Task Name]]:Tasks[[#This Row],[Task Name]])-1)</f>
        <v/>
      </c>
      <c r="B30" s="52" t="n">
        <v>25</v>
      </c>
      <c r="C3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0" s="52"/>
      <c r="E30" s="53"/>
      <c r="F30" s="52"/>
      <c r="G30" s="52"/>
      <c r="H30" s="52"/>
      <c r="I30" s="52"/>
      <c r="J30" s="52"/>
      <c r="K30" s="52"/>
      <c r="L30" s="52"/>
      <c r="M30" s="52"/>
      <c r="N30" s="52"/>
      <c r="O30" s="52"/>
      <c r="P30" s="52"/>
      <c r="Q30" s="52"/>
      <c r="R30" s="52"/>
      <c r="S30" s="53"/>
      <c r="T30" s="102"/>
      <c r="U30" s="102"/>
      <c r="V30" s="7"/>
      <c r="W30" s="7"/>
      <c r="X30" s="53"/>
      <c r="Y30" s="31" t="str">
        <f aca="false">IF(Tasks[[#This Row],[Task Name]]="","",IF(Tasks[[#This Row],[_IsSummary]],MIN(INDEX(Tasks[_ShownFcstStart],Tasks[[#This Row],[_Row]]+1):INDEX(Tasks[_ShownFcstStart],Tasks[[#This Row],[_Row]]+Tasks[[#This Row],[_Descendants]])),Tasks[[#This Row],[_ShownFcstStart]]))</f>
        <v/>
      </c>
      <c r="Z30" s="31" t="str">
        <f aca="false">IF(Tasks[[#This Row],[Task Name]]="","",IF(Tasks[[#This Row],[_IsSummary]],MAX(INDEX(Tasks[_ShownFcstFinish],Tasks[[#This Row],[_Row]]+1):INDEX(Tasks[_ShownFcstFinish],Tasks[[#This Row],[_Row]]+Tasks[[#This Row],[_Descendants]])),Tasks[[#This Row],[_ShownFcstFinish]]))</f>
        <v/>
      </c>
      <c r="AA30" s="51" t="str">
        <f aca="false">IF(Tasks[[#This Row],[Task Name]]="","",IF(Tasks[[#This Row],[Progress]]&gt;=1,"Complete",IF(OR(N(Tasks[[#This Row],[Actual Start]])&gt;0,Tasks[[#This Row],[Progress]]&gt;0),IF(Tasks[[#This Row],[Finish Var]]&gt;0,"Behind","In Progress"),IF(Tasks[[#This Row],[Planned Start]]&lt;StatusDate,"Late Start","Not Started"))))</f>
        <v/>
      </c>
      <c r="AB30" s="51" t="str">
        <f aca="false">IF(Tasks[[#This Row],[Task Name]]="","",IF(IF(Tasks[[#This Row],[_IsSummary]],COUNTIF(INDEX(Tasks[_LeafCritical],Tasks[[#This Row],[_Row]]+1):INDEX(Tasks[_LeafCritical],Tasks[[#This Row],[_Row]]+Tasks[[#This Row],[_Descendants]]),TRUE())&gt;0,Tasks[[#This Row],[_LeafCritical]]),"Yes",""))</f>
        <v/>
      </c>
      <c r="AC3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0" s="51" t="str">
        <f aca="false">IF(Tasks[[#This Row],[Task Name]]="","",IF(Tasks[[#This Row],[_Level]]&lt;=OutlineShowLevel,"Yes","No"))</f>
        <v/>
      </c>
      <c r="AE30" s="7"/>
      <c r="AF30" s="52"/>
      <c r="AG30" s="53"/>
      <c r="AH30" s="7"/>
      <c r="AI3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0" s="31" t="str">
        <f aca="false">IF(Tasks[[#This Row],[Task Name]]="","",IF(N(Tasks[[#This Row],[Baseline Start]])&gt;0,Tasks[[#This Row],[Baseline Start]],Tasks[[#This Row],[_CalcStart]]))</f>
        <v/>
      </c>
      <c r="AK30" s="31" t="str">
        <f aca="false">IF(Tasks[[#This Row],[Task Name]]="","",IF(N(Tasks[[#This Row],[Baseline Finish]])&gt;0,Tasks[[#This Row],[Baseline Finish]],Tasks[[#This Row],[_CalcFinish]]))</f>
        <v/>
      </c>
      <c r="AL3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0" s="31" t="str">
        <f aca="false">IF(Tasks[[#This Row],[Task Name]]="","",IF(Tasks[[#This Row],[_IsSummary]],MIN(INDEX(Tasks[_LeafLateStart],Tasks[[#This Row],[_Row]]+1):INDEX(Tasks[_LeafLateStart],Tasks[[#This Row],[_Row]]+Tasks[[#This Row],[_Descendants]])),Tasks[[#This Row],[_LeafLateStart]]))</f>
        <v/>
      </c>
      <c r="AN30" s="31" t="str">
        <f aca="false">IF(Tasks[[#This Row],[Task Name]]="","",IF(Tasks[[#This Row],[_IsSummary]],MAX(INDEX(Tasks[_LeafLateFinish],Tasks[[#This Row],[_Row]]+1):INDEX(Tasks[_LeafLateFinish],Tasks[[#This Row],[_Row]]+Tasks[[#This Row],[_Descendants]])),Tasks[[#This Row],[_LeafLateFinish]]))</f>
        <v/>
      </c>
      <c r="AO30" s="51" t="str">
        <f aca="false">IF(Tasks[[#This Row],[Task Name]]="","",IF(Tasks[[#This Row],[_IsSummary]],MIN(INDEX(Tasks[_LeafTotalSlack],Tasks[[#This Row],[_Row]]+1):INDEX(Tasks[_LeafTotalSlack],Tasks[[#This Row],[_Row]]+Tasks[[#This Row],[_Descendants]])),Tasks[[#This Row],[_LeafTotalSlack]]))</f>
        <v/>
      </c>
      <c r="AP3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0" s="110" t="str">
        <f aca="false">IF(Tasks[[#This Row],[Task Name]]="","",IF(Tasks[[#This Row],[_IsSummary]],SUM(INDEX(Tasks[_LeafTotalWork],Tasks[[#This Row],[_Row]]+1):INDEX(Tasks[_LeafTotalWork],Tasks[[#This Row],[_Row]]+Tasks[[#This Row],[_Descendants]])),Tasks[[#This Row],[_LeafTotalWork]]))</f>
        <v/>
      </c>
      <c r="AV3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0" s="111" t="str">
        <f aca="false">IF(Tasks[[#This Row],[Task Name]]="","",IF(Tasks[[#This Row],[_IsSummary]],SUM(INDEX(Tasks[_LeafTotalCost],Tasks[[#This Row],[_Row]]+1):INDEX(Tasks[_LeafTotalCost],Tasks[[#This Row],[_Row]]+Tasks[[#This Row],[_Descendants]])),Tasks[[#This Row],[_LeafTotalCost]]))</f>
        <v/>
      </c>
      <c r="AY30" s="112"/>
      <c r="AZ3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0" s="52"/>
      <c r="BB30" s="98"/>
      <c r="BC30" s="51" t="str">
        <f aca="false">IF(OR(Tasks[[#This Row],[Task Name]]="",Tasks[[#This Row],[Baseline Duration]]=""),"",Tasks[[#This Row],[BL Source Duration]]-N(Tasks[[#This Row],[Baseline Duration]]))</f>
        <v/>
      </c>
      <c r="BD30" s="110" t="str">
        <f aca="false">IF(OR(Tasks[[#This Row],[Task Name]]="",Tasks[[#This Row],[Baseline Work]]=""),"",Tasks[[#This Row],[Work]]-N(Tasks[[#This Row],[Baseline Work]]))</f>
        <v/>
      </c>
      <c r="BE30" s="111" t="str">
        <f aca="false">IF(OR(Tasks[[#This Row],[Task Name]]="",Tasks[[#This Row],[Baseline Cost]]=""),"",Tasks[[#This Row],[Cost]]-N(Tasks[[#This Row],[Baseline Cost]]))</f>
        <v/>
      </c>
      <c r="BF30" s="31" t="str">
        <f aca="false">IF(Tasks[[#This Row],[Task Name]]="","",Tasks[[#This Row],[Forecast Start]])</f>
        <v/>
      </c>
      <c r="BG30" s="31" t="str">
        <f aca="false">IF(Tasks[[#This Row],[Task Name]]="","",Tasks[[#This Row],[Forecast Finish]])</f>
        <v/>
      </c>
      <c r="BH30" s="51" t="str">
        <f aca="false">IF(Tasks[[#This Row],[Task Name]]="","",IF(Tasks[[#This Row],[_IsSummary]],NETWORKDAYS.INTL(Tasks[[#This Row],[Forecast Start]],Tasks[[#This Row],[Forecast Finish]],WorkWeek,Holidays),N(Tasks[[#This Row],[Duration]])))</f>
        <v/>
      </c>
      <c r="BI30" s="110" t="str">
        <f aca="false">IF(Tasks[[#This Row],[Task Name]]="","",Tasks[[#This Row],[Work]])</f>
        <v/>
      </c>
      <c r="BJ30" s="111" t="str">
        <f aca="false">IF(Tasks[[#This Row],[Task Name]]="","",Tasks[[#This Row],[Cost]])</f>
        <v/>
      </c>
      <c r="BK30" s="7"/>
      <c r="BL30" s="7"/>
      <c r="BM30" s="52"/>
      <c r="BN30" s="113"/>
      <c r="BO30" s="112"/>
      <c r="BP30" s="111" t="str">
        <f aca="false">IF(Tasks[[#This Row],[Task Name]]="","",IF(Tasks[[#This Row],[_IsSummary]],SUM(INDEX(Tasks[_LeafEV],Tasks[[#This Row],[_Row]]+1):INDEX(Tasks[_LeafEV],Tasks[[#This Row],[_Row]]+Tasks[[#This Row],[_Descendants]])),Tasks[[#This Row],[_LeafEV]]))</f>
        <v/>
      </c>
      <c r="BQ30" s="111" t="str">
        <f aca="false">IF(Tasks[[#This Row],[Task Name]]="","",IF(Tasks[[#This Row],[_IsSummary]],SUM(INDEX(Tasks[_LeafBudget],Tasks[[#This Row],[_Row]]+1):INDEX(Tasks[_LeafBudget],Tasks[[#This Row],[_Row]]+Tasks[[#This Row],[_Descendants]])),Tasks[[#This Row],[_LeafBudget]]))</f>
        <v/>
      </c>
      <c r="BR30" s="111" t="str">
        <f aca="false">IF(Tasks[[#This Row],[Task Name]]="","",IF(Tasks[[#This Row],[_IsSummary]],SUM(INDEX(Tasks[_LeafPV],Tasks[[#This Row],[_Row]]+1):INDEX(Tasks[_LeafPV],Tasks[[#This Row],[_Row]]+Tasks[[#This Row],[_Descendants]])),Tasks[[#This Row],[_LeafPV]]))</f>
        <v/>
      </c>
      <c r="BS30" s="111" t="str">
        <f aca="false">IF(Tasks[[#This Row],[Task Name]]="","",IF(Tasks[[#This Row],[_IsSummary]],SUM(INDEX(Tasks[_LeafAC],Tasks[[#This Row],[_Row]]+1):INDEX(Tasks[_LeafAC],Tasks[[#This Row],[_Row]]+Tasks[[#This Row],[_Descendants]])),Tasks[[#This Row],[_LeafAC]]))</f>
        <v/>
      </c>
      <c r="BT30" s="38" t="str">
        <f aca="false">IF(Tasks[[#This Row],[Task Name]]="","",MAX(1,N(Tasks[[#This Row],[Level]])))</f>
        <v/>
      </c>
      <c r="BU30" s="38" t="n">
        <f aca="false">ROW()-ROW(Tasks[[#Headers],[ID]])</f>
        <v>25</v>
      </c>
      <c r="BV30" s="38" t="n">
        <f aca="false">IF(OR(Tasks[[#This Row],[Task Name]]="",Tasks[[#This Row],[_Level]]&lt;=1),0,IFERROR(LOOKUP(2,1/(Tasks[[#Headers],[_Level]]:Tasks[[#This Row],[_Level]]=Tasks[[#This Row],[_Level]]-1),ROW(Tasks[[#Headers],[_Level]]:Tasks[[#This Row],[_Level]])),0))</f>
        <v>0</v>
      </c>
      <c r="BW30" s="38" t="n">
        <f aca="false">IFERROR(N(INDEX(Tasks[_Level],Tasks[[#This Row],[_Row]]+1)),0)</f>
        <v>0</v>
      </c>
      <c r="BX30" s="114" t="b">
        <f aca="false">AND(Tasks[[#This Row],[Task Name]]&lt;&gt;"",Tasks[[#This Row],[_NextLevel]]&gt;Tasks[[#This Row],[_Level]])</f>
        <v>0</v>
      </c>
      <c r="BY30" s="38" t="n">
        <f aca="false">IF(Tasks[[#This Row],[_IsSummary]],COUNTIF(Tasks[WBS],Tasks[[#This Row],[WBS]]&amp;".*"),0)</f>
        <v>0</v>
      </c>
      <c r="BZ30" s="38" t="n">
        <f aca="false">IF(AND(Tasks[[#This Row],[Task Name]]&lt;&gt;"",NOT(Tasks[[#This Row],[_IsSummary]])),1,0)</f>
        <v>0</v>
      </c>
      <c r="CA30" s="38" t="n">
        <f aca="false">IF(N(Tasks[[#This Row],[Pred1 UID]])=0,0,IFERROR(MATCH(Tasks[[#This Row],[Pred1 UID]],Tasks[UID],0),-1))</f>
        <v>0</v>
      </c>
      <c r="CB30" s="38" t="n">
        <f aca="false">IF(N(Tasks[[#This Row],[Pred2 UID]])=0,0,IFERROR(MATCH(Tasks[[#This Row],[Pred2 UID]],Tasks[UID],0),-1))</f>
        <v>0</v>
      </c>
      <c r="CC30" s="38" t="n">
        <f aca="false">IF(N(Tasks[[#This Row],[Pred3 UID]])=0,0,IFERROR(MATCH(Tasks[[#This Row],[Pred3 UID]],Tasks[UID],0),-1))</f>
        <v>0</v>
      </c>
      <c r="CD30" s="38" t="n">
        <f aca="false">IF(N(Tasks[[#This Row],[Pred4 UID]])=0,0,IFERROR(MATCH(Tasks[[#This Row],[Pred4 UID]],Tasks[UID],0),-1))</f>
        <v>0</v>
      </c>
      <c r="CE3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0" s="115" t="n">
        <f aca="false">IF(OR(Tasks[[#This Row],[_ConstraintCode]]=2,Tasks[[#This Row],[_ConstraintCode]]=3,Tasks[[#This Row],[_ConstraintCode]]=4,Tasks[[#This Row],[_ConstraintCode]]=6),Tasks[[#This Row],[_ConstraintStart]],0)</f>
        <v>0</v>
      </c>
      <c r="CH30" s="115" t="n">
        <f aca="false">IF(OR(Tasks[[#This Row],[_ConstraintCode]]=2,Tasks[[#This Row],[_ConstraintCode]]=3,Tasks[[#This Row],[_ConstraintCode]]=5,Tasks[[#This Row],[_ConstraintCode]]=7),Tasks[[#This Row],[_ConstraintStart]],2958465)</f>
        <v>2958465</v>
      </c>
      <c r="CI3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0" s="115" t="str">
        <f aca="false">IF(NOT(Tasks[[#This Row],[_IsLeaf]]=1),"",IF(N(Tasks[[#This Row],[Duration]])&lt;=0,Tasks[[#This Row],[_LeafCalcStart]],WORKDAY.INTL(Tasks[[#This Row],[_LeafCalcStart]],Tasks[[#This Row],[Duration]]-1,WorkWeek,Holidays)))</f>
        <v/>
      </c>
      <c r="CK3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0" s="38" t="n">
        <f aca="false">IF(NOT(Tasks[[#This Row],[_IsLeaf]]=1),0,IF(N(Tasks[[#This Row],[Actual Finish]])&gt;0,1,MIN(1,N(Tasks[[#This Row],[% Complete]]))))</f>
        <v>0</v>
      </c>
      <c r="CN30" s="38" t="n">
        <f aca="false">IF(OR(NOT(Tasks[[#This Row],[_IsLeaf]]=1),Tasks[[#This Row],[Resource]]=""),0,N(Tasks[[#This Row],[Duration]])*HoursPerDay*IF(Tasks[[#This Row],[Units]]="",DefaultUnits,Tasks[[#This Row],[Units]]))</f>
        <v>0</v>
      </c>
      <c r="CO30" s="38" t="n">
        <f aca="false">IF(Tasks[[#This Row],[_LeafWork]]=0,0,Tasks[[#This Row],[_LeafWork]]*IFERROR(INDEX(res_Rate,MATCH(Tasks[[#This Row],[Resource]],res_Name,0)),0))</f>
        <v>0</v>
      </c>
      <c r="CP30" s="38" t="n">
        <f aca="false">Tasks[[#This Row],[_LeafWork]]+IF(Tasks[[#This Row],[_IsLeaf]]=1,SUMIFS(asg_Work,asg_TaskUID,Tasks[[#This Row],[UID]],asg_Valid,1),0)</f>
        <v>0</v>
      </c>
      <c r="CQ30" s="38" t="n">
        <f aca="false">Tasks[[#This Row],[_LeafCost]]+IF(Tasks[[#This Row],[_IsLeaf]]=1,SUMIFS(asg_Cost,asg_TaskUID,Tasks[[#This Row],[UID]],asg_Valid,1),0)</f>
        <v>0</v>
      </c>
      <c r="CR30" s="38" t="n">
        <f aca="false">IF(Tasks[[#This Row],[_LeafTotalCost]]=0,Tasks[[#This Row],[_LeafAC]],Tasks[[#This Row],[_LeafAC]]*Tasks[[#This Row],[_LeafCost]]/Tasks[[#This Row],[_LeafTotalCost]])</f>
        <v>0</v>
      </c>
      <c r="CS3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0" s="38" t="n">
        <f aca="false">IF(NOT(Tasks[[#This Row],[_IsLeaf]]=1),0,MAX(_xlfn.MAXIFS(Tasks[_Row],Tasks[Pred1 UID],Tasks[[#This Row],[UID]]),_xlfn.MAXIFS(Tasks[_Row],Tasks[Pred2 UID],Tasks[[#This Row],[UID]]),_xlfn.MAXIFS(Tasks[_Row],Tasks[Pred3 UID],Tasks[[#This Row],[UID]]),_xlfn.MAXIFS(Tasks[_Row],Tasks[Pred4 UID],Tasks[[#This Row],[UID]])))</f>
        <v>0</v>
      </c>
      <c r="DB3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0" s="115" t="str">
        <f aca="false">IF(NOT(Tasks[[#This Row],[_IsLeaf]]=1),"",IF(N(Tasks[[#This Row],[Duration]])&lt;=0,Tasks[[#This Row],[_LeafLateFinish]],WORKDAY.INTL(Tasks[[#This Row],[_LeafLateFinish]],-(Tasks[[#This Row],[Duration]]-1),WorkWeek,Holidays)))</f>
        <v/>
      </c>
      <c r="DE3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0" s="114" t="b">
        <f aca="false">AND(Tasks[[#This Row],[_IsLeaf]]=1,Tasks[[#This Row],[_LeafProgress]]&lt;1,N(Tasks[[#This Row],[_LeafTotalSlack]])&lt;=CriticalSlackDays)</f>
        <v>0</v>
      </c>
      <c r="DG30" s="38" t="n">
        <f aca="false">IF(AND(Tasks[[#This Row],[_IsLeaf]]=1,Tasks[[#This Row],[_ConstraintCode]]=1,Tasks[[#This Row],[Mode]]&lt;&gt;"Manual",N(Tasks[[#This Row],[Actual Start]])=0),MAX(0,N(Tasks[[#This Row],[Free Slack]])),0)</f>
        <v>0</v>
      </c>
      <c r="DH30" s="115" t="str">
        <f aca="false">IF(NOT(Tasks[[#This Row],[_IsLeaf]]=1),"",IF(Tasks[[#This Row],[_AlapShift]]=0,Tasks[[#This Row],[_LeafCalcStart]],WORKDAY.INTL(Tasks[[#This Row],[_LeafCalcStart]],Tasks[[#This Row],[_AlapShift]],WorkWeek,Holidays)))</f>
        <v/>
      </c>
      <c r="DI30" s="115" t="str">
        <f aca="false">IF(NOT(Tasks[[#This Row],[_IsLeaf]]=1),"",IF(Tasks[[#This Row],[_AlapShift]]=0,Tasks[[#This Row],[_LeafCalcFinish]],WORKDAY.INTL(Tasks[[#This Row],[_LeafCalcFinish]],Tasks[[#This Row],[_AlapShift]],WorkWeek,Holidays)))</f>
        <v/>
      </c>
      <c r="DJ30" s="115" t="str">
        <f aca="false">IF(NOT(Tasks[[#This Row],[_IsLeaf]]=1),"",IF(Tasks[[#This Row],[_AlapShift]]=0,Tasks[[#This Row],[_LeafFcstStart]],WORKDAY.INTL(Tasks[[#This Row],[_LeafFcstStart]],Tasks[[#This Row],[_AlapShift]],WorkWeek,Holidays)))</f>
        <v/>
      </c>
      <c r="DK30" s="115" t="str">
        <f aca="false">IF(NOT(Tasks[[#This Row],[_IsLeaf]]=1),"",IF(Tasks[[#This Row],[_AlapShift]]=0,Tasks[[#This Row],[_LeafFcstFinish]],WORKDAY.INTL(Tasks[[#This Row],[_LeafFcstFinish]],Tasks[[#This Row],[_AlapShift]],WorkWeek,Holidays)))</f>
        <v/>
      </c>
      <c r="DL30" s="115" t="str">
        <f aca="false">IF(Tasks[[#This Row],[Task Name]]="","",IF(Tasks[[#This Row],[_IsSummary]],MIN(INDEX(Tasks[_ShownCalcStart],Tasks[[#This Row],[_Row]]+1):INDEX(Tasks[_ShownCalcStart],Tasks[[#This Row],[_Row]]+Tasks[[#This Row],[_Descendants]])),Tasks[[#This Row],[_ShownCalcStart]]))</f>
        <v/>
      </c>
      <c r="DM30" s="115" t="str">
        <f aca="false">IF(Tasks[[#This Row],[Task Name]]="","",IF(Tasks[[#This Row],[_IsSummary]],MAX(INDEX(Tasks[_ShownCalcFinish],Tasks[[#This Row],[_Row]]+1):INDEX(Tasks[_ShownCalcFinish],Tasks[[#This Row],[_Row]]+Tasks[[#This Row],[_Descendants]])),Tasks[[#This Row],[_ShownCalcFinish]]))</f>
        <v/>
      </c>
      <c r="DN3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0" s="38" t="n">
        <f aca="false">IF(AND(Tasks[[#This Row],[_IsLeaf]]=1,Tasks[[#This Row],[_LeafTotalWork]]&gt;0),NETWORKDAYS.INTL(ProjectStart,Tasks[[#This Row],[_ShownFcstStart]],WorkWeek,Holidays),0)</f>
        <v>0</v>
      </c>
      <c r="EA30" s="38" t="n">
        <f aca="false">IF(AND(Tasks[[#This Row],[_IsLeaf]]=1,Tasks[[#This Row],[_LeafTotalWork]]&gt;0),MAX(Tasks[[#This Row],[_StartWorkday]],NETWORKDAYS.INTL(ProjectStart,Tasks[[#This Row],[_ShownFcstFinish]],WorkWeek,Holidays)),0)</f>
        <v>0</v>
      </c>
      <c r="EB30" s="38" t="n">
        <f aca="false">IF(AND(Tasks[[#This Row],[_IsLeaf]]=1,Tasks[[#This Row],[_LeafTotalWork]]&gt;0),Tasks[[#This Row],[_LeafWork]]/(Tasks[[#This Row],[_FinishWorkday]]-Tasks[[#This Row],[_StartWorkday]]+1),0)</f>
        <v>0</v>
      </c>
      <c r="EC30" s="38" t="n">
        <f aca="false">Tasks[[#This Row],[_WorkPerWorkday]]*(Tasks[[#This Row],[_StartWorkday]]-1)</f>
        <v>-0</v>
      </c>
      <c r="ED30" s="38" t="n">
        <f aca="false">IF(Tasks[[#This Row],[_IsLeaf]]=1,MAX(N(Tasks[[#This Row],[Duration]]),0.1),0)</f>
        <v>0</v>
      </c>
      <c r="EE30" s="38" t="n">
        <f aca="false">Tasks[[#This Row],[_WeightDur]]*Tasks[[#This Row],[_LeafProgress]]</f>
        <v>0</v>
      </c>
      <c r="EF3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0" s="38" t="str">
        <f aca="false">IF(AND(Tasks[[#This Row],[_IsLeaf]]=1,N(Tasks[[#This Row],[Duration]])=0,Tasks[[#This Row],[_LeafProgress]]&lt;1),Tasks[[#This Row],[_ShownFcstFinish]]+Tasks[[#This Row],[_Row]]/100000,"")</f>
        <v/>
      </c>
      <c r="EH3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0" s="38" t="n">
        <f aca="false">IF(NOT(Tasks[[#This Row],[_IsLeaf]]=1),0,IF(Tasks[[#This Row],[Baseline Cost]]="",Tasks[[#This Row],[_LeafTotalCost]],N(Tasks[[#This Row],[Baseline Cost]])))</f>
        <v>0</v>
      </c>
      <c r="EJ30" s="38" t="n">
        <f aca="false">Tasks[[#This Row],[_LeafBudget]]*Tasks[[#This Row],[_PlannedPct]]</f>
        <v>0</v>
      </c>
      <c r="EK30" s="38" t="n">
        <f aca="false">Tasks[[#This Row],[_LeafBudget]]*Tasks[[#This Row],[_LeafProgress]]</f>
        <v>0</v>
      </c>
      <c r="EL30" s="38" t="n">
        <f aca="false">IF(NOT(Tasks[[#This Row],[_IsLeaf]]=1),0,IF(Tasks[[#This Row],[Actual Cost]]="",Tasks[[#This Row],[_LeafTotalCost]]*Tasks[[#This Row],[_LeafProgress]],N(Tasks[[#This Row],[Actual Cost]])))</f>
        <v>0</v>
      </c>
      <c r="EM30" s="38" t="str">
        <f aca="false">IF(Tasks[[#This Row],[Task Name]]="","",LEFT(Tasks[[#This Row],[WBS]],FIND(".",Tasks[[#This Row],[WBS]]&amp;".")-1))</f>
        <v/>
      </c>
      <c r="EN30" s="38" t="str">
        <f aca="false">IF(AND(Tasks[[#This Row],[Task Name]]&lt;&gt;"",Tasks[[#This Row],[_Level]]=1),Tasks[[#This Row],[_Row]],"")</f>
        <v/>
      </c>
      <c r="EO30" s="38" t="str">
        <f aca="false">IF(AND(Tasks[[#This Row],[_IsLeaf]]=1,N(Tasks[[#This Row],[Duration]])=0),Tasks[[#This Row],[Planned Finish]]+Tasks[[#This Row],[_Row]]/100000,"")</f>
        <v/>
      </c>
      <c r="EP30" s="38" t="str">
        <f aca="false">IF(AND(Tasks[[#This Row],[_IsLeaf]]=1,Tasks[[#This Row],[_LeafProgress]]&lt;1,OR(N(Tasks[[#This Row],[Finish Var]])&gt;0,Tasks[[#This Row],[Status]]="Late Start")),MAX(0,Tasks[[#This Row],[Finish Var]])+1-Tasks[[#This Row],[_Row]]/1000000,"")</f>
        <v/>
      </c>
      <c r="EQ30" s="38" t="str">
        <f aca="false">IF(AND(Tasks[[#This Row],[_IsLeaf]]=1,N(Tasks[[#This Row],[Actual Start]])=0,Tasks[[#This Row],[_ShownFcstStart]]&gt;=StatusDate,Tasks[[#This Row],[_ShownFcstStart]]&lt;=LookaheadEnd),Tasks[[#This Row],[_ShownFcstStart]]+Tasks[[#This Row],[_Row]]/100000,"")</f>
        <v/>
      </c>
      <c r="ER30" s="38" t="str">
        <f aca="false">IF(AND(Tasks[[#This Row],[_IsLeaf]]=1,Tasks[[#This Row],[_LeafProgress]]&lt;1,Tasks[[#This Row],[_ShownFcstFinish]]&gt;=StatusDate,Tasks[[#This Row],[_ShownFcstFinish]]&lt;=LookaheadEnd),Tasks[[#This Row],[_ShownFcstFinish]]+Tasks[[#This Row],[_Row]]/100000,"")</f>
        <v/>
      </c>
      <c r="ES30" s="38" t="str">
        <f aca="false">IF(Tasks[[#This Row],[_LeafCritical]],Tasks[[#This Row],[_ShownFcstStart]]+Tasks[[#This Row],[_Row]]/100000,"")</f>
        <v/>
      </c>
      <c r="ET30" s="38" t="n">
        <f aca="false">Tasks[[#This Row],[_LeafWork]]*Tasks[[#This Row],[_LeafProgress]]</f>
        <v>0</v>
      </c>
      <c r="EU30" s="115" t="str">
        <f aca="false">IF(AND(Tasks[[#This Row],[_IsLeaf]]=1,Tasks[[#This Row],[_LeafProgress]]&gt;=1),IF(N(Tasks[[#This Row],[Actual Finish]])&gt;0,Tasks[[#This Row],[Actual Finish]],Tasks[[#This Row],[_ShownFcstFinish]]),"")</f>
        <v/>
      </c>
      <c r="EV30" s="38" t="n">
        <f aca="false">IF(Tasks[[#This Row],[_IsLeaf]]=1,N(Tasks[[#This Row],[Story Points]]),0)</f>
        <v>0</v>
      </c>
      <c r="EW30" s="38" t="str">
        <f aca="false">IF(AND(Tasks[[#This Row],[_IsLeaf]]=1,CurrentSprint&lt;&gt;"",Tasks[[#This Row],[Sprint]]=CurrentSprint),Tasks[[#This Row],[_Row]],"")</f>
        <v/>
      </c>
    </row>
    <row r="31" customFormat="false" ht="15" hidden="false" customHeight="false" outlineLevel="0" collapsed="false">
      <c r="A31" s="51" t="str">
        <f aca="false">IF(Tasks[[#This Row],[Task Name]]="","",COUNTA(Tasks[[#Headers],[Task Name]]:Tasks[[#This Row],[Task Name]])-1)</f>
        <v/>
      </c>
      <c r="B31" s="52" t="n">
        <v>26</v>
      </c>
      <c r="C3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1" s="52"/>
      <c r="E31" s="53"/>
      <c r="F31" s="52"/>
      <c r="G31" s="52"/>
      <c r="H31" s="52"/>
      <c r="I31" s="52"/>
      <c r="J31" s="52"/>
      <c r="K31" s="52"/>
      <c r="L31" s="52"/>
      <c r="M31" s="52"/>
      <c r="N31" s="52"/>
      <c r="O31" s="52"/>
      <c r="P31" s="52"/>
      <c r="Q31" s="52"/>
      <c r="R31" s="52"/>
      <c r="S31" s="53"/>
      <c r="T31" s="102"/>
      <c r="U31" s="102"/>
      <c r="V31" s="7"/>
      <c r="W31" s="7"/>
      <c r="X31" s="53"/>
      <c r="Y31" s="31" t="str">
        <f aca="false">IF(Tasks[[#This Row],[Task Name]]="","",IF(Tasks[[#This Row],[_IsSummary]],MIN(INDEX(Tasks[_ShownFcstStart],Tasks[[#This Row],[_Row]]+1):INDEX(Tasks[_ShownFcstStart],Tasks[[#This Row],[_Row]]+Tasks[[#This Row],[_Descendants]])),Tasks[[#This Row],[_ShownFcstStart]]))</f>
        <v/>
      </c>
      <c r="Z31" s="31" t="str">
        <f aca="false">IF(Tasks[[#This Row],[Task Name]]="","",IF(Tasks[[#This Row],[_IsSummary]],MAX(INDEX(Tasks[_ShownFcstFinish],Tasks[[#This Row],[_Row]]+1):INDEX(Tasks[_ShownFcstFinish],Tasks[[#This Row],[_Row]]+Tasks[[#This Row],[_Descendants]])),Tasks[[#This Row],[_ShownFcstFinish]]))</f>
        <v/>
      </c>
      <c r="AA31" s="51" t="str">
        <f aca="false">IF(Tasks[[#This Row],[Task Name]]="","",IF(Tasks[[#This Row],[Progress]]&gt;=1,"Complete",IF(OR(N(Tasks[[#This Row],[Actual Start]])&gt;0,Tasks[[#This Row],[Progress]]&gt;0),IF(Tasks[[#This Row],[Finish Var]]&gt;0,"Behind","In Progress"),IF(Tasks[[#This Row],[Planned Start]]&lt;StatusDate,"Late Start","Not Started"))))</f>
        <v/>
      </c>
      <c r="AB31" s="51" t="str">
        <f aca="false">IF(Tasks[[#This Row],[Task Name]]="","",IF(IF(Tasks[[#This Row],[_IsSummary]],COUNTIF(INDEX(Tasks[_LeafCritical],Tasks[[#This Row],[_Row]]+1):INDEX(Tasks[_LeafCritical],Tasks[[#This Row],[_Row]]+Tasks[[#This Row],[_Descendants]]),TRUE())&gt;0,Tasks[[#This Row],[_LeafCritical]]),"Yes",""))</f>
        <v/>
      </c>
      <c r="AC3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1" s="51" t="str">
        <f aca="false">IF(Tasks[[#This Row],[Task Name]]="","",IF(Tasks[[#This Row],[_Level]]&lt;=OutlineShowLevel,"Yes","No"))</f>
        <v/>
      </c>
      <c r="AE31" s="7"/>
      <c r="AF31" s="52"/>
      <c r="AG31" s="53"/>
      <c r="AH31" s="7"/>
      <c r="AI3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1" s="31" t="str">
        <f aca="false">IF(Tasks[[#This Row],[Task Name]]="","",IF(N(Tasks[[#This Row],[Baseline Start]])&gt;0,Tasks[[#This Row],[Baseline Start]],Tasks[[#This Row],[_CalcStart]]))</f>
        <v/>
      </c>
      <c r="AK31" s="31" t="str">
        <f aca="false">IF(Tasks[[#This Row],[Task Name]]="","",IF(N(Tasks[[#This Row],[Baseline Finish]])&gt;0,Tasks[[#This Row],[Baseline Finish]],Tasks[[#This Row],[_CalcFinish]]))</f>
        <v/>
      </c>
      <c r="AL3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1" s="31" t="str">
        <f aca="false">IF(Tasks[[#This Row],[Task Name]]="","",IF(Tasks[[#This Row],[_IsSummary]],MIN(INDEX(Tasks[_LeafLateStart],Tasks[[#This Row],[_Row]]+1):INDEX(Tasks[_LeafLateStart],Tasks[[#This Row],[_Row]]+Tasks[[#This Row],[_Descendants]])),Tasks[[#This Row],[_LeafLateStart]]))</f>
        <v/>
      </c>
      <c r="AN31" s="31" t="str">
        <f aca="false">IF(Tasks[[#This Row],[Task Name]]="","",IF(Tasks[[#This Row],[_IsSummary]],MAX(INDEX(Tasks[_LeafLateFinish],Tasks[[#This Row],[_Row]]+1):INDEX(Tasks[_LeafLateFinish],Tasks[[#This Row],[_Row]]+Tasks[[#This Row],[_Descendants]])),Tasks[[#This Row],[_LeafLateFinish]]))</f>
        <v/>
      </c>
      <c r="AO31" s="51" t="str">
        <f aca="false">IF(Tasks[[#This Row],[Task Name]]="","",IF(Tasks[[#This Row],[_IsSummary]],MIN(INDEX(Tasks[_LeafTotalSlack],Tasks[[#This Row],[_Row]]+1):INDEX(Tasks[_LeafTotalSlack],Tasks[[#This Row],[_Row]]+Tasks[[#This Row],[_Descendants]])),Tasks[[#This Row],[_LeafTotalSlack]]))</f>
        <v/>
      </c>
      <c r="AP3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1" s="110" t="str">
        <f aca="false">IF(Tasks[[#This Row],[Task Name]]="","",IF(Tasks[[#This Row],[_IsSummary]],SUM(INDEX(Tasks[_LeafTotalWork],Tasks[[#This Row],[_Row]]+1):INDEX(Tasks[_LeafTotalWork],Tasks[[#This Row],[_Row]]+Tasks[[#This Row],[_Descendants]])),Tasks[[#This Row],[_LeafTotalWork]]))</f>
        <v/>
      </c>
      <c r="AV3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1" s="111" t="str">
        <f aca="false">IF(Tasks[[#This Row],[Task Name]]="","",IF(Tasks[[#This Row],[_IsSummary]],SUM(INDEX(Tasks[_LeafTotalCost],Tasks[[#This Row],[_Row]]+1):INDEX(Tasks[_LeafTotalCost],Tasks[[#This Row],[_Row]]+Tasks[[#This Row],[_Descendants]])),Tasks[[#This Row],[_LeafTotalCost]]))</f>
        <v/>
      </c>
      <c r="AY31" s="112"/>
      <c r="AZ3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1" s="52"/>
      <c r="BB31" s="98"/>
      <c r="BC31" s="51" t="str">
        <f aca="false">IF(OR(Tasks[[#This Row],[Task Name]]="",Tasks[[#This Row],[Baseline Duration]]=""),"",Tasks[[#This Row],[BL Source Duration]]-N(Tasks[[#This Row],[Baseline Duration]]))</f>
        <v/>
      </c>
      <c r="BD31" s="110" t="str">
        <f aca="false">IF(OR(Tasks[[#This Row],[Task Name]]="",Tasks[[#This Row],[Baseline Work]]=""),"",Tasks[[#This Row],[Work]]-N(Tasks[[#This Row],[Baseline Work]]))</f>
        <v/>
      </c>
      <c r="BE31" s="111" t="str">
        <f aca="false">IF(OR(Tasks[[#This Row],[Task Name]]="",Tasks[[#This Row],[Baseline Cost]]=""),"",Tasks[[#This Row],[Cost]]-N(Tasks[[#This Row],[Baseline Cost]]))</f>
        <v/>
      </c>
      <c r="BF31" s="31" t="str">
        <f aca="false">IF(Tasks[[#This Row],[Task Name]]="","",Tasks[[#This Row],[Forecast Start]])</f>
        <v/>
      </c>
      <c r="BG31" s="31" t="str">
        <f aca="false">IF(Tasks[[#This Row],[Task Name]]="","",Tasks[[#This Row],[Forecast Finish]])</f>
        <v/>
      </c>
      <c r="BH31" s="51" t="str">
        <f aca="false">IF(Tasks[[#This Row],[Task Name]]="","",IF(Tasks[[#This Row],[_IsSummary]],NETWORKDAYS.INTL(Tasks[[#This Row],[Forecast Start]],Tasks[[#This Row],[Forecast Finish]],WorkWeek,Holidays),N(Tasks[[#This Row],[Duration]])))</f>
        <v/>
      </c>
      <c r="BI31" s="110" t="str">
        <f aca="false">IF(Tasks[[#This Row],[Task Name]]="","",Tasks[[#This Row],[Work]])</f>
        <v/>
      </c>
      <c r="BJ31" s="111" t="str">
        <f aca="false">IF(Tasks[[#This Row],[Task Name]]="","",Tasks[[#This Row],[Cost]])</f>
        <v/>
      </c>
      <c r="BK31" s="7"/>
      <c r="BL31" s="7"/>
      <c r="BM31" s="52"/>
      <c r="BN31" s="113"/>
      <c r="BO31" s="112"/>
      <c r="BP31" s="111" t="str">
        <f aca="false">IF(Tasks[[#This Row],[Task Name]]="","",IF(Tasks[[#This Row],[_IsSummary]],SUM(INDEX(Tasks[_LeafEV],Tasks[[#This Row],[_Row]]+1):INDEX(Tasks[_LeafEV],Tasks[[#This Row],[_Row]]+Tasks[[#This Row],[_Descendants]])),Tasks[[#This Row],[_LeafEV]]))</f>
        <v/>
      </c>
      <c r="BQ31" s="111" t="str">
        <f aca="false">IF(Tasks[[#This Row],[Task Name]]="","",IF(Tasks[[#This Row],[_IsSummary]],SUM(INDEX(Tasks[_LeafBudget],Tasks[[#This Row],[_Row]]+1):INDEX(Tasks[_LeafBudget],Tasks[[#This Row],[_Row]]+Tasks[[#This Row],[_Descendants]])),Tasks[[#This Row],[_LeafBudget]]))</f>
        <v/>
      </c>
      <c r="BR31" s="111" t="str">
        <f aca="false">IF(Tasks[[#This Row],[Task Name]]="","",IF(Tasks[[#This Row],[_IsSummary]],SUM(INDEX(Tasks[_LeafPV],Tasks[[#This Row],[_Row]]+1):INDEX(Tasks[_LeafPV],Tasks[[#This Row],[_Row]]+Tasks[[#This Row],[_Descendants]])),Tasks[[#This Row],[_LeafPV]]))</f>
        <v/>
      </c>
      <c r="BS31" s="111" t="str">
        <f aca="false">IF(Tasks[[#This Row],[Task Name]]="","",IF(Tasks[[#This Row],[_IsSummary]],SUM(INDEX(Tasks[_LeafAC],Tasks[[#This Row],[_Row]]+1):INDEX(Tasks[_LeafAC],Tasks[[#This Row],[_Row]]+Tasks[[#This Row],[_Descendants]])),Tasks[[#This Row],[_LeafAC]]))</f>
        <v/>
      </c>
      <c r="BT31" s="38" t="str">
        <f aca="false">IF(Tasks[[#This Row],[Task Name]]="","",MAX(1,N(Tasks[[#This Row],[Level]])))</f>
        <v/>
      </c>
      <c r="BU31" s="38" t="n">
        <f aca="false">ROW()-ROW(Tasks[[#Headers],[ID]])</f>
        <v>26</v>
      </c>
      <c r="BV31" s="38" t="n">
        <f aca="false">IF(OR(Tasks[[#This Row],[Task Name]]="",Tasks[[#This Row],[_Level]]&lt;=1),0,IFERROR(LOOKUP(2,1/(Tasks[[#Headers],[_Level]]:Tasks[[#This Row],[_Level]]=Tasks[[#This Row],[_Level]]-1),ROW(Tasks[[#Headers],[_Level]]:Tasks[[#This Row],[_Level]])),0))</f>
        <v>0</v>
      </c>
      <c r="BW31" s="38" t="n">
        <f aca="false">IFERROR(N(INDEX(Tasks[_Level],Tasks[[#This Row],[_Row]]+1)),0)</f>
        <v>0</v>
      </c>
      <c r="BX31" s="114" t="b">
        <f aca="false">AND(Tasks[[#This Row],[Task Name]]&lt;&gt;"",Tasks[[#This Row],[_NextLevel]]&gt;Tasks[[#This Row],[_Level]])</f>
        <v>0</v>
      </c>
      <c r="BY31" s="38" t="n">
        <f aca="false">IF(Tasks[[#This Row],[_IsSummary]],COUNTIF(Tasks[WBS],Tasks[[#This Row],[WBS]]&amp;".*"),0)</f>
        <v>0</v>
      </c>
      <c r="BZ31" s="38" t="n">
        <f aca="false">IF(AND(Tasks[[#This Row],[Task Name]]&lt;&gt;"",NOT(Tasks[[#This Row],[_IsSummary]])),1,0)</f>
        <v>0</v>
      </c>
      <c r="CA31" s="38" t="n">
        <f aca="false">IF(N(Tasks[[#This Row],[Pred1 UID]])=0,0,IFERROR(MATCH(Tasks[[#This Row],[Pred1 UID]],Tasks[UID],0),-1))</f>
        <v>0</v>
      </c>
      <c r="CB31" s="38" t="n">
        <f aca="false">IF(N(Tasks[[#This Row],[Pred2 UID]])=0,0,IFERROR(MATCH(Tasks[[#This Row],[Pred2 UID]],Tasks[UID],0),-1))</f>
        <v>0</v>
      </c>
      <c r="CC31" s="38" t="n">
        <f aca="false">IF(N(Tasks[[#This Row],[Pred3 UID]])=0,0,IFERROR(MATCH(Tasks[[#This Row],[Pred3 UID]],Tasks[UID],0),-1))</f>
        <v>0</v>
      </c>
      <c r="CD31" s="38" t="n">
        <f aca="false">IF(N(Tasks[[#This Row],[Pred4 UID]])=0,0,IFERROR(MATCH(Tasks[[#This Row],[Pred4 UID]],Tasks[UID],0),-1))</f>
        <v>0</v>
      </c>
      <c r="CE3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1" s="115" t="n">
        <f aca="false">IF(OR(Tasks[[#This Row],[_ConstraintCode]]=2,Tasks[[#This Row],[_ConstraintCode]]=3,Tasks[[#This Row],[_ConstraintCode]]=4,Tasks[[#This Row],[_ConstraintCode]]=6),Tasks[[#This Row],[_ConstraintStart]],0)</f>
        <v>0</v>
      </c>
      <c r="CH31" s="115" t="n">
        <f aca="false">IF(OR(Tasks[[#This Row],[_ConstraintCode]]=2,Tasks[[#This Row],[_ConstraintCode]]=3,Tasks[[#This Row],[_ConstraintCode]]=5,Tasks[[#This Row],[_ConstraintCode]]=7),Tasks[[#This Row],[_ConstraintStart]],2958465)</f>
        <v>2958465</v>
      </c>
      <c r="CI3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1" s="115" t="str">
        <f aca="false">IF(NOT(Tasks[[#This Row],[_IsLeaf]]=1),"",IF(N(Tasks[[#This Row],[Duration]])&lt;=0,Tasks[[#This Row],[_LeafCalcStart]],WORKDAY.INTL(Tasks[[#This Row],[_LeafCalcStart]],Tasks[[#This Row],[Duration]]-1,WorkWeek,Holidays)))</f>
        <v/>
      </c>
      <c r="CK3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1" s="38" t="n">
        <f aca="false">IF(NOT(Tasks[[#This Row],[_IsLeaf]]=1),0,IF(N(Tasks[[#This Row],[Actual Finish]])&gt;0,1,MIN(1,N(Tasks[[#This Row],[% Complete]]))))</f>
        <v>0</v>
      </c>
      <c r="CN31" s="38" t="n">
        <f aca="false">IF(OR(NOT(Tasks[[#This Row],[_IsLeaf]]=1),Tasks[[#This Row],[Resource]]=""),0,N(Tasks[[#This Row],[Duration]])*HoursPerDay*IF(Tasks[[#This Row],[Units]]="",DefaultUnits,Tasks[[#This Row],[Units]]))</f>
        <v>0</v>
      </c>
      <c r="CO31" s="38" t="n">
        <f aca="false">IF(Tasks[[#This Row],[_LeafWork]]=0,0,Tasks[[#This Row],[_LeafWork]]*IFERROR(INDEX(res_Rate,MATCH(Tasks[[#This Row],[Resource]],res_Name,0)),0))</f>
        <v>0</v>
      </c>
      <c r="CP31" s="38" t="n">
        <f aca="false">Tasks[[#This Row],[_LeafWork]]+IF(Tasks[[#This Row],[_IsLeaf]]=1,SUMIFS(asg_Work,asg_TaskUID,Tasks[[#This Row],[UID]],asg_Valid,1),0)</f>
        <v>0</v>
      </c>
      <c r="CQ31" s="38" t="n">
        <f aca="false">Tasks[[#This Row],[_LeafCost]]+IF(Tasks[[#This Row],[_IsLeaf]]=1,SUMIFS(asg_Cost,asg_TaskUID,Tasks[[#This Row],[UID]],asg_Valid,1),0)</f>
        <v>0</v>
      </c>
      <c r="CR31" s="38" t="n">
        <f aca="false">IF(Tasks[[#This Row],[_LeafTotalCost]]=0,Tasks[[#This Row],[_LeafAC]],Tasks[[#This Row],[_LeafAC]]*Tasks[[#This Row],[_LeafCost]]/Tasks[[#This Row],[_LeafTotalCost]])</f>
        <v>0</v>
      </c>
      <c r="CS3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1" s="38" t="n">
        <f aca="false">IF(NOT(Tasks[[#This Row],[_IsLeaf]]=1),0,MAX(_xlfn.MAXIFS(Tasks[_Row],Tasks[Pred1 UID],Tasks[[#This Row],[UID]]),_xlfn.MAXIFS(Tasks[_Row],Tasks[Pred2 UID],Tasks[[#This Row],[UID]]),_xlfn.MAXIFS(Tasks[_Row],Tasks[Pred3 UID],Tasks[[#This Row],[UID]]),_xlfn.MAXIFS(Tasks[_Row],Tasks[Pred4 UID],Tasks[[#This Row],[UID]])))</f>
        <v>0</v>
      </c>
      <c r="DB3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1" s="115" t="str">
        <f aca="false">IF(NOT(Tasks[[#This Row],[_IsLeaf]]=1),"",IF(N(Tasks[[#This Row],[Duration]])&lt;=0,Tasks[[#This Row],[_LeafLateFinish]],WORKDAY.INTL(Tasks[[#This Row],[_LeafLateFinish]],-(Tasks[[#This Row],[Duration]]-1),WorkWeek,Holidays)))</f>
        <v/>
      </c>
      <c r="DE3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1" s="114" t="b">
        <f aca="false">AND(Tasks[[#This Row],[_IsLeaf]]=1,Tasks[[#This Row],[_LeafProgress]]&lt;1,N(Tasks[[#This Row],[_LeafTotalSlack]])&lt;=CriticalSlackDays)</f>
        <v>0</v>
      </c>
      <c r="DG31" s="38" t="n">
        <f aca="false">IF(AND(Tasks[[#This Row],[_IsLeaf]]=1,Tasks[[#This Row],[_ConstraintCode]]=1,Tasks[[#This Row],[Mode]]&lt;&gt;"Manual",N(Tasks[[#This Row],[Actual Start]])=0),MAX(0,N(Tasks[[#This Row],[Free Slack]])),0)</f>
        <v>0</v>
      </c>
      <c r="DH31" s="115" t="str">
        <f aca="false">IF(NOT(Tasks[[#This Row],[_IsLeaf]]=1),"",IF(Tasks[[#This Row],[_AlapShift]]=0,Tasks[[#This Row],[_LeafCalcStart]],WORKDAY.INTL(Tasks[[#This Row],[_LeafCalcStart]],Tasks[[#This Row],[_AlapShift]],WorkWeek,Holidays)))</f>
        <v/>
      </c>
      <c r="DI31" s="115" t="str">
        <f aca="false">IF(NOT(Tasks[[#This Row],[_IsLeaf]]=1),"",IF(Tasks[[#This Row],[_AlapShift]]=0,Tasks[[#This Row],[_LeafCalcFinish]],WORKDAY.INTL(Tasks[[#This Row],[_LeafCalcFinish]],Tasks[[#This Row],[_AlapShift]],WorkWeek,Holidays)))</f>
        <v/>
      </c>
      <c r="DJ31" s="115" t="str">
        <f aca="false">IF(NOT(Tasks[[#This Row],[_IsLeaf]]=1),"",IF(Tasks[[#This Row],[_AlapShift]]=0,Tasks[[#This Row],[_LeafFcstStart]],WORKDAY.INTL(Tasks[[#This Row],[_LeafFcstStart]],Tasks[[#This Row],[_AlapShift]],WorkWeek,Holidays)))</f>
        <v/>
      </c>
      <c r="DK31" s="115" t="str">
        <f aca="false">IF(NOT(Tasks[[#This Row],[_IsLeaf]]=1),"",IF(Tasks[[#This Row],[_AlapShift]]=0,Tasks[[#This Row],[_LeafFcstFinish]],WORKDAY.INTL(Tasks[[#This Row],[_LeafFcstFinish]],Tasks[[#This Row],[_AlapShift]],WorkWeek,Holidays)))</f>
        <v/>
      </c>
      <c r="DL31" s="115" t="str">
        <f aca="false">IF(Tasks[[#This Row],[Task Name]]="","",IF(Tasks[[#This Row],[_IsSummary]],MIN(INDEX(Tasks[_ShownCalcStart],Tasks[[#This Row],[_Row]]+1):INDEX(Tasks[_ShownCalcStart],Tasks[[#This Row],[_Row]]+Tasks[[#This Row],[_Descendants]])),Tasks[[#This Row],[_ShownCalcStart]]))</f>
        <v/>
      </c>
      <c r="DM31" s="115" t="str">
        <f aca="false">IF(Tasks[[#This Row],[Task Name]]="","",IF(Tasks[[#This Row],[_IsSummary]],MAX(INDEX(Tasks[_ShownCalcFinish],Tasks[[#This Row],[_Row]]+1):INDEX(Tasks[_ShownCalcFinish],Tasks[[#This Row],[_Row]]+Tasks[[#This Row],[_Descendants]])),Tasks[[#This Row],[_ShownCalcFinish]]))</f>
        <v/>
      </c>
      <c r="DN3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1" s="38" t="n">
        <f aca="false">IF(AND(Tasks[[#This Row],[_IsLeaf]]=1,Tasks[[#This Row],[_LeafTotalWork]]&gt;0),NETWORKDAYS.INTL(ProjectStart,Tasks[[#This Row],[_ShownFcstStart]],WorkWeek,Holidays),0)</f>
        <v>0</v>
      </c>
      <c r="EA31" s="38" t="n">
        <f aca="false">IF(AND(Tasks[[#This Row],[_IsLeaf]]=1,Tasks[[#This Row],[_LeafTotalWork]]&gt;0),MAX(Tasks[[#This Row],[_StartWorkday]],NETWORKDAYS.INTL(ProjectStart,Tasks[[#This Row],[_ShownFcstFinish]],WorkWeek,Holidays)),0)</f>
        <v>0</v>
      </c>
      <c r="EB31" s="38" t="n">
        <f aca="false">IF(AND(Tasks[[#This Row],[_IsLeaf]]=1,Tasks[[#This Row],[_LeafTotalWork]]&gt;0),Tasks[[#This Row],[_LeafWork]]/(Tasks[[#This Row],[_FinishWorkday]]-Tasks[[#This Row],[_StartWorkday]]+1),0)</f>
        <v>0</v>
      </c>
      <c r="EC31" s="38" t="n">
        <f aca="false">Tasks[[#This Row],[_WorkPerWorkday]]*(Tasks[[#This Row],[_StartWorkday]]-1)</f>
        <v>-0</v>
      </c>
      <c r="ED31" s="38" t="n">
        <f aca="false">IF(Tasks[[#This Row],[_IsLeaf]]=1,MAX(N(Tasks[[#This Row],[Duration]]),0.1),0)</f>
        <v>0</v>
      </c>
      <c r="EE31" s="38" t="n">
        <f aca="false">Tasks[[#This Row],[_WeightDur]]*Tasks[[#This Row],[_LeafProgress]]</f>
        <v>0</v>
      </c>
      <c r="EF3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1" s="38" t="str">
        <f aca="false">IF(AND(Tasks[[#This Row],[_IsLeaf]]=1,N(Tasks[[#This Row],[Duration]])=0,Tasks[[#This Row],[_LeafProgress]]&lt;1),Tasks[[#This Row],[_ShownFcstFinish]]+Tasks[[#This Row],[_Row]]/100000,"")</f>
        <v/>
      </c>
      <c r="EH3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1" s="38" t="n">
        <f aca="false">IF(NOT(Tasks[[#This Row],[_IsLeaf]]=1),0,IF(Tasks[[#This Row],[Baseline Cost]]="",Tasks[[#This Row],[_LeafTotalCost]],N(Tasks[[#This Row],[Baseline Cost]])))</f>
        <v>0</v>
      </c>
      <c r="EJ31" s="38" t="n">
        <f aca="false">Tasks[[#This Row],[_LeafBudget]]*Tasks[[#This Row],[_PlannedPct]]</f>
        <v>0</v>
      </c>
      <c r="EK31" s="38" t="n">
        <f aca="false">Tasks[[#This Row],[_LeafBudget]]*Tasks[[#This Row],[_LeafProgress]]</f>
        <v>0</v>
      </c>
      <c r="EL31" s="38" t="n">
        <f aca="false">IF(NOT(Tasks[[#This Row],[_IsLeaf]]=1),0,IF(Tasks[[#This Row],[Actual Cost]]="",Tasks[[#This Row],[_LeafTotalCost]]*Tasks[[#This Row],[_LeafProgress]],N(Tasks[[#This Row],[Actual Cost]])))</f>
        <v>0</v>
      </c>
      <c r="EM31" s="38" t="str">
        <f aca="false">IF(Tasks[[#This Row],[Task Name]]="","",LEFT(Tasks[[#This Row],[WBS]],FIND(".",Tasks[[#This Row],[WBS]]&amp;".")-1))</f>
        <v/>
      </c>
      <c r="EN31" s="38" t="str">
        <f aca="false">IF(AND(Tasks[[#This Row],[Task Name]]&lt;&gt;"",Tasks[[#This Row],[_Level]]=1),Tasks[[#This Row],[_Row]],"")</f>
        <v/>
      </c>
      <c r="EO31" s="38" t="str">
        <f aca="false">IF(AND(Tasks[[#This Row],[_IsLeaf]]=1,N(Tasks[[#This Row],[Duration]])=0),Tasks[[#This Row],[Planned Finish]]+Tasks[[#This Row],[_Row]]/100000,"")</f>
        <v/>
      </c>
      <c r="EP31" s="38" t="str">
        <f aca="false">IF(AND(Tasks[[#This Row],[_IsLeaf]]=1,Tasks[[#This Row],[_LeafProgress]]&lt;1,OR(N(Tasks[[#This Row],[Finish Var]])&gt;0,Tasks[[#This Row],[Status]]="Late Start")),MAX(0,Tasks[[#This Row],[Finish Var]])+1-Tasks[[#This Row],[_Row]]/1000000,"")</f>
        <v/>
      </c>
      <c r="EQ31" s="38" t="str">
        <f aca="false">IF(AND(Tasks[[#This Row],[_IsLeaf]]=1,N(Tasks[[#This Row],[Actual Start]])=0,Tasks[[#This Row],[_ShownFcstStart]]&gt;=StatusDate,Tasks[[#This Row],[_ShownFcstStart]]&lt;=LookaheadEnd),Tasks[[#This Row],[_ShownFcstStart]]+Tasks[[#This Row],[_Row]]/100000,"")</f>
        <v/>
      </c>
      <c r="ER31" s="38" t="str">
        <f aca="false">IF(AND(Tasks[[#This Row],[_IsLeaf]]=1,Tasks[[#This Row],[_LeafProgress]]&lt;1,Tasks[[#This Row],[_ShownFcstFinish]]&gt;=StatusDate,Tasks[[#This Row],[_ShownFcstFinish]]&lt;=LookaheadEnd),Tasks[[#This Row],[_ShownFcstFinish]]+Tasks[[#This Row],[_Row]]/100000,"")</f>
        <v/>
      </c>
      <c r="ES31" s="38" t="str">
        <f aca="false">IF(Tasks[[#This Row],[_LeafCritical]],Tasks[[#This Row],[_ShownFcstStart]]+Tasks[[#This Row],[_Row]]/100000,"")</f>
        <v/>
      </c>
      <c r="ET31" s="38" t="n">
        <f aca="false">Tasks[[#This Row],[_LeafWork]]*Tasks[[#This Row],[_LeafProgress]]</f>
        <v>0</v>
      </c>
      <c r="EU31" s="115" t="str">
        <f aca="false">IF(AND(Tasks[[#This Row],[_IsLeaf]]=1,Tasks[[#This Row],[_LeafProgress]]&gt;=1),IF(N(Tasks[[#This Row],[Actual Finish]])&gt;0,Tasks[[#This Row],[Actual Finish]],Tasks[[#This Row],[_ShownFcstFinish]]),"")</f>
        <v/>
      </c>
      <c r="EV31" s="38" t="n">
        <f aca="false">IF(Tasks[[#This Row],[_IsLeaf]]=1,N(Tasks[[#This Row],[Story Points]]),0)</f>
        <v>0</v>
      </c>
      <c r="EW31" s="38" t="str">
        <f aca="false">IF(AND(Tasks[[#This Row],[_IsLeaf]]=1,CurrentSprint&lt;&gt;"",Tasks[[#This Row],[Sprint]]=CurrentSprint),Tasks[[#This Row],[_Row]],"")</f>
        <v/>
      </c>
    </row>
    <row r="32" customFormat="false" ht="15" hidden="false" customHeight="false" outlineLevel="0" collapsed="false">
      <c r="A32" s="51" t="str">
        <f aca="false">IF(Tasks[[#This Row],[Task Name]]="","",COUNTA(Tasks[[#Headers],[Task Name]]:Tasks[[#This Row],[Task Name]])-1)</f>
        <v/>
      </c>
      <c r="B32" s="52" t="n">
        <v>27</v>
      </c>
      <c r="C3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2" s="52"/>
      <c r="E32" s="53"/>
      <c r="F32" s="52"/>
      <c r="G32" s="52"/>
      <c r="H32" s="52"/>
      <c r="I32" s="52"/>
      <c r="J32" s="52"/>
      <c r="K32" s="52"/>
      <c r="L32" s="52"/>
      <c r="M32" s="52"/>
      <c r="N32" s="52"/>
      <c r="O32" s="52"/>
      <c r="P32" s="52"/>
      <c r="Q32" s="52"/>
      <c r="R32" s="52"/>
      <c r="S32" s="53"/>
      <c r="T32" s="102"/>
      <c r="U32" s="102"/>
      <c r="V32" s="7"/>
      <c r="W32" s="7"/>
      <c r="X32" s="53"/>
      <c r="Y32" s="31" t="str">
        <f aca="false">IF(Tasks[[#This Row],[Task Name]]="","",IF(Tasks[[#This Row],[_IsSummary]],MIN(INDEX(Tasks[_ShownFcstStart],Tasks[[#This Row],[_Row]]+1):INDEX(Tasks[_ShownFcstStart],Tasks[[#This Row],[_Row]]+Tasks[[#This Row],[_Descendants]])),Tasks[[#This Row],[_ShownFcstStart]]))</f>
        <v/>
      </c>
      <c r="Z32" s="31" t="str">
        <f aca="false">IF(Tasks[[#This Row],[Task Name]]="","",IF(Tasks[[#This Row],[_IsSummary]],MAX(INDEX(Tasks[_ShownFcstFinish],Tasks[[#This Row],[_Row]]+1):INDEX(Tasks[_ShownFcstFinish],Tasks[[#This Row],[_Row]]+Tasks[[#This Row],[_Descendants]])),Tasks[[#This Row],[_ShownFcstFinish]]))</f>
        <v/>
      </c>
      <c r="AA32" s="51" t="str">
        <f aca="false">IF(Tasks[[#This Row],[Task Name]]="","",IF(Tasks[[#This Row],[Progress]]&gt;=1,"Complete",IF(OR(N(Tasks[[#This Row],[Actual Start]])&gt;0,Tasks[[#This Row],[Progress]]&gt;0),IF(Tasks[[#This Row],[Finish Var]]&gt;0,"Behind","In Progress"),IF(Tasks[[#This Row],[Planned Start]]&lt;StatusDate,"Late Start","Not Started"))))</f>
        <v/>
      </c>
      <c r="AB32" s="51" t="str">
        <f aca="false">IF(Tasks[[#This Row],[Task Name]]="","",IF(IF(Tasks[[#This Row],[_IsSummary]],COUNTIF(INDEX(Tasks[_LeafCritical],Tasks[[#This Row],[_Row]]+1):INDEX(Tasks[_LeafCritical],Tasks[[#This Row],[_Row]]+Tasks[[#This Row],[_Descendants]]),TRUE())&gt;0,Tasks[[#This Row],[_LeafCritical]]),"Yes",""))</f>
        <v/>
      </c>
      <c r="AC3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2" s="51" t="str">
        <f aca="false">IF(Tasks[[#This Row],[Task Name]]="","",IF(Tasks[[#This Row],[_Level]]&lt;=OutlineShowLevel,"Yes","No"))</f>
        <v/>
      </c>
      <c r="AE32" s="7"/>
      <c r="AF32" s="52"/>
      <c r="AG32" s="53"/>
      <c r="AH32" s="7"/>
      <c r="AI3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2" s="31" t="str">
        <f aca="false">IF(Tasks[[#This Row],[Task Name]]="","",IF(N(Tasks[[#This Row],[Baseline Start]])&gt;0,Tasks[[#This Row],[Baseline Start]],Tasks[[#This Row],[_CalcStart]]))</f>
        <v/>
      </c>
      <c r="AK32" s="31" t="str">
        <f aca="false">IF(Tasks[[#This Row],[Task Name]]="","",IF(N(Tasks[[#This Row],[Baseline Finish]])&gt;0,Tasks[[#This Row],[Baseline Finish]],Tasks[[#This Row],[_CalcFinish]]))</f>
        <v/>
      </c>
      <c r="AL3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2" s="31" t="str">
        <f aca="false">IF(Tasks[[#This Row],[Task Name]]="","",IF(Tasks[[#This Row],[_IsSummary]],MIN(INDEX(Tasks[_LeafLateStart],Tasks[[#This Row],[_Row]]+1):INDEX(Tasks[_LeafLateStart],Tasks[[#This Row],[_Row]]+Tasks[[#This Row],[_Descendants]])),Tasks[[#This Row],[_LeafLateStart]]))</f>
        <v/>
      </c>
      <c r="AN32" s="31" t="str">
        <f aca="false">IF(Tasks[[#This Row],[Task Name]]="","",IF(Tasks[[#This Row],[_IsSummary]],MAX(INDEX(Tasks[_LeafLateFinish],Tasks[[#This Row],[_Row]]+1):INDEX(Tasks[_LeafLateFinish],Tasks[[#This Row],[_Row]]+Tasks[[#This Row],[_Descendants]])),Tasks[[#This Row],[_LeafLateFinish]]))</f>
        <v/>
      </c>
      <c r="AO32" s="51" t="str">
        <f aca="false">IF(Tasks[[#This Row],[Task Name]]="","",IF(Tasks[[#This Row],[_IsSummary]],MIN(INDEX(Tasks[_LeafTotalSlack],Tasks[[#This Row],[_Row]]+1):INDEX(Tasks[_LeafTotalSlack],Tasks[[#This Row],[_Row]]+Tasks[[#This Row],[_Descendants]])),Tasks[[#This Row],[_LeafTotalSlack]]))</f>
        <v/>
      </c>
      <c r="AP3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2" s="110" t="str">
        <f aca="false">IF(Tasks[[#This Row],[Task Name]]="","",IF(Tasks[[#This Row],[_IsSummary]],SUM(INDEX(Tasks[_LeafTotalWork],Tasks[[#This Row],[_Row]]+1):INDEX(Tasks[_LeafTotalWork],Tasks[[#This Row],[_Row]]+Tasks[[#This Row],[_Descendants]])),Tasks[[#This Row],[_LeafTotalWork]]))</f>
        <v/>
      </c>
      <c r="AV3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2" s="111" t="str">
        <f aca="false">IF(Tasks[[#This Row],[Task Name]]="","",IF(Tasks[[#This Row],[_IsSummary]],SUM(INDEX(Tasks[_LeafTotalCost],Tasks[[#This Row],[_Row]]+1):INDEX(Tasks[_LeafTotalCost],Tasks[[#This Row],[_Row]]+Tasks[[#This Row],[_Descendants]])),Tasks[[#This Row],[_LeafTotalCost]]))</f>
        <v/>
      </c>
      <c r="AY32" s="112"/>
      <c r="AZ3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2" s="52"/>
      <c r="BB32" s="98"/>
      <c r="BC32" s="51" t="str">
        <f aca="false">IF(OR(Tasks[[#This Row],[Task Name]]="",Tasks[[#This Row],[Baseline Duration]]=""),"",Tasks[[#This Row],[BL Source Duration]]-N(Tasks[[#This Row],[Baseline Duration]]))</f>
        <v/>
      </c>
      <c r="BD32" s="110" t="str">
        <f aca="false">IF(OR(Tasks[[#This Row],[Task Name]]="",Tasks[[#This Row],[Baseline Work]]=""),"",Tasks[[#This Row],[Work]]-N(Tasks[[#This Row],[Baseline Work]]))</f>
        <v/>
      </c>
      <c r="BE32" s="111" t="str">
        <f aca="false">IF(OR(Tasks[[#This Row],[Task Name]]="",Tasks[[#This Row],[Baseline Cost]]=""),"",Tasks[[#This Row],[Cost]]-N(Tasks[[#This Row],[Baseline Cost]]))</f>
        <v/>
      </c>
      <c r="BF32" s="31" t="str">
        <f aca="false">IF(Tasks[[#This Row],[Task Name]]="","",Tasks[[#This Row],[Forecast Start]])</f>
        <v/>
      </c>
      <c r="BG32" s="31" t="str">
        <f aca="false">IF(Tasks[[#This Row],[Task Name]]="","",Tasks[[#This Row],[Forecast Finish]])</f>
        <v/>
      </c>
      <c r="BH32" s="51" t="str">
        <f aca="false">IF(Tasks[[#This Row],[Task Name]]="","",IF(Tasks[[#This Row],[_IsSummary]],NETWORKDAYS.INTL(Tasks[[#This Row],[Forecast Start]],Tasks[[#This Row],[Forecast Finish]],WorkWeek,Holidays),N(Tasks[[#This Row],[Duration]])))</f>
        <v/>
      </c>
      <c r="BI32" s="110" t="str">
        <f aca="false">IF(Tasks[[#This Row],[Task Name]]="","",Tasks[[#This Row],[Work]])</f>
        <v/>
      </c>
      <c r="BJ32" s="111" t="str">
        <f aca="false">IF(Tasks[[#This Row],[Task Name]]="","",Tasks[[#This Row],[Cost]])</f>
        <v/>
      </c>
      <c r="BK32" s="7"/>
      <c r="BL32" s="7"/>
      <c r="BM32" s="52"/>
      <c r="BN32" s="113"/>
      <c r="BO32" s="112"/>
      <c r="BP32" s="111" t="str">
        <f aca="false">IF(Tasks[[#This Row],[Task Name]]="","",IF(Tasks[[#This Row],[_IsSummary]],SUM(INDEX(Tasks[_LeafEV],Tasks[[#This Row],[_Row]]+1):INDEX(Tasks[_LeafEV],Tasks[[#This Row],[_Row]]+Tasks[[#This Row],[_Descendants]])),Tasks[[#This Row],[_LeafEV]]))</f>
        <v/>
      </c>
      <c r="BQ32" s="111" t="str">
        <f aca="false">IF(Tasks[[#This Row],[Task Name]]="","",IF(Tasks[[#This Row],[_IsSummary]],SUM(INDEX(Tasks[_LeafBudget],Tasks[[#This Row],[_Row]]+1):INDEX(Tasks[_LeafBudget],Tasks[[#This Row],[_Row]]+Tasks[[#This Row],[_Descendants]])),Tasks[[#This Row],[_LeafBudget]]))</f>
        <v/>
      </c>
      <c r="BR32" s="111" t="str">
        <f aca="false">IF(Tasks[[#This Row],[Task Name]]="","",IF(Tasks[[#This Row],[_IsSummary]],SUM(INDEX(Tasks[_LeafPV],Tasks[[#This Row],[_Row]]+1):INDEX(Tasks[_LeafPV],Tasks[[#This Row],[_Row]]+Tasks[[#This Row],[_Descendants]])),Tasks[[#This Row],[_LeafPV]]))</f>
        <v/>
      </c>
      <c r="BS32" s="111" t="str">
        <f aca="false">IF(Tasks[[#This Row],[Task Name]]="","",IF(Tasks[[#This Row],[_IsSummary]],SUM(INDEX(Tasks[_LeafAC],Tasks[[#This Row],[_Row]]+1):INDEX(Tasks[_LeafAC],Tasks[[#This Row],[_Row]]+Tasks[[#This Row],[_Descendants]])),Tasks[[#This Row],[_LeafAC]]))</f>
        <v/>
      </c>
      <c r="BT32" s="38" t="str">
        <f aca="false">IF(Tasks[[#This Row],[Task Name]]="","",MAX(1,N(Tasks[[#This Row],[Level]])))</f>
        <v/>
      </c>
      <c r="BU32" s="38" t="n">
        <f aca="false">ROW()-ROW(Tasks[[#Headers],[ID]])</f>
        <v>27</v>
      </c>
      <c r="BV32" s="38" t="n">
        <f aca="false">IF(OR(Tasks[[#This Row],[Task Name]]="",Tasks[[#This Row],[_Level]]&lt;=1),0,IFERROR(LOOKUP(2,1/(Tasks[[#Headers],[_Level]]:Tasks[[#This Row],[_Level]]=Tasks[[#This Row],[_Level]]-1),ROW(Tasks[[#Headers],[_Level]]:Tasks[[#This Row],[_Level]])),0))</f>
        <v>0</v>
      </c>
      <c r="BW32" s="38" t="n">
        <f aca="false">IFERROR(N(INDEX(Tasks[_Level],Tasks[[#This Row],[_Row]]+1)),0)</f>
        <v>0</v>
      </c>
      <c r="BX32" s="114" t="b">
        <f aca="false">AND(Tasks[[#This Row],[Task Name]]&lt;&gt;"",Tasks[[#This Row],[_NextLevel]]&gt;Tasks[[#This Row],[_Level]])</f>
        <v>0</v>
      </c>
      <c r="BY32" s="38" t="n">
        <f aca="false">IF(Tasks[[#This Row],[_IsSummary]],COUNTIF(Tasks[WBS],Tasks[[#This Row],[WBS]]&amp;".*"),0)</f>
        <v>0</v>
      </c>
      <c r="BZ32" s="38" t="n">
        <f aca="false">IF(AND(Tasks[[#This Row],[Task Name]]&lt;&gt;"",NOT(Tasks[[#This Row],[_IsSummary]])),1,0)</f>
        <v>0</v>
      </c>
      <c r="CA32" s="38" t="n">
        <f aca="false">IF(N(Tasks[[#This Row],[Pred1 UID]])=0,0,IFERROR(MATCH(Tasks[[#This Row],[Pred1 UID]],Tasks[UID],0),-1))</f>
        <v>0</v>
      </c>
      <c r="CB32" s="38" t="n">
        <f aca="false">IF(N(Tasks[[#This Row],[Pred2 UID]])=0,0,IFERROR(MATCH(Tasks[[#This Row],[Pred2 UID]],Tasks[UID],0),-1))</f>
        <v>0</v>
      </c>
      <c r="CC32" s="38" t="n">
        <f aca="false">IF(N(Tasks[[#This Row],[Pred3 UID]])=0,0,IFERROR(MATCH(Tasks[[#This Row],[Pred3 UID]],Tasks[UID],0),-1))</f>
        <v>0</v>
      </c>
      <c r="CD32" s="38" t="n">
        <f aca="false">IF(N(Tasks[[#This Row],[Pred4 UID]])=0,0,IFERROR(MATCH(Tasks[[#This Row],[Pred4 UID]],Tasks[UID],0),-1))</f>
        <v>0</v>
      </c>
      <c r="CE3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2" s="115" t="n">
        <f aca="false">IF(OR(Tasks[[#This Row],[_ConstraintCode]]=2,Tasks[[#This Row],[_ConstraintCode]]=3,Tasks[[#This Row],[_ConstraintCode]]=4,Tasks[[#This Row],[_ConstraintCode]]=6),Tasks[[#This Row],[_ConstraintStart]],0)</f>
        <v>0</v>
      </c>
      <c r="CH32" s="115" t="n">
        <f aca="false">IF(OR(Tasks[[#This Row],[_ConstraintCode]]=2,Tasks[[#This Row],[_ConstraintCode]]=3,Tasks[[#This Row],[_ConstraintCode]]=5,Tasks[[#This Row],[_ConstraintCode]]=7),Tasks[[#This Row],[_ConstraintStart]],2958465)</f>
        <v>2958465</v>
      </c>
      <c r="CI3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2" s="115" t="str">
        <f aca="false">IF(NOT(Tasks[[#This Row],[_IsLeaf]]=1),"",IF(N(Tasks[[#This Row],[Duration]])&lt;=0,Tasks[[#This Row],[_LeafCalcStart]],WORKDAY.INTL(Tasks[[#This Row],[_LeafCalcStart]],Tasks[[#This Row],[Duration]]-1,WorkWeek,Holidays)))</f>
        <v/>
      </c>
      <c r="CK3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2" s="38" t="n">
        <f aca="false">IF(NOT(Tasks[[#This Row],[_IsLeaf]]=1),0,IF(N(Tasks[[#This Row],[Actual Finish]])&gt;0,1,MIN(1,N(Tasks[[#This Row],[% Complete]]))))</f>
        <v>0</v>
      </c>
      <c r="CN32" s="38" t="n">
        <f aca="false">IF(OR(NOT(Tasks[[#This Row],[_IsLeaf]]=1),Tasks[[#This Row],[Resource]]=""),0,N(Tasks[[#This Row],[Duration]])*HoursPerDay*IF(Tasks[[#This Row],[Units]]="",DefaultUnits,Tasks[[#This Row],[Units]]))</f>
        <v>0</v>
      </c>
      <c r="CO32" s="38" t="n">
        <f aca="false">IF(Tasks[[#This Row],[_LeafWork]]=0,0,Tasks[[#This Row],[_LeafWork]]*IFERROR(INDEX(res_Rate,MATCH(Tasks[[#This Row],[Resource]],res_Name,0)),0))</f>
        <v>0</v>
      </c>
      <c r="CP32" s="38" t="n">
        <f aca="false">Tasks[[#This Row],[_LeafWork]]+IF(Tasks[[#This Row],[_IsLeaf]]=1,SUMIFS(asg_Work,asg_TaskUID,Tasks[[#This Row],[UID]],asg_Valid,1),0)</f>
        <v>0</v>
      </c>
      <c r="CQ32" s="38" t="n">
        <f aca="false">Tasks[[#This Row],[_LeafCost]]+IF(Tasks[[#This Row],[_IsLeaf]]=1,SUMIFS(asg_Cost,asg_TaskUID,Tasks[[#This Row],[UID]],asg_Valid,1),0)</f>
        <v>0</v>
      </c>
      <c r="CR32" s="38" t="n">
        <f aca="false">IF(Tasks[[#This Row],[_LeafTotalCost]]=0,Tasks[[#This Row],[_LeafAC]],Tasks[[#This Row],[_LeafAC]]*Tasks[[#This Row],[_LeafCost]]/Tasks[[#This Row],[_LeafTotalCost]])</f>
        <v>0</v>
      </c>
      <c r="CS3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2" s="38" t="n">
        <f aca="false">IF(NOT(Tasks[[#This Row],[_IsLeaf]]=1),0,MAX(_xlfn.MAXIFS(Tasks[_Row],Tasks[Pred1 UID],Tasks[[#This Row],[UID]]),_xlfn.MAXIFS(Tasks[_Row],Tasks[Pred2 UID],Tasks[[#This Row],[UID]]),_xlfn.MAXIFS(Tasks[_Row],Tasks[Pred3 UID],Tasks[[#This Row],[UID]]),_xlfn.MAXIFS(Tasks[_Row],Tasks[Pred4 UID],Tasks[[#This Row],[UID]])))</f>
        <v>0</v>
      </c>
      <c r="DB3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2" s="115" t="str">
        <f aca="false">IF(NOT(Tasks[[#This Row],[_IsLeaf]]=1),"",IF(N(Tasks[[#This Row],[Duration]])&lt;=0,Tasks[[#This Row],[_LeafLateFinish]],WORKDAY.INTL(Tasks[[#This Row],[_LeafLateFinish]],-(Tasks[[#This Row],[Duration]]-1),WorkWeek,Holidays)))</f>
        <v/>
      </c>
      <c r="DE3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2" s="114" t="b">
        <f aca="false">AND(Tasks[[#This Row],[_IsLeaf]]=1,Tasks[[#This Row],[_LeafProgress]]&lt;1,N(Tasks[[#This Row],[_LeafTotalSlack]])&lt;=CriticalSlackDays)</f>
        <v>0</v>
      </c>
      <c r="DG32" s="38" t="n">
        <f aca="false">IF(AND(Tasks[[#This Row],[_IsLeaf]]=1,Tasks[[#This Row],[_ConstraintCode]]=1,Tasks[[#This Row],[Mode]]&lt;&gt;"Manual",N(Tasks[[#This Row],[Actual Start]])=0),MAX(0,N(Tasks[[#This Row],[Free Slack]])),0)</f>
        <v>0</v>
      </c>
      <c r="DH32" s="115" t="str">
        <f aca="false">IF(NOT(Tasks[[#This Row],[_IsLeaf]]=1),"",IF(Tasks[[#This Row],[_AlapShift]]=0,Tasks[[#This Row],[_LeafCalcStart]],WORKDAY.INTL(Tasks[[#This Row],[_LeafCalcStart]],Tasks[[#This Row],[_AlapShift]],WorkWeek,Holidays)))</f>
        <v/>
      </c>
      <c r="DI32" s="115" t="str">
        <f aca="false">IF(NOT(Tasks[[#This Row],[_IsLeaf]]=1),"",IF(Tasks[[#This Row],[_AlapShift]]=0,Tasks[[#This Row],[_LeafCalcFinish]],WORKDAY.INTL(Tasks[[#This Row],[_LeafCalcFinish]],Tasks[[#This Row],[_AlapShift]],WorkWeek,Holidays)))</f>
        <v/>
      </c>
      <c r="DJ32" s="115" t="str">
        <f aca="false">IF(NOT(Tasks[[#This Row],[_IsLeaf]]=1),"",IF(Tasks[[#This Row],[_AlapShift]]=0,Tasks[[#This Row],[_LeafFcstStart]],WORKDAY.INTL(Tasks[[#This Row],[_LeafFcstStart]],Tasks[[#This Row],[_AlapShift]],WorkWeek,Holidays)))</f>
        <v/>
      </c>
      <c r="DK32" s="115" t="str">
        <f aca="false">IF(NOT(Tasks[[#This Row],[_IsLeaf]]=1),"",IF(Tasks[[#This Row],[_AlapShift]]=0,Tasks[[#This Row],[_LeafFcstFinish]],WORKDAY.INTL(Tasks[[#This Row],[_LeafFcstFinish]],Tasks[[#This Row],[_AlapShift]],WorkWeek,Holidays)))</f>
        <v/>
      </c>
      <c r="DL32" s="115" t="str">
        <f aca="false">IF(Tasks[[#This Row],[Task Name]]="","",IF(Tasks[[#This Row],[_IsSummary]],MIN(INDEX(Tasks[_ShownCalcStart],Tasks[[#This Row],[_Row]]+1):INDEX(Tasks[_ShownCalcStart],Tasks[[#This Row],[_Row]]+Tasks[[#This Row],[_Descendants]])),Tasks[[#This Row],[_ShownCalcStart]]))</f>
        <v/>
      </c>
      <c r="DM32" s="115" t="str">
        <f aca="false">IF(Tasks[[#This Row],[Task Name]]="","",IF(Tasks[[#This Row],[_IsSummary]],MAX(INDEX(Tasks[_ShownCalcFinish],Tasks[[#This Row],[_Row]]+1):INDEX(Tasks[_ShownCalcFinish],Tasks[[#This Row],[_Row]]+Tasks[[#This Row],[_Descendants]])),Tasks[[#This Row],[_ShownCalcFinish]]))</f>
        <v/>
      </c>
      <c r="DN3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2" s="38" t="n">
        <f aca="false">IF(AND(Tasks[[#This Row],[_IsLeaf]]=1,Tasks[[#This Row],[_LeafTotalWork]]&gt;0),NETWORKDAYS.INTL(ProjectStart,Tasks[[#This Row],[_ShownFcstStart]],WorkWeek,Holidays),0)</f>
        <v>0</v>
      </c>
      <c r="EA32" s="38" t="n">
        <f aca="false">IF(AND(Tasks[[#This Row],[_IsLeaf]]=1,Tasks[[#This Row],[_LeafTotalWork]]&gt;0),MAX(Tasks[[#This Row],[_StartWorkday]],NETWORKDAYS.INTL(ProjectStart,Tasks[[#This Row],[_ShownFcstFinish]],WorkWeek,Holidays)),0)</f>
        <v>0</v>
      </c>
      <c r="EB32" s="38" t="n">
        <f aca="false">IF(AND(Tasks[[#This Row],[_IsLeaf]]=1,Tasks[[#This Row],[_LeafTotalWork]]&gt;0),Tasks[[#This Row],[_LeafWork]]/(Tasks[[#This Row],[_FinishWorkday]]-Tasks[[#This Row],[_StartWorkday]]+1),0)</f>
        <v>0</v>
      </c>
      <c r="EC32" s="38" t="n">
        <f aca="false">Tasks[[#This Row],[_WorkPerWorkday]]*(Tasks[[#This Row],[_StartWorkday]]-1)</f>
        <v>-0</v>
      </c>
      <c r="ED32" s="38" t="n">
        <f aca="false">IF(Tasks[[#This Row],[_IsLeaf]]=1,MAX(N(Tasks[[#This Row],[Duration]]),0.1),0)</f>
        <v>0</v>
      </c>
      <c r="EE32" s="38" t="n">
        <f aca="false">Tasks[[#This Row],[_WeightDur]]*Tasks[[#This Row],[_LeafProgress]]</f>
        <v>0</v>
      </c>
      <c r="EF3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2" s="38" t="str">
        <f aca="false">IF(AND(Tasks[[#This Row],[_IsLeaf]]=1,N(Tasks[[#This Row],[Duration]])=0,Tasks[[#This Row],[_LeafProgress]]&lt;1),Tasks[[#This Row],[_ShownFcstFinish]]+Tasks[[#This Row],[_Row]]/100000,"")</f>
        <v/>
      </c>
      <c r="EH3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2" s="38" t="n">
        <f aca="false">IF(NOT(Tasks[[#This Row],[_IsLeaf]]=1),0,IF(Tasks[[#This Row],[Baseline Cost]]="",Tasks[[#This Row],[_LeafTotalCost]],N(Tasks[[#This Row],[Baseline Cost]])))</f>
        <v>0</v>
      </c>
      <c r="EJ32" s="38" t="n">
        <f aca="false">Tasks[[#This Row],[_LeafBudget]]*Tasks[[#This Row],[_PlannedPct]]</f>
        <v>0</v>
      </c>
      <c r="EK32" s="38" t="n">
        <f aca="false">Tasks[[#This Row],[_LeafBudget]]*Tasks[[#This Row],[_LeafProgress]]</f>
        <v>0</v>
      </c>
      <c r="EL32" s="38" t="n">
        <f aca="false">IF(NOT(Tasks[[#This Row],[_IsLeaf]]=1),0,IF(Tasks[[#This Row],[Actual Cost]]="",Tasks[[#This Row],[_LeafTotalCost]]*Tasks[[#This Row],[_LeafProgress]],N(Tasks[[#This Row],[Actual Cost]])))</f>
        <v>0</v>
      </c>
      <c r="EM32" s="38" t="str">
        <f aca="false">IF(Tasks[[#This Row],[Task Name]]="","",LEFT(Tasks[[#This Row],[WBS]],FIND(".",Tasks[[#This Row],[WBS]]&amp;".")-1))</f>
        <v/>
      </c>
      <c r="EN32" s="38" t="str">
        <f aca="false">IF(AND(Tasks[[#This Row],[Task Name]]&lt;&gt;"",Tasks[[#This Row],[_Level]]=1),Tasks[[#This Row],[_Row]],"")</f>
        <v/>
      </c>
      <c r="EO32" s="38" t="str">
        <f aca="false">IF(AND(Tasks[[#This Row],[_IsLeaf]]=1,N(Tasks[[#This Row],[Duration]])=0),Tasks[[#This Row],[Planned Finish]]+Tasks[[#This Row],[_Row]]/100000,"")</f>
        <v/>
      </c>
      <c r="EP32" s="38" t="str">
        <f aca="false">IF(AND(Tasks[[#This Row],[_IsLeaf]]=1,Tasks[[#This Row],[_LeafProgress]]&lt;1,OR(N(Tasks[[#This Row],[Finish Var]])&gt;0,Tasks[[#This Row],[Status]]="Late Start")),MAX(0,Tasks[[#This Row],[Finish Var]])+1-Tasks[[#This Row],[_Row]]/1000000,"")</f>
        <v/>
      </c>
      <c r="EQ32" s="38" t="str">
        <f aca="false">IF(AND(Tasks[[#This Row],[_IsLeaf]]=1,N(Tasks[[#This Row],[Actual Start]])=0,Tasks[[#This Row],[_ShownFcstStart]]&gt;=StatusDate,Tasks[[#This Row],[_ShownFcstStart]]&lt;=LookaheadEnd),Tasks[[#This Row],[_ShownFcstStart]]+Tasks[[#This Row],[_Row]]/100000,"")</f>
        <v/>
      </c>
      <c r="ER32" s="38" t="str">
        <f aca="false">IF(AND(Tasks[[#This Row],[_IsLeaf]]=1,Tasks[[#This Row],[_LeafProgress]]&lt;1,Tasks[[#This Row],[_ShownFcstFinish]]&gt;=StatusDate,Tasks[[#This Row],[_ShownFcstFinish]]&lt;=LookaheadEnd),Tasks[[#This Row],[_ShownFcstFinish]]+Tasks[[#This Row],[_Row]]/100000,"")</f>
        <v/>
      </c>
      <c r="ES32" s="38" t="str">
        <f aca="false">IF(Tasks[[#This Row],[_LeafCritical]],Tasks[[#This Row],[_ShownFcstStart]]+Tasks[[#This Row],[_Row]]/100000,"")</f>
        <v/>
      </c>
      <c r="ET32" s="38" t="n">
        <f aca="false">Tasks[[#This Row],[_LeafWork]]*Tasks[[#This Row],[_LeafProgress]]</f>
        <v>0</v>
      </c>
      <c r="EU32" s="115" t="str">
        <f aca="false">IF(AND(Tasks[[#This Row],[_IsLeaf]]=1,Tasks[[#This Row],[_LeafProgress]]&gt;=1),IF(N(Tasks[[#This Row],[Actual Finish]])&gt;0,Tasks[[#This Row],[Actual Finish]],Tasks[[#This Row],[_ShownFcstFinish]]),"")</f>
        <v/>
      </c>
      <c r="EV32" s="38" t="n">
        <f aca="false">IF(Tasks[[#This Row],[_IsLeaf]]=1,N(Tasks[[#This Row],[Story Points]]),0)</f>
        <v>0</v>
      </c>
      <c r="EW32" s="38" t="str">
        <f aca="false">IF(AND(Tasks[[#This Row],[_IsLeaf]]=1,CurrentSprint&lt;&gt;"",Tasks[[#This Row],[Sprint]]=CurrentSprint),Tasks[[#This Row],[_Row]],"")</f>
        <v/>
      </c>
    </row>
    <row r="33" customFormat="false" ht="15" hidden="false" customHeight="false" outlineLevel="0" collapsed="false">
      <c r="A33" s="51" t="str">
        <f aca="false">IF(Tasks[[#This Row],[Task Name]]="","",COUNTA(Tasks[[#Headers],[Task Name]]:Tasks[[#This Row],[Task Name]])-1)</f>
        <v/>
      </c>
      <c r="B33" s="52" t="n">
        <v>28</v>
      </c>
      <c r="C3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3" s="52"/>
      <c r="E33" s="53"/>
      <c r="F33" s="52"/>
      <c r="G33" s="52"/>
      <c r="H33" s="52"/>
      <c r="I33" s="52"/>
      <c r="J33" s="52"/>
      <c r="K33" s="52"/>
      <c r="L33" s="52"/>
      <c r="M33" s="52"/>
      <c r="N33" s="52"/>
      <c r="O33" s="52"/>
      <c r="P33" s="52"/>
      <c r="Q33" s="52"/>
      <c r="R33" s="52"/>
      <c r="S33" s="53"/>
      <c r="T33" s="102"/>
      <c r="U33" s="102"/>
      <c r="V33" s="7"/>
      <c r="W33" s="7"/>
      <c r="X33" s="53"/>
      <c r="Y33" s="31" t="str">
        <f aca="false">IF(Tasks[[#This Row],[Task Name]]="","",IF(Tasks[[#This Row],[_IsSummary]],MIN(INDEX(Tasks[_ShownFcstStart],Tasks[[#This Row],[_Row]]+1):INDEX(Tasks[_ShownFcstStart],Tasks[[#This Row],[_Row]]+Tasks[[#This Row],[_Descendants]])),Tasks[[#This Row],[_ShownFcstStart]]))</f>
        <v/>
      </c>
      <c r="Z33" s="31" t="str">
        <f aca="false">IF(Tasks[[#This Row],[Task Name]]="","",IF(Tasks[[#This Row],[_IsSummary]],MAX(INDEX(Tasks[_ShownFcstFinish],Tasks[[#This Row],[_Row]]+1):INDEX(Tasks[_ShownFcstFinish],Tasks[[#This Row],[_Row]]+Tasks[[#This Row],[_Descendants]])),Tasks[[#This Row],[_ShownFcstFinish]]))</f>
        <v/>
      </c>
      <c r="AA33" s="51" t="str">
        <f aca="false">IF(Tasks[[#This Row],[Task Name]]="","",IF(Tasks[[#This Row],[Progress]]&gt;=1,"Complete",IF(OR(N(Tasks[[#This Row],[Actual Start]])&gt;0,Tasks[[#This Row],[Progress]]&gt;0),IF(Tasks[[#This Row],[Finish Var]]&gt;0,"Behind","In Progress"),IF(Tasks[[#This Row],[Planned Start]]&lt;StatusDate,"Late Start","Not Started"))))</f>
        <v/>
      </c>
      <c r="AB33" s="51" t="str">
        <f aca="false">IF(Tasks[[#This Row],[Task Name]]="","",IF(IF(Tasks[[#This Row],[_IsSummary]],COUNTIF(INDEX(Tasks[_LeafCritical],Tasks[[#This Row],[_Row]]+1):INDEX(Tasks[_LeafCritical],Tasks[[#This Row],[_Row]]+Tasks[[#This Row],[_Descendants]]),TRUE())&gt;0,Tasks[[#This Row],[_LeafCritical]]),"Yes",""))</f>
        <v/>
      </c>
      <c r="AC3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3" s="51" t="str">
        <f aca="false">IF(Tasks[[#This Row],[Task Name]]="","",IF(Tasks[[#This Row],[_Level]]&lt;=OutlineShowLevel,"Yes","No"))</f>
        <v/>
      </c>
      <c r="AE33" s="7"/>
      <c r="AF33" s="52"/>
      <c r="AG33" s="53"/>
      <c r="AH33" s="7"/>
      <c r="AI3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3" s="31" t="str">
        <f aca="false">IF(Tasks[[#This Row],[Task Name]]="","",IF(N(Tasks[[#This Row],[Baseline Start]])&gt;0,Tasks[[#This Row],[Baseline Start]],Tasks[[#This Row],[_CalcStart]]))</f>
        <v/>
      </c>
      <c r="AK33" s="31" t="str">
        <f aca="false">IF(Tasks[[#This Row],[Task Name]]="","",IF(N(Tasks[[#This Row],[Baseline Finish]])&gt;0,Tasks[[#This Row],[Baseline Finish]],Tasks[[#This Row],[_CalcFinish]]))</f>
        <v/>
      </c>
      <c r="AL3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3" s="31" t="str">
        <f aca="false">IF(Tasks[[#This Row],[Task Name]]="","",IF(Tasks[[#This Row],[_IsSummary]],MIN(INDEX(Tasks[_LeafLateStart],Tasks[[#This Row],[_Row]]+1):INDEX(Tasks[_LeafLateStart],Tasks[[#This Row],[_Row]]+Tasks[[#This Row],[_Descendants]])),Tasks[[#This Row],[_LeafLateStart]]))</f>
        <v/>
      </c>
      <c r="AN33" s="31" t="str">
        <f aca="false">IF(Tasks[[#This Row],[Task Name]]="","",IF(Tasks[[#This Row],[_IsSummary]],MAX(INDEX(Tasks[_LeafLateFinish],Tasks[[#This Row],[_Row]]+1):INDEX(Tasks[_LeafLateFinish],Tasks[[#This Row],[_Row]]+Tasks[[#This Row],[_Descendants]])),Tasks[[#This Row],[_LeafLateFinish]]))</f>
        <v/>
      </c>
      <c r="AO33" s="51" t="str">
        <f aca="false">IF(Tasks[[#This Row],[Task Name]]="","",IF(Tasks[[#This Row],[_IsSummary]],MIN(INDEX(Tasks[_LeafTotalSlack],Tasks[[#This Row],[_Row]]+1):INDEX(Tasks[_LeafTotalSlack],Tasks[[#This Row],[_Row]]+Tasks[[#This Row],[_Descendants]])),Tasks[[#This Row],[_LeafTotalSlack]]))</f>
        <v/>
      </c>
      <c r="AP3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3" s="110" t="str">
        <f aca="false">IF(Tasks[[#This Row],[Task Name]]="","",IF(Tasks[[#This Row],[_IsSummary]],SUM(INDEX(Tasks[_LeafTotalWork],Tasks[[#This Row],[_Row]]+1):INDEX(Tasks[_LeafTotalWork],Tasks[[#This Row],[_Row]]+Tasks[[#This Row],[_Descendants]])),Tasks[[#This Row],[_LeafTotalWork]]))</f>
        <v/>
      </c>
      <c r="AV3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3" s="111" t="str">
        <f aca="false">IF(Tasks[[#This Row],[Task Name]]="","",IF(Tasks[[#This Row],[_IsSummary]],SUM(INDEX(Tasks[_LeafTotalCost],Tasks[[#This Row],[_Row]]+1):INDEX(Tasks[_LeafTotalCost],Tasks[[#This Row],[_Row]]+Tasks[[#This Row],[_Descendants]])),Tasks[[#This Row],[_LeafTotalCost]]))</f>
        <v/>
      </c>
      <c r="AY33" s="112"/>
      <c r="AZ3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3" s="52"/>
      <c r="BB33" s="98"/>
      <c r="BC33" s="51" t="str">
        <f aca="false">IF(OR(Tasks[[#This Row],[Task Name]]="",Tasks[[#This Row],[Baseline Duration]]=""),"",Tasks[[#This Row],[BL Source Duration]]-N(Tasks[[#This Row],[Baseline Duration]]))</f>
        <v/>
      </c>
      <c r="BD33" s="110" t="str">
        <f aca="false">IF(OR(Tasks[[#This Row],[Task Name]]="",Tasks[[#This Row],[Baseline Work]]=""),"",Tasks[[#This Row],[Work]]-N(Tasks[[#This Row],[Baseline Work]]))</f>
        <v/>
      </c>
      <c r="BE33" s="111" t="str">
        <f aca="false">IF(OR(Tasks[[#This Row],[Task Name]]="",Tasks[[#This Row],[Baseline Cost]]=""),"",Tasks[[#This Row],[Cost]]-N(Tasks[[#This Row],[Baseline Cost]]))</f>
        <v/>
      </c>
      <c r="BF33" s="31" t="str">
        <f aca="false">IF(Tasks[[#This Row],[Task Name]]="","",Tasks[[#This Row],[Forecast Start]])</f>
        <v/>
      </c>
      <c r="BG33" s="31" t="str">
        <f aca="false">IF(Tasks[[#This Row],[Task Name]]="","",Tasks[[#This Row],[Forecast Finish]])</f>
        <v/>
      </c>
      <c r="BH33" s="51" t="str">
        <f aca="false">IF(Tasks[[#This Row],[Task Name]]="","",IF(Tasks[[#This Row],[_IsSummary]],NETWORKDAYS.INTL(Tasks[[#This Row],[Forecast Start]],Tasks[[#This Row],[Forecast Finish]],WorkWeek,Holidays),N(Tasks[[#This Row],[Duration]])))</f>
        <v/>
      </c>
      <c r="BI33" s="110" t="str">
        <f aca="false">IF(Tasks[[#This Row],[Task Name]]="","",Tasks[[#This Row],[Work]])</f>
        <v/>
      </c>
      <c r="BJ33" s="111" t="str">
        <f aca="false">IF(Tasks[[#This Row],[Task Name]]="","",Tasks[[#This Row],[Cost]])</f>
        <v/>
      </c>
      <c r="BK33" s="7"/>
      <c r="BL33" s="7"/>
      <c r="BM33" s="52"/>
      <c r="BN33" s="113"/>
      <c r="BO33" s="112"/>
      <c r="BP33" s="111" t="str">
        <f aca="false">IF(Tasks[[#This Row],[Task Name]]="","",IF(Tasks[[#This Row],[_IsSummary]],SUM(INDEX(Tasks[_LeafEV],Tasks[[#This Row],[_Row]]+1):INDEX(Tasks[_LeafEV],Tasks[[#This Row],[_Row]]+Tasks[[#This Row],[_Descendants]])),Tasks[[#This Row],[_LeafEV]]))</f>
        <v/>
      </c>
      <c r="BQ33" s="111" t="str">
        <f aca="false">IF(Tasks[[#This Row],[Task Name]]="","",IF(Tasks[[#This Row],[_IsSummary]],SUM(INDEX(Tasks[_LeafBudget],Tasks[[#This Row],[_Row]]+1):INDEX(Tasks[_LeafBudget],Tasks[[#This Row],[_Row]]+Tasks[[#This Row],[_Descendants]])),Tasks[[#This Row],[_LeafBudget]]))</f>
        <v/>
      </c>
      <c r="BR33" s="111" t="str">
        <f aca="false">IF(Tasks[[#This Row],[Task Name]]="","",IF(Tasks[[#This Row],[_IsSummary]],SUM(INDEX(Tasks[_LeafPV],Tasks[[#This Row],[_Row]]+1):INDEX(Tasks[_LeafPV],Tasks[[#This Row],[_Row]]+Tasks[[#This Row],[_Descendants]])),Tasks[[#This Row],[_LeafPV]]))</f>
        <v/>
      </c>
      <c r="BS33" s="111" t="str">
        <f aca="false">IF(Tasks[[#This Row],[Task Name]]="","",IF(Tasks[[#This Row],[_IsSummary]],SUM(INDEX(Tasks[_LeafAC],Tasks[[#This Row],[_Row]]+1):INDEX(Tasks[_LeafAC],Tasks[[#This Row],[_Row]]+Tasks[[#This Row],[_Descendants]])),Tasks[[#This Row],[_LeafAC]]))</f>
        <v/>
      </c>
      <c r="BT33" s="38" t="str">
        <f aca="false">IF(Tasks[[#This Row],[Task Name]]="","",MAX(1,N(Tasks[[#This Row],[Level]])))</f>
        <v/>
      </c>
      <c r="BU33" s="38" t="n">
        <f aca="false">ROW()-ROW(Tasks[[#Headers],[ID]])</f>
        <v>28</v>
      </c>
      <c r="BV33" s="38" t="n">
        <f aca="false">IF(OR(Tasks[[#This Row],[Task Name]]="",Tasks[[#This Row],[_Level]]&lt;=1),0,IFERROR(LOOKUP(2,1/(Tasks[[#Headers],[_Level]]:Tasks[[#This Row],[_Level]]=Tasks[[#This Row],[_Level]]-1),ROW(Tasks[[#Headers],[_Level]]:Tasks[[#This Row],[_Level]])),0))</f>
        <v>0</v>
      </c>
      <c r="BW33" s="38" t="n">
        <f aca="false">IFERROR(N(INDEX(Tasks[_Level],Tasks[[#This Row],[_Row]]+1)),0)</f>
        <v>0</v>
      </c>
      <c r="BX33" s="114" t="b">
        <f aca="false">AND(Tasks[[#This Row],[Task Name]]&lt;&gt;"",Tasks[[#This Row],[_NextLevel]]&gt;Tasks[[#This Row],[_Level]])</f>
        <v>0</v>
      </c>
      <c r="BY33" s="38" t="n">
        <f aca="false">IF(Tasks[[#This Row],[_IsSummary]],COUNTIF(Tasks[WBS],Tasks[[#This Row],[WBS]]&amp;".*"),0)</f>
        <v>0</v>
      </c>
      <c r="BZ33" s="38" t="n">
        <f aca="false">IF(AND(Tasks[[#This Row],[Task Name]]&lt;&gt;"",NOT(Tasks[[#This Row],[_IsSummary]])),1,0)</f>
        <v>0</v>
      </c>
      <c r="CA33" s="38" t="n">
        <f aca="false">IF(N(Tasks[[#This Row],[Pred1 UID]])=0,0,IFERROR(MATCH(Tasks[[#This Row],[Pred1 UID]],Tasks[UID],0),-1))</f>
        <v>0</v>
      </c>
      <c r="CB33" s="38" t="n">
        <f aca="false">IF(N(Tasks[[#This Row],[Pred2 UID]])=0,0,IFERROR(MATCH(Tasks[[#This Row],[Pred2 UID]],Tasks[UID],0),-1))</f>
        <v>0</v>
      </c>
      <c r="CC33" s="38" t="n">
        <f aca="false">IF(N(Tasks[[#This Row],[Pred3 UID]])=0,0,IFERROR(MATCH(Tasks[[#This Row],[Pred3 UID]],Tasks[UID],0),-1))</f>
        <v>0</v>
      </c>
      <c r="CD33" s="38" t="n">
        <f aca="false">IF(N(Tasks[[#This Row],[Pred4 UID]])=0,0,IFERROR(MATCH(Tasks[[#This Row],[Pred4 UID]],Tasks[UID],0),-1))</f>
        <v>0</v>
      </c>
      <c r="CE3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3" s="115" t="n">
        <f aca="false">IF(OR(Tasks[[#This Row],[_ConstraintCode]]=2,Tasks[[#This Row],[_ConstraintCode]]=3,Tasks[[#This Row],[_ConstraintCode]]=4,Tasks[[#This Row],[_ConstraintCode]]=6),Tasks[[#This Row],[_ConstraintStart]],0)</f>
        <v>0</v>
      </c>
      <c r="CH33" s="115" t="n">
        <f aca="false">IF(OR(Tasks[[#This Row],[_ConstraintCode]]=2,Tasks[[#This Row],[_ConstraintCode]]=3,Tasks[[#This Row],[_ConstraintCode]]=5,Tasks[[#This Row],[_ConstraintCode]]=7),Tasks[[#This Row],[_ConstraintStart]],2958465)</f>
        <v>2958465</v>
      </c>
      <c r="CI3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3" s="115" t="str">
        <f aca="false">IF(NOT(Tasks[[#This Row],[_IsLeaf]]=1),"",IF(N(Tasks[[#This Row],[Duration]])&lt;=0,Tasks[[#This Row],[_LeafCalcStart]],WORKDAY.INTL(Tasks[[#This Row],[_LeafCalcStart]],Tasks[[#This Row],[Duration]]-1,WorkWeek,Holidays)))</f>
        <v/>
      </c>
      <c r="CK3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3" s="38" t="n">
        <f aca="false">IF(NOT(Tasks[[#This Row],[_IsLeaf]]=1),0,IF(N(Tasks[[#This Row],[Actual Finish]])&gt;0,1,MIN(1,N(Tasks[[#This Row],[% Complete]]))))</f>
        <v>0</v>
      </c>
      <c r="CN33" s="38" t="n">
        <f aca="false">IF(OR(NOT(Tasks[[#This Row],[_IsLeaf]]=1),Tasks[[#This Row],[Resource]]=""),0,N(Tasks[[#This Row],[Duration]])*HoursPerDay*IF(Tasks[[#This Row],[Units]]="",DefaultUnits,Tasks[[#This Row],[Units]]))</f>
        <v>0</v>
      </c>
      <c r="CO33" s="38" t="n">
        <f aca="false">IF(Tasks[[#This Row],[_LeafWork]]=0,0,Tasks[[#This Row],[_LeafWork]]*IFERROR(INDEX(res_Rate,MATCH(Tasks[[#This Row],[Resource]],res_Name,0)),0))</f>
        <v>0</v>
      </c>
      <c r="CP33" s="38" t="n">
        <f aca="false">Tasks[[#This Row],[_LeafWork]]+IF(Tasks[[#This Row],[_IsLeaf]]=1,SUMIFS(asg_Work,asg_TaskUID,Tasks[[#This Row],[UID]],asg_Valid,1),0)</f>
        <v>0</v>
      </c>
      <c r="CQ33" s="38" t="n">
        <f aca="false">Tasks[[#This Row],[_LeafCost]]+IF(Tasks[[#This Row],[_IsLeaf]]=1,SUMIFS(asg_Cost,asg_TaskUID,Tasks[[#This Row],[UID]],asg_Valid,1),0)</f>
        <v>0</v>
      </c>
      <c r="CR33" s="38" t="n">
        <f aca="false">IF(Tasks[[#This Row],[_LeafTotalCost]]=0,Tasks[[#This Row],[_LeafAC]],Tasks[[#This Row],[_LeafAC]]*Tasks[[#This Row],[_LeafCost]]/Tasks[[#This Row],[_LeafTotalCost]])</f>
        <v>0</v>
      </c>
      <c r="CS3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3" s="38" t="n">
        <f aca="false">IF(NOT(Tasks[[#This Row],[_IsLeaf]]=1),0,MAX(_xlfn.MAXIFS(Tasks[_Row],Tasks[Pred1 UID],Tasks[[#This Row],[UID]]),_xlfn.MAXIFS(Tasks[_Row],Tasks[Pred2 UID],Tasks[[#This Row],[UID]]),_xlfn.MAXIFS(Tasks[_Row],Tasks[Pred3 UID],Tasks[[#This Row],[UID]]),_xlfn.MAXIFS(Tasks[_Row],Tasks[Pred4 UID],Tasks[[#This Row],[UID]])))</f>
        <v>0</v>
      </c>
      <c r="DB3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3" s="115" t="str">
        <f aca="false">IF(NOT(Tasks[[#This Row],[_IsLeaf]]=1),"",IF(N(Tasks[[#This Row],[Duration]])&lt;=0,Tasks[[#This Row],[_LeafLateFinish]],WORKDAY.INTL(Tasks[[#This Row],[_LeafLateFinish]],-(Tasks[[#This Row],[Duration]]-1),WorkWeek,Holidays)))</f>
        <v/>
      </c>
      <c r="DE3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3" s="114" t="b">
        <f aca="false">AND(Tasks[[#This Row],[_IsLeaf]]=1,Tasks[[#This Row],[_LeafProgress]]&lt;1,N(Tasks[[#This Row],[_LeafTotalSlack]])&lt;=CriticalSlackDays)</f>
        <v>0</v>
      </c>
      <c r="DG33" s="38" t="n">
        <f aca="false">IF(AND(Tasks[[#This Row],[_IsLeaf]]=1,Tasks[[#This Row],[_ConstraintCode]]=1,Tasks[[#This Row],[Mode]]&lt;&gt;"Manual",N(Tasks[[#This Row],[Actual Start]])=0),MAX(0,N(Tasks[[#This Row],[Free Slack]])),0)</f>
        <v>0</v>
      </c>
      <c r="DH33" s="115" t="str">
        <f aca="false">IF(NOT(Tasks[[#This Row],[_IsLeaf]]=1),"",IF(Tasks[[#This Row],[_AlapShift]]=0,Tasks[[#This Row],[_LeafCalcStart]],WORKDAY.INTL(Tasks[[#This Row],[_LeafCalcStart]],Tasks[[#This Row],[_AlapShift]],WorkWeek,Holidays)))</f>
        <v/>
      </c>
      <c r="DI33" s="115" t="str">
        <f aca="false">IF(NOT(Tasks[[#This Row],[_IsLeaf]]=1),"",IF(Tasks[[#This Row],[_AlapShift]]=0,Tasks[[#This Row],[_LeafCalcFinish]],WORKDAY.INTL(Tasks[[#This Row],[_LeafCalcFinish]],Tasks[[#This Row],[_AlapShift]],WorkWeek,Holidays)))</f>
        <v/>
      </c>
      <c r="DJ33" s="115" t="str">
        <f aca="false">IF(NOT(Tasks[[#This Row],[_IsLeaf]]=1),"",IF(Tasks[[#This Row],[_AlapShift]]=0,Tasks[[#This Row],[_LeafFcstStart]],WORKDAY.INTL(Tasks[[#This Row],[_LeafFcstStart]],Tasks[[#This Row],[_AlapShift]],WorkWeek,Holidays)))</f>
        <v/>
      </c>
      <c r="DK33" s="115" t="str">
        <f aca="false">IF(NOT(Tasks[[#This Row],[_IsLeaf]]=1),"",IF(Tasks[[#This Row],[_AlapShift]]=0,Tasks[[#This Row],[_LeafFcstFinish]],WORKDAY.INTL(Tasks[[#This Row],[_LeafFcstFinish]],Tasks[[#This Row],[_AlapShift]],WorkWeek,Holidays)))</f>
        <v/>
      </c>
      <c r="DL33" s="115" t="str">
        <f aca="false">IF(Tasks[[#This Row],[Task Name]]="","",IF(Tasks[[#This Row],[_IsSummary]],MIN(INDEX(Tasks[_ShownCalcStart],Tasks[[#This Row],[_Row]]+1):INDEX(Tasks[_ShownCalcStart],Tasks[[#This Row],[_Row]]+Tasks[[#This Row],[_Descendants]])),Tasks[[#This Row],[_ShownCalcStart]]))</f>
        <v/>
      </c>
      <c r="DM33" s="115" t="str">
        <f aca="false">IF(Tasks[[#This Row],[Task Name]]="","",IF(Tasks[[#This Row],[_IsSummary]],MAX(INDEX(Tasks[_ShownCalcFinish],Tasks[[#This Row],[_Row]]+1):INDEX(Tasks[_ShownCalcFinish],Tasks[[#This Row],[_Row]]+Tasks[[#This Row],[_Descendants]])),Tasks[[#This Row],[_ShownCalcFinish]]))</f>
        <v/>
      </c>
      <c r="DN3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3" s="38" t="n">
        <f aca="false">IF(AND(Tasks[[#This Row],[_IsLeaf]]=1,Tasks[[#This Row],[_LeafTotalWork]]&gt;0),NETWORKDAYS.INTL(ProjectStart,Tasks[[#This Row],[_ShownFcstStart]],WorkWeek,Holidays),0)</f>
        <v>0</v>
      </c>
      <c r="EA33" s="38" t="n">
        <f aca="false">IF(AND(Tasks[[#This Row],[_IsLeaf]]=1,Tasks[[#This Row],[_LeafTotalWork]]&gt;0),MAX(Tasks[[#This Row],[_StartWorkday]],NETWORKDAYS.INTL(ProjectStart,Tasks[[#This Row],[_ShownFcstFinish]],WorkWeek,Holidays)),0)</f>
        <v>0</v>
      </c>
      <c r="EB33" s="38" t="n">
        <f aca="false">IF(AND(Tasks[[#This Row],[_IsLeaf]]=1,Tasks[[#This Row],[_LeafTotalWork]]&gt;0),Tasks[[#This Row],[_LeafWork]]/(Tasks[[#This Row],[_FinishWorkday]]-Tasks[[#This Row],[_StartWorkday]]+1),0)</f>
        <v>0</v>
      </c>
      <c r="EC33" s="38" t="n">
        <f aca="false">Tasks[[#This Row],[_WorkPerWorkday]]*(Tasks[[#This Row],[_StartWorkday]]-1)</f>
        <v>-0</v>
      </c>
      <c r="ED33" s="38" t="n">
        <f aca="false">IF(Tasks[[#This Row],[_IsLeaf]]=1,MAX(N(Tasks[[#This Row],[Duration]]),0.1),0)</f>
        <v>0</v>
      </c>
      <c r="EE33" s="38" t="n">
        <f aca="false">Tasks[[#This Row],[_WeightDur]]*Tasks[[#This Row],[_LeafProgress]]</f>
        <v>0</v>
      </c>
      <c r="EF3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3" s="38" t="str">
        <f aca="false">IF(AND(Tasks[[#This Row],[_IsLeaf]]=1,N(Tasks[[#This Row],[Duration]])=0,Tasks[[#This Row],[_LeafProgress]]&lt;1),Tasks[[#This Row],[_ShownFcstFinish]]+Tasks[[#This Row],[_Row]]/100000,"")</f>
        <v/>
      </c>
      <c r="EH3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3" s="38" t="n">
        <f aca="false">IF(NOT(Tasks[[#This Row],[_IsLeaf]]=1),0,IF(Tasks[[#This Row],[Baseline Cost]]="",Tasks[[#This Row],[_LeafTotalCost]],N(Tasks[[#This Row],[Baseline Cost]])))</f>
        <v>0</v>
      </c>
      <c r="EJ33" s="38" t="n">
        <f aca="false">Tasks[[#This Row],[_LeafBudget]]*Tasks[[#This Row],[_PlannedPct]]</f>
        <v>0</v>
      </c>
      <c r="EK33" s="38" t="n">
        <f aca="false">Tasks[[#This Row],[_LeafBudget]]*Tasks[[#This Row],[_LeafProgress]]</f>
        <v>0</v>
      </c>
      <c r="EL33" s="38" t="n">
        <f aca="false">IF(NOT(Tasks[[#This Row],[_IsLeaf]]=1),0,IF(Tasks[[#This Row],[Actual Cost]]="",Tasks[[#This Row],[_LeafTotalCost]]*Tasks[[#This Row],[_LeafProgress]],N(Tasks[[#This Row],[Actual Cost]])))</f>
        <v>0</v>
      </c>
      <c r="EM33" s="38" t="str">
        <f aca="false">IF(Tasks[[#This Row],[Task Name]]="","",LEFT(Tasks[[#This Row],[WBS]],FIND(".",Tasks[[#This Row],[WBS]]&amp;".")-1))</f>
        <v/>
      </c>
      <c r="EN33" s="38" t="str">
        <f aca="false">IF(AND(Tasks[[#This Row],[Task Name]]&lt;&gt;"",Tasks[[#This Row],[_Level]]=1),Tasks[[#This Row],[_Row]],"")</f>
        <v/>
      </c>
      <c r="EO33" s="38" t="str">
        <f aca="false">IF(AND(Tasks[[#This Row],[_IsLeaf]]=1,N(Tasks[[#This Row],[Duration]])=0),Tasks[[#This Row],[Planned Finish]]+Tasks[[#This Row],[_Row]]/100000,"")</f>
        <v/>
      </c>
      <c r="EP33" s="38" t="str">
        <f aca="false">IF(AND(Tasks[[#This Row],[_IsLeaf]]=1,Tasks[[#This Row],[_LeafProgress]]&lt;1,OR(N(Tasks[[#This Row],[Finish Var]])&gt;0,Tasks[[#This Row],[Status]]="Late Start")),MAX(0,Tasks[[#This Row],[Finish Var]])+1-Tasks[[#This Row],[_Row]]/1000000,"")</f>
        <v/>
      </c>
      <c r="EQ33" s="38" t="str">
        <f aca="false">IF(AND(Tasks[[#This Row],[_IsLeaf]]=1,N(Tasks[[#This Row],[Actual Start]])=0,Tasks[[#This Row],[_ShownFcstStart]]&gt;=StatusDate,Tasks[[#This Row],[_ShownFcstStart]]&lt;=LookaheadEnd),Tasks[[#This Row],[_ShownFcstStart]]+Tasks[[#This Row],[_Row]]/100000,"")</f>
        <v/>
      </c>
      <c r="ER33" s="38" t="str">
        <f aca="false">IF(AND(Tasks[[#This Row],[_IsLeaf]]=1,Tasks[[#This Row],[_LeafProgress]]&lt;1,Tasks[[#This Row],[_ShownFcstFinish]]&gt;=StatusDate,Tasks[[#This Row],[_ShownFcstFinish]]&lt;=LookaheadEnd),Tasks[[#This Row],[_ShownFcstFinish]]+Tasks[[#This Row],[_Row]]/100000,"")</f>
        <v/>
      </c>
      <c r="ES33" s="38" t="str">
        <f aca="false">IF(Tasks[[#This Row],[_LeafCritical]],Tasks[[#This Row],[_ShownFcstStart]]+Tasks[[#This Row],[_Row]]/100000,"")</f>
        <v/>
      </c>
      <c r="ET33" s="38" t="n">
        <f aca="false">Tasks[[#This Row],[_LeafWork]]*Tasks[[#This Row],[_LeafProgress]]</f>
        <v>0</v>
      </c>
      <c r="EU33" s="115" t="str">
        <f aca="false">IF(AND(Tasks[[#This Row],[_IsLeaf]]=1,Tasks[[#This Row],[_LeafProgress]]&gt;=1),IF(N(Tasks[[#This Row],[Actual Finish]])&gt;0,Tasks[[#This Row],[Actual Finish]],Tasks[[#This Row],[_ShownFcstFinish]]),"")</f>
        <v/>
      </c>
      <c r="EV33" s="38" t="n">
        <f aca="false">IF(Tasks[[#This Row],[_IsLeaf]]=1,N(Tasks[[#This Row],[Story Points]]),0)</f>
        <v>0</v>
      </c>
      <c r="EW33" s="38" t="str">
        <f aca="false">IF(AND(Tasks[[#This Row],[_IsLeaf]]=1,CurrentSprint&lt;&gt;"",Tasks[[#This Row],[Sprint]]=CurrentSprint),Tasks[[#This Row],[_Row]],"")</f>
        <v/>
      </c>
    </row>
    <row r="34" customFormat="false" ht="15" hidden="false" customHeight="false" outlineLevel="0" collapsed="false">
      <c r="A34" s="51" t="str">
        <f aca="false">IF(Tasks[[#This Row],[Task Name]]="","",COUNTA(Tasks[[#Headers],[Task Name]]:Tasks[[#This Row],[Task Name]])-1)</f>
        <v/>
      </c>
      <c r="B34" s="52" t="n">
        <v>29</v>
      </c>
      <c r="C3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4" s="52"/>
      <c r="E34" s="53"/>
      <c r="F34" s="52"/>
      <c r="G34" s="52"/>
      <c r="H34" s="52"/>
      <c r="I34" s="52"/>
      <c r="J34" s="52"/>
      <c r="K34" s="52"/>
      <c r="L34" s="52"/>
      <c r="M34" s="52"/>
      <c r="N34" s="52"/>
      <c r="O34" s="52"/>
      <c r="P34" s="52"/>
      <c r="Q34" s="52"/>
      <c r="R34" s="52"/>
      <c r="S34" s="53"/>
      <c r="T34" s="102"/>
      <c r="U34" s="102"/>
      <c r="V34" s="7"/>
      <c r="W34" s="7"/>
      <c r="X34" s="53"/>
      <c r="Y34" s="31" t="str">
        <f aca="false">IF(Tasks[[#This Row],[Task Name]]="","",IF(Tasks[[#This Row],[_IsSummary]],MIN(INDEX(Tasks[_ShownFcstStart],Tasks[[#This Row],[_Row]]+1):INDEX(Tasks[_ShownFcstStart],Tasks[[#This Row],[_Row]]+Tasks[[#This Row],[_Descendants]])),Tasks[[#This Row],[_ShownFcstStart]]))</f>
        <v/>
      </c>
      <c r="Z34" s="31" t="str">
        <f aca="false">IF(Tasks[[#This Row],[Task Name]]="","",IF(Tasks[[#This Row],[_IsSummary]],MAX(INDEX(Tasks[_ShownFcstFinish],Tasks[[#This Row],[_Row]]+1):INDEX(Tasks[_ShownFcstFinish],Tasks[[#This Row],[_Row]]+Tasks[[#This Row],[_Descendants]])),Tasks[[#This Row],[_ShownFcstFinish]]))</f>
        <v/>
      </c>
      <c r="AA34" s="51" t="str">
        <f aca="false">IF(Tasks[[#This Row],[Task Name]]="","",IF(Tasks[[#This Row],[Progress]]&gt;=1,"Complete",IF(OR(N(Tasks[[#This Row],[Actual Start]])&gt;0,Tasks[[#This Row],[Progress]]&gt;0),IF(Tasks[[#This Row],[Finish Var]]&gt;0,"Behind","In Progress"),IF(Tasks[[#This Row],[Planned Start]]&lt;StatusDate,"Late Start","Not Started"))))</f>
        <v/>
      </c>
      <c r="AB34" s="51" t="str">
        <f aca="false">IF(Tasks[[#This Row],[Task Name]]="","",IF(IF(Tasks[[#This Row],[_IsSummary]],COUNTIF(INDEX(Tasks[_LeafCritical],Tasks[[#This Row],[_Row]]+1):INDEX(Tasks[_LeafCritical],Tasks[[#This Row],[_Row]]+Tasks[[#This Row],[_Descendants]]),TRUE())&gt;0,Tasks[[#This Row],[_LeafCritical]]),"Yes",""))</f>
        <v/>
      </c>
      <c r="AC3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4" s="51" t="str">
        <f aca="false">IF(Tasks[[#This Row],[Task Name]]="","",IF(Tasks[[#This Row],[_Level]]&lt;=OutlineShowLevel,"Yes","No"))</f>
        <v/>
      </c>
      <c r="AE34" s="7"/>
      <c r="AF34" s="52"/>
      <c r="AG34" s="53"/>
      <c r="AH34" s="7"/>
      <c r="AI3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4" s="31" t="str">
        <f aca="false">IF(Tasks[[#This Row],[Task Name]]="","",IF(N(Tasks[[#This Row],[Baseline Start]])&gt;0,Tasks[[#This Row],[Baseline Start]],Tasks[[#This Row],[_CalcStart]]))</f>
        <v/>
      </c>
      <c r="AK34" s="31" t="str">
        <f aca="false">IF(Tasks[[#This Row],[Task Name]]="","",IF(N(Tasks[[#This Row],[Baseline Finish]])&gt;0,Tasks[[#This Row],[Baseline Finish]],Tasks[[#This Row],[_CalcFinish]]))</f>
        <v/>
      </c>
      <c r="AL3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4" s="31" t="str">
        <f aca="false">IF(Tasks[[#This Row],[Task Name]]="","",IF(Tasks[[#This Row],[_IsSummary]],MIN(INDEX(Tasks[_LeafLateStart],Tasks[[#This Row],[_Row]]+1):INDEX(Tasks[_LeafLateStart],Tasks[[#This Row],[_Row]]+Tasks[[#This Row],[_Descendants]])),Tasks[[#This Row],[_LeafLateStart]]))</f>
        <v/>
      </c>
      <c r="AN34" s="31" t="str">
        <f aca="false">IF(Tasks[[#This Row],[Task Name]]="","",IF(Tasks[[#This Row],[_IsSummary]],MAX(INDEX(Tasks[_LeafLateFinish],Tasks[[#This Row],[_Row]]+1):INDEX(Tasks[_LeafLateFinish],Tasks[[#This Row],[_Row]]+Tasks[[#This Row],[_Descendants]])),Tasks[[#This Row],[_LeafLateFinish]]))</f>
        <v/>
      </c>
      <c r="AO34" s="51" t="str">
        <f aca="false">IF(Tasks[[#This Row],[Task Name]]="","",IF(Tasks[[#This Row],[_IsSummary]],MIN(INDEX(Tasks[_LeafTotalSlack],Tasks[[#This Row],[_Row]]+1):INDEX(Tasks[_LeafTotalSlack],Tasks[[#This Row],[_Row]]+Tasks[[#This Row],[_Descendants]])),Tasks[[#This Row],[_LeafTotalSlack]]))</f>
        <v/>
      </c>
      <c r="AP3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4" s="110" t="str">
        <f aca="false">IF(Tasks[[#This Row],[Task Name]]="","",IF(Tasks[[#This Row],[_IsSummary]],SUM(INDEX(Tasks[_LeafTotalWork],Tasks[[#This Row],[_Row]]+1):INDEX(Tasks[_LeafTotalWork],Tasks[[#This Row],[_Row]]+Tasks[[#This Row],[_Descendants]])),Tasks[[#This Row],[_LeafTotalWork]]))</f>
        <v/>
      </c>
      <c r="AV3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4" s="111" t="str">
        <f aca="false">IF(Tasks[[#This Row],[Task Name]]="","",IF(Tasks[[#This Row],[_IsSummary]],SUM(INDEX(Tasks[_LeafTotalCost],Tasks[[#This Row],[_Row]]+1):INDEX(Tasks[_LeafTotalCost],Tasks[[#This Row],[_Row]]+Tasks[[#This Row],[_Descendants]])),Tasks[[#This Row],[_LeafTotalCost]]))</f>
        <v/>
      </c>
      <c r="AY34" s="112"/>
      <c r="AZ3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4" s="52"/>
      <c r="BB34" s="98"/>
      <c r="BC34" s="51" t="str">
        <f aca="false">IF(OR(Tasks[[#This Row],[Task Name]]="",Tasks[[#This Row],[Baseline Duration]]=""),"",Tasks[[#This Row],[BL Source Duration]]-N(Tasks[[#This Row],[Baseline Duration]]))</f>
        <v/>
      </c>
      <c r="BD34" s="110" t="str">
        <f aca="false">IF(OR(Tasks[[#This Row],[Task Name]]="",Tasks[[#This Row],[Baseline Work]]=""),"",Tasks[[#This Row],[Work]]-N(Tasks[[#This Row],[Baseline Work]]))</f>
        <v/>
      </c>
      <c r="BE34" s="111" t="str">
        <f aca="false">IF(OR(Tasks[[#This Row],[Task Name]]="",Tasks[[#This Row],[Baseline Cost]]=""),"",Tasks[[#This Row],[Cost]]-N(Tasks[[#This Row],[Baseline Cost]]))</f>
        <v/>
      </c>
      <c r="BF34" s="31" t="str">
        <f aca="false">IF(Tasks[[#This Row],[Task Name]]="","",Tasks[[#This Row],[Forecast Start]])</f>
        <v/>
      </c>
      <c r="BG34" s="31" t="str">
        <f aca="false">IF(Tasks[[#This Row],[Task Name]]="","",Tasks[[#This Row],[Forecast Finish]])</f>
        <v/>
      </c>
      <c r="BH34" s="51" t="str">
        <f aca="false">IF(Tasks[[#This Row],[Task Name]]="","",IF(Tasks[[#This Row],[_IsSummary]],NETWORKDAYS.INTL(Tasks[[#This Row],[Forecast Start]],Tasks[[#This Row],[Forecast Finish]],WorkWeek,Holidays),N(Tasks[[#This Row],[Duration]])))</f>
        <v/>
      </c>
      <c r="BI34" s="110" t="str">
        <f aca="false">IF(Tasks[[#This Row],[Task Name]]="","",Tasks[[#This Row],[Work]])</f>
        <v/>
      </c>
      <c r="BJ34" s="111" t="str">
        <f aca="false">IF(Tasks[[#This Row],[Task Name]]="","",Tasks[[#This Row],[Cost]])</f>
        <v/>
      </c>
      <c r="BK34" s="7"/>
      <c r="BL34" s="7"/>
      <c r="BM34" s="52"/>
      <c r="BN34" s="113"/>
      <c r="BO34" s="112"/>
      <c r="BP34" s="111" t="str">
        <f aca="false">IF(Tasks[[#This Row],[Task Name]]="","",IF(Tasks[[#This Row],[_IsSummary]],SUM(INDEX(Tasks[_LeafEV],Tasks[[#This Row],[_Row]]+1):INDEX(Tasks[_LeafEV],Tasks[[#This Row],[_Row]]+Tasks[[#This Row],[_Descendants]])),Tasks[[#This Row],[_LeafEV]]))</f>
        <v/>
      </c>
      <c r="BQ34" s="111" t="str">
        <f aca="false">IF(Tasks[[#This Row],[Task Name]]="","",IF(Tasks[[#This Row],[_IsSummary]],SUM(INDEX(Tasks[_LeafBudget],Tasks[[#This Row],[_Row]]+1):INDEX(Tasks[_LeafBudget],Tasks[[#This Row],[_Row]]+Tasks[[#This Row],[_Descendants]])),Tasks[[#This Row],[_LeafBudget]]))</f>
        <v/>
      </c>
      <c r="BR34" s="111" t="str">
        <f aca="false">IF(Tasks[[#This Row],[Task Name]]="","",IF(Tasks[[#This Row],[_IsSummary]],SUM(INDEX(Tasks[_LeafPV],Tasks[[#This Row],[_Row]]+1):INDEX(Tasks[_LeafPV],Tasks[[#This Row],[_Row]]+Tasks[[#This Row],[_Descendants]])),Tasks[[#This Row],[_LeafPV]]))</f>
        <v/>
      </c>
      <c r="BS34" s="111" t="str">
        <f aca="false">IF(Tasks[[#This Row],[Task Name]]="","",IF(Tasks[[#This Row],[_IsSummary]],SUM(INDEX(Tasks[_LeafAC],Tasks[[#This Row],[_Row]]+1):INDEX(Tasks[_LeafAC],Tasks[[#This Row],[_Row]]+Tasks[[#This Row],[_Descendants]])),Tasks[[#This Row],[_LeafAC]]))</f>
        <v/>
      </c>
      <c r="BT34" s="38" t="str">
        <f aca="false">IF(Tasks[[#This Row],[Task Name]]="","",MAX(1,N(Tasks[[#This Row],[Level]])))</f>
        <v/>
      </c>
      <c r="BU34" s="38" t="n">
        <f aca="false">ROW()-ROW(Tasks[[#Headers],[ID]])</f>
        <v>29</v>
      </c>
      <c r="BV34" s="38" t="n">
        <f aca="false">IF(OR(Tasks[[#This Row],[Task Name]]="",Tasks[[#This Row],[_Level]]&lt;=1),0,IFERROR(LOOKUP(2,1/(Tasks[[#Headers],[_Level]]:Tasks[[#This Row],[_Level]]=Tasks[[#This Row],[_Level]]-1),ROW(Tasks[[#Headers],[_Level]]:Tasks[[#This Row],[_Level]])),0))</f>
        <v>0</v>
      </c>
      <c r="BW34" s="38" t="n">
        <f aca="false">IFERROR(N(INDEX(Tasks[_Level],Tasks[[#This Row],[_Row]]+1)),0)</f>
        <v>0</v>
      </c>
      <c r="BX34" s="114" t="b">
        <f aca="false">AND(Tasks[[#This Row],[Task Name]]&lt;&gt;"",Tasks[[#This Row],[_NextLevel]]&gt;Tasks[[#This Row],[_Level]])</f>
        <v>0</v>
      </c>
      <c r="BY34" s="38" t="n">
        <f aca="false">IF(Tasks[[#This Row],[_IsSummary]],COUNTIF(Tasks[WBS],Tasks[[#This Row],[WBS]]&amp;".*"),0)</f>
        <v>0</v>
      </c>
      <c r="BZ34" s="38" t="n">
        <f aca="false">IF(AND(Tasks[[#This Row],[Task Name]]&lt;&gt;"",NOT(Tasks[[#This Row],[_IsSummary]])),1,0)</f>
        <v>0</v>
      </c>
      <c r="CA34" s="38" t="n">
        <f aca="false">IF(N(Tasks[[#This Row],[Pred1 UID]])=0,0,IFERROR(MATCH(Tasks[[#This Row],[Pred1 UID]],Tasks[UID],0),-1))</f>
        <v>0</v>
      </c>
      <c r="CB34" s="38" t="n">
        <f aca="false">IF(N(Tasks[[#This Row],[Pred2 UID]])=0,0,IFERROR(MATCH(Tasks[[#This Row],[Pred2 UID]],Tasks[UID],0),-1))</f>
        <v>0</v>
      </c>
      <c r="CC34" s="38" t="n">
        <f aca="false">IF(N(Tasks[[#This Row],[Pred3 UID]])=0,0,IFERROR(MATCH(Tasks[[#This Row],[Pred3 UID]],Tasks[UID],0),-1))</f>
        <v>0</v>
      </c>
      <c r="CD34" s="38" t="n">
        <f aca="false">IF(N(Tasks[[#This Row],[Pred4 UID]])=0,0,IFERROR(MATCH(Tasks[[#This Row],[Pred4 UID]],Tasks[UID],0),-1))</f>
        <v>0</v>
      </c>
      <c r="CE3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4" s="115" t="n">
        <f aca="false">IF(OR(Tasks[[#This Row],[_ConstraintCode]]=2,Tasks[[#This Row],[_ConstraintCode]]=3,Tasks[[#This Row],[_ConstraintCode]]=4,Tasks[[#This Row],[_ConstraintCode]]=6),Tasks[[#This Row],[_ConstraintStart]],0)</f>
        <v>0</v>
      </c>
      <c r="CH34" s="115" t="n">
        <f aca="false">IF(OR(Tasks[[#This Row],[_ConstraintCode]]=2,Tasks[[#This Row],[_ConstraintCode]]=3,Tasks[[#This Row],[_ConstraintCode]]=5,Tasks[[#This Row],[_ConstraintCode]]=7),Tasks[[#This Row],[_ConstraintStart]],2958465)</f>
        <v>2958465</v>
      </c>
      <c r="CI3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4" s="115" t="str">
        <f aca="false">IF(NOT(Tasks[[#This Row],[_IsLeaf]]=1),"",IF(N(Tasks[[#This Row],[Duration]])&lt;=0,Tasks[[#This Row],[_LeafCalcStart]],WORKDAY.INTL(Tasks[[#This Row],[_LeafCalcStart]],Tasks[[#This Row],[Duration]]-1,WorkWeek,Holidays)))</f>
        <v/>
      </c>
      <c r="CK3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4" s="38" t="n">
        <f aca="false">IF(NOT(Tasks[[#This Row],[_IsLeaf]]=1),0,IF(N(Tasks[[#This Row],[Actual Finish]])&gt;0,1,MIN(1,N(Tasks[[#This Row],[% Complete]]))))</f>
        <v>0</v>
      </c>
      <c r="CN34" s="38" t="n">
        <f aca="false">IF(OR(NOT(Tasks[[#This Row],[_IsLeaf]]=1),Tasks[[#This Row],[Resource]]=""),0,N(Tasks[[#This Row],[Duration]])*HoursPerDay*IF(Tasks[[#This Row],[Units]]="",DefaultUnits,Tasks[[#This Row],[Units]]))</f>
        <v>0</v>
      </c>
      <c r="CO34" s="38" t="n">
        <f aca="false">IF(Tasks[[#This Row],[_LeafWork]]=0,0,Tasks[[#This Row],[_LeafWork]]*IFERROR(INDEX(res_Rate,MATCH(Tasks[[#This Row],[Resource]],res_Name,0)),0))</f>
        <v>0</v>
      </c>
      <c r="CP34" s="38" t="n">
        <f aca="false">Tasks[[#This Row],[_LeafWork]]+IF(Tasks[[#This Row],[_IsLeaf]]=1,SUMIFS(asg_Work,asg_TaskUID,Tasks[[#This Row],[UID]],asg_Valid,1),0)</f>
        <v>0</v>
      </c>
      <c r="CQ34" s="38" t="n">
        <f aca="false">Tasks[[#This Row],[_LeafCost]]+IF(Tasks[[#This Row],[_IsLeaf]]=1,SUMIFS(asg_Cost,asg_TaskUID,Tasks[[#This Row],[UID]],asg_Valid,1),0)</f>
        <v>0</v>
      </c>
      <c r="CR34" s="38" t="n">
        <f aca="false">IF(Tasks[[#This Row],[_LeafTotalCost]]=0,Tasks[[#This Row],[_LeafAC]],Tasks[[#This Row],[_LeafAC]]*Tasks[[#This Row],[_LeafCost]]/Tasks[[#This Row],[_LeafTotalCost]])</f>
        <v>0</v>
      </c>
      <c r="CS3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4" s="38" t="n">
        <f aca="false">IF(NOT(Tasks[[#This Row],[_IsLeaf]]=1),0,MAX(_xlfn.MAXIFS(Tasks[_Row],Tasks[Pred1 UID],Tasks[[#This Row],[UID]]),_xlfn.MAXIFS(Tasks[_Row],Tasks[Pred2 UID],Tasks[[#This Row],[UID]]),_xlfn.MAXIFS(Tasks[_Row],Tasks[Pred3 UID],Tasks[[#This Row],[UID]]),_xlfn.MAXIFS(Tasks[_Row],Tasks[Pred4 UID],Tasks[[#This Row],[UID]])))</f>
        <v>0</v>
      </c>
      <c r="DB3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4" s="115" t="str">
        <f aca="false">IF(NOT(Tasks[[#This Row],[_IsLeaf]]=1),"",IF(N(Tasks[[#This Row],[Duration]])&lt;=0,Tasks[[#This Row],[_LeafLateFinish]],WORKDAY.INTL(Tasks[[#This Row],[_LeafLateFinish]],-(Tasks[[#This Row],[Duration]]-1),WorkWeek,Holidays)))</f>
        <v/>
      </c>
      <c r="DE3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4" s="114" t="b">
        <f aca="false">AND(Tasks[[#This Row],[_IsLeaf]]=1,Tasks[[#This Row],[_LeafProgress]]&lt;1,N(Tasks[[#This Row],[_LeafTotalSlack]])&lt;=CriticalSlackDays)</f>
        <v>0</v>
      </c>
      <c r="DG34" s="38" t="n">
        <f aca="false">IF(AND(Tasks[[#This Row],[_IsLeaf]]=1,Tasks[[#This Row],[_ConstraintCode]]=1,Tasks[[#This Row],[Mode]]&lt;&gt;"Manual",N(Tasks[[#This Row],[Actual Start]])=0),MAX(0,N(Tasks[[#This Row],[Free Slack]])),0)</f>
        <v>0</v>
      </c>
      <c r="DH34" s="115" t="str">
        <f aca="false">IF(NOT(Tasks[[#This Row],[_IsLeaf]]=1),"",IF(Tasks[[#This Row],[_AlapShift]]=0,Tasks[[#This Row],[_LeafCalcStart]],WORKDAY.INTL(Tasks[[#This Row],[_LeafCalcStart]],Tasks[[#This Row],[_AlapShift]],WorkWeek,Holidays)))</f>
        <v/>
      </c>
      <c r="DI34" s="115" t="str">
        <f aca="false">IF(NOT(Tasks[[#This Row],[_IsLeaf]]=1),"",IF(Tasks[[#This Row],[_AlapShift]]=0,Tasks[[#This Row],[_LeafCalcFinish]],WORKDAY.INTL(Tasks[[#This Row],[_LeafCalcFinish]],Tasks[[#This Row],[_AlapShift]],WorkWeek,Holidays)))</f>
        <v/>
      </c>
      <c r="DJ34" s="115" t="str">
        <f aca="false">IF(NOT(Tasks[[#This Row],[_IsLeaf]]=1),"",IF(Tasks[[#This Row],[_AlapShift]]=0,Tasks[[#This Row],[_LeafFcstStart]],WORKDAY.INTL(Tasks[[#This Row],[_LeafFcstStart]],Tasks[[#This Row],[_AlapShift]],WorkWeek,Holidays)))</f>
        <v/>
      </c>
      <c r="DK34" s="115" t="str">
        <f aca="false">IF(NOT(Tasks[[#This Row],[_IsLeaf]]=1),"",IF(Tasks[[#This Row],[_AlapShift]]=0,Tasks[[#This Row],[_LeafFcstFinish]],WORKDAY.INTL(Tasks[[#This Row],[_LeafFcstFinish]],Tasks[[#This Row],[_AlapShift]],WorkWeek,Holidays)))</f>
        <v/>
      </c>
      <c r="DL34" s="115" t="str">
        <f aca="false">IF(Tasks[[#This Row],[Task Name]]="","",IF(Tasks[[#This Row],[_IsSummary]],MIN(INDEX(Tasks[_ShownCalcStart],Tasks[[#This Row],[_Row]]+1):INDEX(Tasks[_ShownCalcStart],Tasks[[#This Row],[_Row]]+Tasks[[#This Row],[_Descendants]])),Tasks[[#This Row],[_ShownCalcStart]]))</f>
        <v/>
      </c>
      <c r="DM34" s="115" t="str">
        <f aca="false">IF(Tasks[[#This Row],[Task Name]]="","",IF(Tasks[[#This Row],[_IsSummary]],MAX(INDEX(Tasks[_ShownCalcFinish],Tasks[[#This Row],[_Row]]+1):INDEX(Tasks[_ShownCalcFinish],Tasks[[#This Row],[_Row]]+Tasks[[#This Row],[_Descendants]])),Tasks[[#This Row],[_ShownCalcFinish]]))</f>
        <v/>
      </c>
      <c r="DN3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4" s="38" t="n">
        <f aca="false">IF(AND(Tasks[[#This Row],[_IsLeaf]]=1,Tasks[[#This Row],[_LeafTotalWork]]&gt;0),NETWORKDAYS.INTL(ProjectStart,Tasks[[#This Row],[_ShownFcstStart]],WorkWeek,Holidays),0)</f>
        <v>0</v>
      </c>
      <c r="EA34" s="38" t="n">
        <f aca="false">IF(AND(Tasks[[#This Row],[_IsLeaf]]=1,Tasks[[#This Row],[_LeafTotalWork]]&gt;0),MAX(Tasks[[#This Row],[_StartWorkday]],NETWORKDAYS.INTL(ProjectStart,Tasks[[#This Row],[_ShownFcstFinish]],WorkWeek,Holidays)),0)</f>
        <v>0</v>
      </c>
      <c r="EB34" s="38" t="n">
        <f aca="false">IF(AND(Tasks[[#This Row],[_IsLeaf]]=1,Tasks[[#This Row],[_LeafTotalWork]]&gt;0),Tasks[[#This Row],[_LeafWork]]/(Tasks[[#This Row],[_FinishWorkday]]-Tasks[[#This Row],[_StartWorkday]]+1),0)</f>
        <v>0</v>
      </c>
      <c r="EC34" s="38" t="n">
        <f aca="false">Tasks[[#This Row],[_WorkPerWorkday]]*(Tasks[[#This Row],[_StartWorkday]]-1)</f>
        <v>-0</v>
      </c>
      <c r="ED34" s="38" t="n">
        <f aca="false">IF(Tasks[[#This Row],[_IsLeaf]]=1,MAX(N(Tasks[[#This Row],[Duration]]),0.1),0)</f>
        <v>0</v>
      </c>
      <c r="EE34" s="38" t="n">
        <f aca="false">Tasks[[#This Row],[_WeightDur]]*Tasks[[#This Row],[_LeafProgress]]</f>
        <v>0</v>
      </c>
      <c r="EF3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4" s="38" t="str">
        <f aca="false">IF(AND(Tasks[[#This Row],[_IsLeaf]]=1,N(Tasks[[#This Row],[Duration]])=0,Tasks[[#This Row],[_LeafProgress]]&lt;1),Tasks[[#This Row],[_ShownFcstFinish]]+Tasks[[#This Row],[_Row]]/100000,"")</f>
        <v/>
      </c>
      <c r="EH3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4" s="38" t="n">
        <f aca="false">IF(NOT(Tasks[[#This Row],[_IsLeaf]]=1),0,IF(Tasks[[#This Row],[Baseline Cost]]="",Tasks[[#This Row],[_LeafTotalCost]],N(Tasks[[#This Row],[Baseline Cost]])))</f>
        <v>0</v>
      </c>
      <c r="EJ34" s="38" t="n">
        <f aca="false">Tasks[[#This Row],[_LeafBudget]]*Tasks[[#This Row],[_PlannedPct]]</f>
        <v>0</v>
      </c>
      <c r="EK34" s="38" t="n">
        <f aca="false">Tasks[[#This Row],[_LeafBudget]]*Tasks[[#This Row],[_LeafProgress]]</f>
        <v>0</v>
      </c>
      <c r="EL34" s="38" t="n">
        <f aca="false">IF(NOT(Tasks[[#This Row],[_IsLeaf]]=1),0,IF(Tasks[[#This Row],[Actual Cost]]="",Tasks[[#This Row],[_LeafTotalCost]]*Tasks[[#This Row],[_LeafProgress]],N(Tasks[[#This Row],[Actual Cost]])))</f>
        <v>0</v>
      </c>
      <c r="EM34" s="38" t="str">
        <f aca="false">IF(Tasks[[#This Row],[Task Name]]="","",LEFT(Tasks[[#This Row],[WBS]],FIND(".",Tasks[[#This Row],[WBS]]&amp;".")-1))</f>
        <v/>
      </c>
      <c r="EN34" s="38" t="str">
        <f aca="false">IF(AND(Tasks[[#This Row],[Task Name]]&lt;&gt;"",Tasks[[#This Row],[_Level]]=1),Tasks[[#This Row],[_Row]],"")</f>
        <v/>
      </c>
      <c r="EO34" s="38" t="str">
        <f aca="false">IF(AND(Tasks[[#This Row],[_IsLeaf]]=1,N(Tasks[[#This Row],[Duration]])=0),Tasks[[#This Row],[Planned Finish]]+Tasks[[#This Row],[_Row]]/100000,"")</f>
        <v/>
      </c>
      <c r="EP34" s="38" t="str">
        <f aca="false">IF(AND(Tasks[[#This Row],[_IsLeaf]]=1,Tasks[[#This Row],[_LeafProgress]]&lt;1,OR(N(Tasks[[#This Row],[Finish Var]])&gt;0,Tasks[[#This Row],[Status]]="Late Start")),MAX(0,Tasks[[#This Row],[Finish Var]])+1-Tasks[[#This Row],[_Row]]/1000000,"")</f>
        <v/>
      </c>
      <c r="EQ34" s="38" t="str">
        <f aca="false">IF(AND(Tasks[[#This Row],[_IsLeaf]]=1,N(Tasks[[#This Row],[Actual Start]])=0,Tasks[[#This Row],[_ShownFcstStart]]&gt;=StatusDate,Tasks[[#This Row],[_ShownFcstStart]]&lt;=LookaheadEnd),Tasks[[#This Row],[_ShownFcstStart]]+Tasks[[#This Row],[_Row]]/100000,"")</f>
        <v/>
      </c>
      <c r="ER34" s="38" t="str">
        <f aca="false">IF(AND(Tasks[[#This Row],[_IsLeaf]]=1,Tasks[[#This Row],[_LeafProgress]]&lt;1,Tasks[[#This Row],[_ShownFcstFinish]]&gt;=StatusDate,Tasks[[#This Row],[_ShownFcstFinish]]&lt;=LookaheadEnd),Tasks[[#This Row],[_ShownFcstFinish]]+Tasks[[#This Row],[_Row]]/100000,"")</f>
        <v/>
      </c>
      <c r="ES34" s="38" t="str">
        <f aca="false">IF(Tasks[[#This Row],[_LeafCritical]],Tasks[[#This Row],[_ShownFcstStart]]+Tasks[[#This Row],[_Row]]/100000,"")</f>
        <v/>
      </c>
      <c r="ET34" s="38" t="n">
        <f aca="false">Tasks[[#This Row],[_LeafWork]]*Tasks[[#This Row],[_LeafProgress]]</f>
        <v>0</v>
      </c>
      <c r="EU34" s="115" t="str">
        <f aca="false">IF(AND(Tasks[[#This Row],[_IsLeaf]]=1,Tasks[[#This Row],[_LeafProgress]]&gt;=1),IF(N(Tasks[[#This Row],[Actual Finish]])&gt;0,Tasks[[#This Row],[Actual Finish]],Tasks[[#This Row],[_ShownFcstFinish]]),"")</f>
        <v/>
      </c>
      <c r="EV34" s="38" t="n">
        <f aca="false">IF(Tasks[[#This Row],[_IsLeaf]]=1,N(Tasks[[#This Row],[Story Points]]),0)</f>
        <v>0</v>
      </c>
      <c r="EW34" s="38" t="str">
        <f aca="false">IF(AND(Tasks[[#This Row],[_IsLeaf]]=1,CurrentSprint&lt;&gt;"",Tasks[[#This Row],[Sprint]]=CurrentSprint),Tasks[[#This Row],[_Row]],"")</f>
        <v/>
      </c>
    </row>
    <row r="35" customFormat="false" ht="15" hidden="false" customHeight="false" outlineLevel="0" collapsed="false">
      <c r="A35" s="51" t="str">
        <f aca="false">IF(Tasks[[#This Row],[Task Name]]="","",COUNTA(Tasks[[#Headers],[Task Name]]:Tasks[[#This Row],[Task Name]])-1)</f>
        <v/>
      </c>
      <c r="B35" s="52" t="n">
        <v>30</v>
      </c>
      <c r="C3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5" s="52"/>
      <c r="E35" s="53"/>
      <c r="F35" s="52"/>
      <c r="G35" s="52"/>
      <c r="H35" s="52"/>
      <c r="I35" s="52"/>
      <c r="J35" s="52"/>
      <c r="K35" s="52"/>
      <c r="L35" s="52"/>
      <c r="M35" s="52"/>
      <c r="N35" s="52"/>
      <c r="O35" s="52"/>
      <c r="P35" s="52"/>
      <c r="Q35" s="52"/>
      <c r="R35" s="52"/>
      <c r="S35" s="53"/>
      <c r="T35" s="102"/>
      <c r="U35" s="102"/>
      <c r="V35" s="7"/>
      <c r="W35" s="7"/>
      <c r="X35" s="53"/>
      <c r="Y35" s="31" t="str">
        <f aca="false">IF(Tasks[[#This Row],[Task Name]]="","",IF(Tasks[[#This Row],[_IsSummary]],MIN(INDEX(Tasks[_ShownFcstStart],Tasks[[#This Row],[_Row]]+1):INDEX(Tasks[_ShownFcstStart],Tasks[[#This Row],[_Row]]+Tasks[[#This Row],[_Descendants]])),Tasks[[#This Row],[_ShownFcstStart]]))</f>
        <v/>
      </c>
      <c r="Z35" s="31" t="str">
        <f aca="false">IF(Tasks[[#This Row],[Task Name]]="","",IF(Tasks[[#This Row],[_IsSummary]],MAX(INDEX(Tasks[_ShownFcstFinish],Tasks[[#This Row],[_Row]]+1):INDEX(Tasks[_ShownFcstFinish],Tasks[[#This Row],[_Row]]+Tasks[[#This Row],[_Descendants]])),Tasks[[#This Row],[_ShownFcstFinish]]))</f>
        <v/>
      </c>
      <c r="AA35" s="51" t="str">
        <f aca="false">IF(Tasks[[#This Row],[Task Name]]="","",IF(Tasks[[#This Row],[Progress]]&gt;=1,"Complete",IF(OR(N(Tasks[[#This Row],[Actual Start]])&gt;0,Tasks[[#This Row],[Progress]]&gt;0),IF(Tasks[[#This Row],[Finish Var]]&gt;0,"Behind","In Progress"),IF(Tasks[[#This Row],[Planned Start]]&lt;StatusDate,"Late Start","Not Started"))))</f>
        <v/>
      </c>
      <c r="AB35" s="51" t="str">
        <f aca="false">IF(Tasks[[#This Row],[Task Name]]="","",IF(IF(Tasks[[#This Row],[_IsSummary]],COUNTIF(INDEX(Tasks[_LeafCritical],Tasks[[#This Row],[_Row]]+1):INDEX(Tasks[_LeafCritical],Tasks[[#This Row],[_Row]]+Tasks[[#This Row],[_Descendants]]),TRUE())&gt;0,Tasks[[#This Row],[_LeafCritical]]),"Yes",""))</f>
        <v/>
      </c>
      <c r="AC3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5" s="51" t="str">
        <f aca="false">IF(Tasks[[#This Row],[Task Name]]="","",IF(Tasks[[#This Row],[_Level]]&lt;=OutlineShowLevel,"Yes","No"))</f>
        <v/>
      </c>
      <c r="AE35" s="7"/>
      <c r="AF35" s="52"/>
      <c r="AG35" s="53"/>
      <c r="AH35" s="7"/>
      <c r="AI3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5" s="31" t="str">
        <f aca="false">IF(Tasks[[#This Row],[Task Name]]="","",IF(N(Tasks[[#This Row],[Baseline Start]])&gt;0,Tasks[[#This Row],[Baseline Start]],Tasks[[#This Row],[_CalcStart]]))</f>
        <v/>
      </c>
      <c r="AK35" s="31" t="str">
        <f aca="false">IF(Tasks[[#This Row],[Task Name]]="","",IF(N(Tasks[[#This Row],[Baseline Finish]])&gt;0,Tasks[[#This Row],[Baseline Finish]],Tasks[[#This Row],[_CalcFinish]]))</f>
        <v/>
      </c>
      <c r="AL3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5" s="31" t="str">
        <f aca="false">IF(Tasks[[#This Row],[Task Name]]="","",IF(Tasks[[#This Row],[_IsSummary]],MIN(INDEX(Tasks[_LeafLateStart],Tasks[[#This Row],[_Row]]+1):INDEX(Tasks[_LeafLateStart],Tasks[[#This Row],[_Row]]+Tasks[[#This Row],[_Descendants]])),Tasks[[#This Row],[_LeafLateStart]]))</f>
        <v/>
      </c>
      <c r="AN35" s="31" t="str">
        <f aca="false">IF(Tasks[[#This Row],[Task Name]]="","",IF(Tasks[[#This Row],[_IsSummary]],MAX(INDEX(Tasks[_LeafLateFinish],Tasks[[#This Row],[_Row]]+1):INDEX(Tasks[_LeafLateFinish],Tasks[[#This Row],[_Row]]+Tasks[[#This Row],[_Descendants]])),Tasks[[#This Row],[_LeafLateFinish]]))</f>
        <v/>
      </c>
      <c r="AO35" s="51" t="str">
        <f aca="false">IF(Tasks[[#This Row],[Task Name]]="","",IF(Tasks[[#This Row],[_IsSummary]],MIN(INDEX(Tasks[_LeafTotalSlack],Tasks[[#This Row],[_Row]]+1):INDEX(Tasks[_LeafTotalSlack],Tasks[[#This Row],[_Row]]+Tasks[[#This Row],[_Descendants]])),Tasks[[#This Row],[_LeafTotalSlack]]))</f>
        <v/>
      </c>
      <c r="AP3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5" s="110" t="str">
        <f aca="false">IF(Tasks[[#This Row],[Task Name]]="","",IF(Tasks[[#This Row],[_IsSummary]],SUM(INDEX(Tasks[_LeafTotalWork],Tasks[[#This Row],[_Row]]+1):INDEX(Tasks[_LeafTotalWork],Tasks[[#This Row],[_Row]]+Tasks[[#This Row],[_Descendants]])),Tasks[[#This Row],[_LeafTotalWork]]))</f>
        <v/>
      </c>
      <c r="AV3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5" s="111" t="str">
        <f aca="false">IF(Tasks[[#This Row],[Task Name]]="","",IF(Tasks[[#This Row],[_IsSummary]],SUM(INDEX(Tasks[_LeafTotalCost],Tasks[[#This Row],[_Row]]+1):INDEX(Tasks[_LeafTotalCost],Tasks[[#This Row],[_Row]]+Tasks[[#This Row],[_Descendants]])),Tasks[[#This Row],[_LeafTotalCost]]))</f>
        <v/>
      </c>
      <c r="AY35" s="112"/>
      <c r="AZ3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5" s="52"/>
      <c r="BB35" s="98"/>
      <c r="BC35" s="51" t="str">
        <f aca="false">IF(OR(Tasks[[#This Row],[Task Name]]="",Tasks[[#This Row],[Baseline Duration]]=""),"",Tasks[[#This Row],[BL Source Duration]]-N(Tasks[[#This Row],[Baseline Duration]]))</f>
        <v/>
      </c>
      <c r="BD35" s="110" t="str">
        <f aca="false">IF(OR(Tasks[[#This Row],[Task Name]]="",Tasks[[#This Row],[Baseline Work]]=""),"",Tasks[[#This Row],[Work]]-N(Tasks[[#This Row],[Baseline Work]]))</f>
        <v/>
      </c>
      <c r="BE35" s="111" t="str">
        <f aca="false">IF(OR(Tasks[[#This Row],[Task Name]]="",Tasks[[#This Row],[Baseline Cost]]=""),"",Tasks[[#This Row],[Cost]]-N(Tasks[[#This Row],[Baseline Cost]]))</f>
        <v/>
      </c>
      <c r="BF35" s="31" t="str">
        <f aca="false">IF(Tasks[[#This Row],[Task Name]]="","",Tasks[[#This Row],[Forecast Start]])</f>
        <v/>
      </c>
      <c r="BG35" s="31" t="str">
        <f aca="false">IF(Tasks[[#This Row],[Task Name]]="","",Tasks[[#This Row],[Forecast Finish]])</f>
        <v/>
      </c>
      <c r="BH35" s="51" t="str">
        <f aca="false">IF(Tasks[[#This Row],[Task Name]]="","",IF(Tasks[[#This Row],[_IsSummary]],NETWORKDAYS.INTL(Tasks[[#This Row],[Forecast Start]],Tasks[[#This Row],[Forecast Finish]],WorkWeek,Holidays),N(Tasks[[#This Row],[Duration]])))</f>
        <v/>
      </c>
      <c r="BI35" s="110" t="str">
        <f aca="false">IF(Tasks[[#This Row],[Task Name]]="","",Tasks[[#This Row],[Work]])</f>
        <v/>
      </c>
      <c r="BJ35" s="111" t="str">
        <f aca="false">IF(Tasks[[#This Row],[Task Name]]="","",Tasks[[#This Row],[Cost]])</f>
        <v/>
      </c>
      <c r="BK35" s="7"/>
      <c r="BL35" s="7"/>
      <c r="BM35" s="52"/>
      <c r="BN35" s="113"/>
      <c r="BO35" s="112"/>
      <c r="BP35" s="111" t="str">
        <f aca="false">IF(Tasks[[#This Row],[Task Name]]="","",IF(Tasks[[#This Row],[_IsSummary]],SUM(INDEX(Tasks[_LeafEV],Tasks[[#This Row],[_Row]]+1):INDEX(Tasks[_LeafEV],Tasks[[#This Row],[_Row]]+Tasks[[#This Row],[_Descendants]])),Tasks[[#This Row],[_LeafEV]]))</f>
        <v/>
      </c>
      <c r="BQ35" s="111" t="str">
        <f aca="false">IF(Tasks[[#This Row],[Task Name]]="","",IF(Tasks[[#This Row],[_IsSummary]],SUM(INDEX(Tasks[_LeafBudget],Tasks[[#This Row],[_Row]]+1):INDEX(Tasks[_LeafBudget],Tasks[[#This Row],[_Row]]+Tasks[[#This Row],[_Descendants]])),Tasks[[#This Row],[_LeafBudget]]))</f>
        <v/>
      </c>
      <c r="BR35" s="111" t="str">
        <f aca="false">IF(Tasks[[#This Row],[Task Name]]="","",IF(Tasks[[#This Row],[_IsSummary]],SUM(INDEX(Tasks[_LeafPV],Tasks[[#This Row],[_Row]]+1):INDEX(Tasks[_LeafPV],Tasks[[#This Row],[_Row]]+Tasks[[#This Row],[_Descendants]])),Tasks[[#This Row],[_LeafPV]]))</f>
        <v/>
      </c>
      <c r="BS35" s="111" t="str">
        <f aca="false">IF(Tasks[[#This Row],[Task Name]]="","",IF(Tasks[[#This Row],[_IsSummary]],SUM(INDEX(Tasks[_LeafAC],Tasks[[#This Row],[_Row]]+1):INDEX(Tasks[_LeafAC],Tasks[[#This Row],[_Row]]+Tasks[[#This Row],[_Descendants]])),Tasks[[#This Row],[_LeafAC]]))</f>
        <v/>
      </c>
      <c r="BT35" s="38" t="str">
        <f aca="false">IF(Tasks[[#This Row],[Task Name]]="","",MAX(1,N(Tasks[[#This Row],[Level]])))</f>
        <v/>
      </c>
      <c r="BU35" s="38" t="n">
        <f aca="false">ROW()-ROW(Tasks[[#Headers],[ID]])</f>
        <v>30</v>
      </c>
      <c r="BV35" s="38" t="n">
        <f aca="false">IF(OR(Tasks[[#This Row],[Task Name]]="",Tasks[[#This Row],[_Level]]&lt;=1),0,IFERROR(LOOKUP(2,1/(Tasks[[#Headers],[_Level]]:Tasks[[#This Row],[_Level]]=Tasks[[#This Row],[_Level]]-1),ROW(Tasks[[#Headers],[_Level]]:Tasks[[#This Row],[_Level]])),0))</f>
        <v>0</v>
      </c>
      <c r="BW35" s="38" t="n">
        <f aca="false">IFERROR(N(INDEX(Tasks[_Level],Tasks[[#This Row],[_Row]]+1)),0)</f>
        <v>0</v>
      </c>
      <c r="BX35" s="114" t="b">
        <f aca="false">AND(Tasks[[#This Row],[Task Name]]&lt;&gt;"",Tasks[[#This Row],[_NextLevel]]&gt;Tasks[[#This Row],[_Level]])</f>
        <v>0</v>
      </c>
      <c r="BY35" s="38" t="n">
        <f aca="false">IF(Tasks[[#This Row],[_IsSummary]],COUNTIF(Tasks[WBS],Tasks[[#This Row],[WBS]]&amp;".*"),0)</f>
        <v>0</v>
      </c>
      <c r="BZ35" s="38" t="n">
        <f aca="false">IF(AND(Tasks[[#This Row],[Task Name]]&lt;&gt;"",NOT(Tasks[[#This Row],[_IsSummary]])),1,0)</f>
        <v>0</v>
      </c>
      <c r="CA35" s="38" t="n">
        <f aca="false">IF(N(Tasks[[#This Row],[Pred1 UID]])=0,0,IFERROR(MATCH(Tasks[[#This Row],[Pred1 UID]],Tasks[UID],0),-1))</f>
        <v>0</v>
      </c>
      <c r="CB35" s="38" t="n">
        <f aca="false">IF(N(Tasks[[#This Row],[Pred2 UID]])=0,0,IFERROR(MATCH(Tasks[[#This Row],[Pred2 UID]],Tasks[UID],0),-1))</f>
        <v>0</v>
      </c>
      <c r="CC35" s="38" t="n">
        <f aca="false">IF(N(Tasks[[#This Row],[Pred3 UID]])=0,0,IFERROR(MATCH(Tasks[[#This Row],[Pred3 UID]],Tasks[UID],0),-1))</f>
        <v>0</v>
      </c>
      <c r="CD35" s="38" t="n">
        <f aca="false">IF(N(Tasks[[#This Row],[Pred4 UID]])=0,0,IFERROR(MATCH(Tasks[[#This Row],[Pred4 UID]],Tasks[UID],0),-1))</f>
        <v>0</v>
      </c>
      <c r="CE3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5" s="115" t="n">
        <f aca="false">IF(OR(Tasks[[#This Row],[_ConstraintCode]]=2,Tasks[[#This Row],[_ConstraintCode]]=3,Tasks[[#This Row],[_ConstraintCode]]=4,Tasks[[#This Row],[_ConstraintCode]]=6),Tasks[[#This Row],[_ConstraintStart]],0)</f>
        <v>0</v>
      </c>
      <c r="CH35" s="115" t="n">
        <f aca="false">IF(OR(Tasks[[#This Row],[_ConstraintCode]]=2,Tasks[[#This Row],[_ConstraintCode]]=3,Tasks[[#This Row],[_ConstraintCode]]=5,Tasks[[#This Row],[_ConstraintCode]]=7),Tasks[[#This Row],[_ConstraintStart]],2958465)</f>
        <v>2958465</v>
      </c>
      <c r="CI3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5" s="115" t="str">
        <f aca="false">IF(NOT(Tasks[[#This Row],[_IsLeaf]]=1),"",IF(N(Tasks[[#This Row],[Duration]])&lt;=0,Tasks[[#This Row],[_LeafCalcStart]],WORKDAY.INTL(Tasks[[#This Row],[_LeafCalcStart]],Tasks[[#This Row],[Duration]]-1,WorkWeek,Holidays)))</f>
        <v/>
      </c>
      <c r="CK3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5" s="38" t="n">
        <f aca="false">IF(NOT(Tasks[[#This Row],[_IsLeaf]]=1),0,IF(N(Tasks[[#This Row],[Actual Finish]])&gt;0,1,MIN(1,N(Tasks[[#This Row],[% Complete]]))))</f>
        <v>0</v>
      </c>
      <c r="CN35" s="38" t="n">
        <f aca="false">IF(OR(NOT(Tasks[[#This Row],[_IsLeaf]]=1),Tasks[[#This Row],[Resource]]=""),0,N(Tasks[[#This Row],[Duration]])*HoursPerDay*IF(Tasks[[#This Row],[Units]]="",DefaultUnits,Tasks[[#This Row],[Units]]))</f>
        <v>0</v>
      </c>
      <c r="CO35" s="38" t="n">
        <f aca="false">IF(Tasks[[#This Row],[_LeafWork]]=0,0,Tasks[[#This Row],[_LeafWork]]*IFERROR(INDEX(res_Rate,MATCH(Tasks[[#This Row],[Resource]],res_Name,0)),0))</f>
        <v>0</v>
      </c>
      <c r="CP35" s="38" t="n">
        <f aca="false">Tasks[[#This Row],[_LeafWork]]+IF(Tasks[[#This Row],[_IsLeaf]]=1,SUMIFS(asg_Work,asg_TaskUID,Tasks[[#This Row],[UID]],asg_Valid,1),0)</f>
        <v>0</v>
      </c>
      <c r="CQ35" s="38" t="n">
        <f aca="false">Tasks[[#This Row],[_LeafCost]]+IF(Tasks[[#This Row],[_IsLeaf]]=1,SUMIFS(asg_Cost,asg_TaskUID,Tasks[[#This Row],[UID]],asg_Valid,1),0)</f>
        <v>0</v>
      </c>
      <c r="CR35" s="38" t="n">
        <f aca="false">IF(Tasks[[#This Row],[_LeafTotalCost]]=0,Tasks[[#This Row],[_LeafAC]],Tasks[[#This Row],[_LeafAC]]*Tasks[[#This Row],[_LeafCost]]/Tasks[[#This Row],[_LeafTotalCost]])</f>
        <v>0</v>
      </c>
      <c r="CS3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5" s="38" t="n">
        <f aca="false">IF(NOT(Tasks[[#This Row],[_IsLeaf]]=1),0,MAX(_xlfn.MAXIFS(Tasks[_Row],Tasks[Pred1 UID],Tasks[[#This Row],[UID]]),_xlfn.MAXIFS(Tasks[_Row],Tasks[Pred2 UID],Tasks[[#This Row],[UID]]),_xlfn.MAXIFS(Tasks[_Row],Tasks[Pred3 UID],Tasks[[#This Row],[UID]]),_xlfn.MAXIFS(Tasks[_Row],Tasks[Pred4 UID],Tasks[[#This Row],[UID]])))</f>
        <v>0</v>
      </c>
      <c r="DB3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5" s="115" t="str">
        <f aca="false">IF(NOT(Tasks[[#This Row],[_IsLeaf]]=1),"",IF(N(Tasks[[#This Row],[Duration]])&lt;=0,Tasks[[#This Row],[_LeafLateFinish]],WORKDAY.INTL(Tasks[[#This Row],[_LeafLateFinish]],-(Tasks[[#This Row],[Duration]]-1),WorkWeek,Holidays)))</f>
        <v/>
      </c>
      <c r="DE3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5" s="114" t="b">
        <f aca="false">AND(Tasks[[#This Row],[_IsLeaf]]=1,Tasks[[#This Row],[_LeafProgress]]&lt;1,N(Tasks[[#This Row],[_LeafTotalSlack]])&lt;=CriticalSlackDays)</f>
        <v>0</v>
      </c>
      <c r="DG35" s="38" t="n">
        <f aca="false">IF(AND(Tasks[[#This Row],[_IsLeaf]]=1,Tasks[[#This Row],[_ConstraintCode]]=1,Tasks[[#This Row],[Mode]]&lt;&gt;"Manual",N(Tasks[[#This Row],[Actual Start]])=0),MAX(0,N(Tasks[[#This Row],[Free Slack]])),0)</f>
        <v>0</v>
      </c>
      <c r="DH35" s="115" t="str">
        <f aca="false">IF(NOT(Tasks[[#This Row],[_IsLeaf]]=1),"",IF(Tasks[[#This Row],[_AlapShift]]=0,Tasks[[#This Row],[_LeafCalcStart]],WORKDAY.INTL(Tasks[[#This Row],[_LeafCalcStart]],Tasks[[#This Row],[_AlapShift]],WorkWeek,Holidays)))</f>
        <v/>
      </c>
      <c r="DI35" s="115" t="str">
        <f aca="false">IF(NOT(Tasks[[#This Row],[_IsLeaf]]=1),"",IF(Tasks[[#This Row],[_AlapShift]]=0,Tasks[[#This Row],[_LeafCalcFinish]],WORKDAY.INTL(Tasks[[#This Row],[_LeafCalcFinish]],Tasks[[#This Row],[_AlapShift]],WorkWeek,Holidays)))</f>
        <v/>
      </c>
      <c r="DJ35" s="115" t="str">
        <f aca="false">IF(NOT(Tasks[[#This Row],[_IsLeaf]]=1),"",IF(Tasks[[#This Row],[_AlapShift]]=0,Tasks[[#This Row],[_LeafFcstStart]],WORKDAY.INTL(Tasks[[#This Row],[_LeafFcstStart]],Tasks[[#This Row],[_AlapShift]],WorkWeek,Holidays)))</f>
        <v/>
      </c>
      <c r="DK35" s="115" t="str">
        <f aca="false">IF(NOT(Tasks[[#This Row],[_IsLeaf]]=1),"",IF(Tasks[[#This Row],[_AlapShift]]=0,Tasks[[#This Row],[_LeafFcstFinish]],WORKDAY.INTL(Tasks[[#This Row],[_LeafFcstFinish]],Tasks[[#This Row],[_AlapShift]],WorkWeek,Holidays)))</f>
        <v/>
      </c>
      <c r="DL35" s="115" t="str">
        <f aca="false">IF(Tasks[[#This Row],[Task Name]]="","",IF(Tasks[[#This Row],[_IsSummary]],MIN(INDEX(Tasks[_ShownCalcStart],Tasks[[#This Row],[_Row]]+1):INDEX(Tasks[_ShownCalcStart],Tasks[[#This Row],[_Row]]+Tasks[[#This Row],[_Descendants]])),Tasks[[#This Row],[_ShownCalcStart]]))</f>
        <v/>
      </c>
      <c r="DM35" s="115" t="str">
        <f aca="false">IF(Tasks[[#This Row],[Task Name]]="","",IF(Tasks[[#This Row],[_IsSummary]],MAX(INDEX(Tasks[_ShownCalcFinish],Tasks[[#This Row],[_Row]]+1):INDEX(Tasks[_ShownCalcFinish],Tasks[[#This Row],[_Row]]+Tasks[[#This Row],[_Descendants]])),Tasks[[#This Row],[_ShownCalcFinish]]))</f>
        <v/>
      </c>
      <c r="DN3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5" s="38" t="n">
        <f aca="false">IF(AND(Tasks[[#This Row],[_IsLeaf]]=1,Tasks[[#This Row],[_LeafTotalWork]]&gt;0),NETWORKDAYS.INTL(ProjectStart,Tasks[[#This Row],[_ShownFcstStart]],WorkWeek,Holidays),0)</f>
        <v>0</v>
      </c>
      <c r="EA35" s="38" t="n">
        <f aca="false">IF(AND(Tasks[[#This Row],[_IsLeaf]]=1,Tasks[[#This Row],[_LeafTotalWork]]&gt;0),MAX(Tasks[[#This Row],[_StartWorkday]],NETWORKDAYS.INTL(ProjectStart,Tasks[[#This Row],[_ShownFcstFinish]],WorkWeek,Holidays)),0)</f>
        <v>0</v>
      </c>
      <c r="EB35" s="38" t="n">
        <f aca="false">IF(AND(Tasks[[#This Row],[_IsLeaf]]=1,Tasks[[#This Row],[_LeafTotalWork]]&gt;0),Tasks[[#This Row],[_LeafWork]]/(Tasks[[#This Row],[_FinishWorkday]]-Tasks[[#This Row],[_StartWorkday]]+1),0)</f>
        <v>0</v>
      </c>
      <c r="EC35" s="38" t="n">
        <f aca="false">Tasks[[#This Row],[_WorkPerWorkday]]*(Tasks[[#This Row],[_StartWorkday]]-1)</f>
        <v>-0</v>
      </c>
      <c r="ED35" s="38" t="n">
        <f aca="false">IF(Tasks[[#This Row],[_IsLeaf]]=1,MAX(N(Tasks[[#This Row],[Duration]]),0.1),0)</f>
        <v>0</v>
      </c>
      <c r="EE35" s="38" t="n">
        <f aca="false">Tasks[[#This Row],[_WeightDur]]*Tasks[[#This Row],[_LeafProgress]]</f>
        <v>0</v>
      </c>
      <c r="EF3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5" s="38" t="str">
        <f aca="false">IF(AND(Tasks[[#This Row],[_IsLeaf]]=1,N(Tasks[[#This Row],[Duration]])=0,Tasks[[#This Row],[_LeafProgress]]&lt;1),Tasks[[#This Row],[_ShownFcstFinish]]+Tasks[[#This Row],[_Row]]/100000,"")</f>
        <v/>
      </c>
      <c r="EH3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5" s="38" t="n">
        <f aca="false">IF(NOT(Tasks[[#This Row],[_IsLeaf]]=1),0,IF(Tasks[[#This Row],[Baseline Cost]]="",Tasks[[#This Row],[_LeafTotalCost]],N(Tasks[[#This Row],[Baseline Cost]])))</f>
        <v>0</v>
      </c>
      <c r="EJ35" s="38" t="n">
        <f aca="false">Tasks[[#This Row],[_LeafBudget]]*Tasks[[#This Row],[_PlannedPct]]</f>
        <v>0</v>
      </c>
      <c r="EK35" s="38" t="n">
        <f aca="false">Tasks[[#This Row],[_LeafBudget]]*Tasks[[#This Row],[_LeafProgress]]</f>
        <v>0</v>
      </c>
      <c r="EL35" s="38" t="n">
        <f aca="false">IF(NOT(Tasks[[#This Row],[_IsLeaf]]=1),0,IF(Tasks[[#This Row],[Actual Cost]]="",Tasks[[#This Row],[_LeafTotalCost]]*Tasks[[#This Row],[_LeafProgress]],N(Tasks[[#This Row],[Actual Cost]])))</f>
        <v>0</v>
      </c>
      <c r="EM35" s="38" t="str">
        <f aca="false">IF(Tasks[[#This Row],[Task Name]]="","",LEFT(Tasks[[#This Row],[WBS]],FIND(".",Tasks[[#This Row],[WBS]]&amp;".")-1))</f>
        <v/>
      </c>
      <c r="EN35" s="38" t="str">
        <f aca="false">IF(AND(Tasks[[#This Row],[Task Name]]&lt;&gt;"",Tasks[[#This Row],[_Level]]=1),Tasks[[#This Row],[_Row]],"")</f>
        <v/>
      </c>
      <c r="EO35" s="38" t="str">
        <f aca="false">IF(AND(Tasks[[#This Row],[_IsLeaf]]=1,N(Tasks[[#This Row],[Duration]])=0),Tasks[[#This Row],[Planned Finish]]+Tasks[[#This Row],[_Row]]/100000,"")</f>
        <v/>
      </c>
      <c r="EP35" s="38" t="str">
        <f aca="false">IF(AND(Tasks[[#This Row],[_IsLeaf]]=1,Tasks[[#This Row],[_LeafProgress]]&lt;1,OR(N(Tasks[[#This Row],[Finish Var]])&gt;0,Tasks[[#This Row],[Status]]="Late Start")),MAX(0,Tasks[[#This Row],[Finish Var]])+1-Tasks[[#This Row],[_Row]]/1000000,"")</f>
        <v/>
      </c>
      <c r="EQ35" s="38" t="str">
        <f aca="false">IF(AND(Tasks[[#This Row],[_IsLeaf]]=1,N(Tasks[[#This Row],[Actual Start]])=0,Tasks[[#This Row],[_ShownFcstStart]]&gt;=StatusDate,Tasks[[#This Row],[_ShownFcstStart]]&lt;=LookaheadEnd),Tasks[[#This Row],[_ShownFcstStart]]+Tasks[[#This Row],[_Row]]/100000,"")</f>
        <v/>
      </c>
      <c r="ER35" s="38" t="str">
        <f aca="false">IF(AND(Tasks[[#This Row],[_IsLeaf]]=1,Tasks[[#This Row],[_LeafProgress]]&lt;1,Tasks[[#This Row],[_ShownFcstFinish]]&gt;=StatusDate,Tasks[[#This Row],[_ShownFcstFinish]]&lt;=LookaheadEnd),Tasks[[#This Row],[_ShownFcstFinish]]+Tasks[[#This Row],[_Row]]/100000,"")</f>
        <v/>
      </c>
      <c r="ES35" s="38" t="str">
        <f aca="false">IF(Tasks[[#This Row],[_LeafCritical]],Tasks[[#This Row],[_ShownFcstStart]]+Tasks[[#This Row],[_Row]]/100000,"")</f>
        <v/>
      </c>
      <c r="ET35" s="38" t="n">
        <f aca="false">Tasks[[#This Row],[_LeafWork]]*Tasks[[#This Row],[_LeafProgress]]</f>
        <v>0</v>
      </c>
      <c r="EU35" s="115" t="str">
        <f aca="false">IF(AND(Tasks[[#This Row],[_IsLeaf]]=1,Tasks[[#This Row],[_LeafProgress]]&gt;=1),IF(N(Tasks[[#This Row],[Actual Finish]])&gt;0,Tasks[[#This Row],[Actual Finish]],Tasks[[#This Row],[_ShownFcstFinish]]),"")</f>
        <v/>
      </c>
      <c r="EV35" s="38" t="n">
        <f aca="false">IF(Tasks[[#This Row],[_IsLeaf]]=1,N(Tasks[[#This Row],[Story Points]]),0)</f>
        <v>0</v>
      </c>
      <c r="EW35" s="38" t="str">
        <f aca="false">IF(AND(Tasks[[#This Row],[_IsLeaf]]=1,CurrentSprint&lt;&gt;"",Tasks[[#This Row],[Sprint]]=CurrentSprint),Tasks[[#This Row],[_Row]],"")</f>
        <v/>
      </c>
    </row>
    <row r="36" customFormat="false" ht="15" hidden="false" customHeight="false" outlineLevel="0" collapsed="false">
      <c r="A36" s="51" t="str">
        <f aca="false">IF(Tasks[[#This Row],[Task Name]]="","",COUNTA(Tasks[[#Headers],[Task Name]]:Tasks[[#This Row],[Task Name]])-1)</f>
        <v/>
      </c>
      <c r="B36" s="52" t="n">
        <v>31</v>
      </c>
      <c r="C3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52"/>
      <c r="E36" s="53"/>
      <c r="F36" s="52"/>
      <c r="G36" s="52"/>
      <c r="H36" s="52"/>
      <c r="I36" s="52"/>
      <c r="J36" s="52"/>
      <c r="K36" s="52"/>
      <c r="L36" s="52"/>
      <c r="M36" s="52"/>
      <c r="N36" s="52"/>
      <c r="O36" s="52"/>
      <c r="P36" s="52"/>
      <c r="Q36" s="52"/>
      <c r="R36" s="52"/>
      <c r="S36" s="53"/>
      <c r="T36" s="102"/>
      <c r="U36" s="102"/>
      <c r="V36" s="7"/>
      <c r="W36" s="7"/>
      <c r="X36" s="53"/>
      <c r="Y36" s="31" t="str">
        <f aca="false">IF(Tasks[[#This Row],[Task Name]]="","",IF(Tasks[[#This Row],[_IsSummary]],MIN(INDEX(Tasks[_ShownFcstStart],Tasks[[#This Row],[_Row]]+1):INDEX(Tasks[_ShownFcstStart],Tasks[[#This Row],[_Row]]+Tasks[[#This Row],[_Descendants]])),Tasks[[#This Row],[_ShownFcstStart]]))</f>
        <v/>
      </c>
      <c r="Z36" s="31" t="str">
        <f aca="false">IF(Tasks[[#This Row],[Task Name]]="","",IF(Tasks[[#This Row],[_IsSummary]],MAX(INDEX(Tasks[_ShownFcstFinish],Tasks[[#This Row],[_Row]]+1):INDEX(Tasks[_ShownFcstFinish],Tasks[[#This Row],[_Row]]+Tasks[[#This Row],[_Descendants]])),Tasks[[#This Row],[_ShownFcstFinish]]))</f>
        <v/>
      </c>
      <c r="AA36" s="51" t="str">
        <f aca="false">IF(Tasks[[#This Row],[Task Name]]="","",IF(Tasks[[#This Row],[Progress]]&gt;=1,"Complete",IF(OR(N(Tasks[[#This Row],[Actual Start]])&gt;0,Tasks[[#This Row],[Progress]]&gt;0),IF(Tasks[[#This Row],[Finish Var]]&gt;0,"Behind","In Progress"),IF(Tasks[[#This Row],[Planned Start]]&lt;StatusDate,"Late Start","Not Started"))))</f>
        <v/>
      </c>
      <c r="AB36" s="51" t="str">
        <f aca="false">IF(Tasks[[#This Row],[Task Name]]="","",IF(IF(Tasks[[#This Row],[_IsSummary]],COUNTIF(INDEX(Tasks[_LeafCritical],Tasks[[#This Row],[_Row]]+1):INDEX(Tasks[_LeafCritical],Tasks[[#This Row],[_Row]]+Tasks[[#This Row],[_Descendants]]),TRUE())&gt;0,Tasks[[#This Row],[_LeafCritical]]),"Yes",""))</f>
        <v/>
      </c>
      <c r="AC3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6" s="51" t="str">
        <f aca="false">IF(Tasks[[#This Row],[Task Name]]="","",IF(Tasks[[#This Row],[_Level]]&lt;=OutlineShowLevel,"Yes","No"))</f>
        <v/>
      </c>
      <c r="AE36" s="7"/>
      <c r="AF36" s="52"/>
      <c r="AG36" s="53"/>
      <c r="AH36" s="7"/>
      <c r="AI3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6" s="31" t="str">
        <f aca="false">IF(Tasks[[#This Row],[Task Name]]="","",IF(N(Tasks[[#This Row],[Baseline Start]])&gt;0,Tasks[[#This Row],[Baseline Start]],Tasks[[#This Row],[_CalcStart]]))</f>
        <v/>
      </c>
      <c r="AK36" s="31" t="str">
        <f aca="false">IF(Tasks[[#This Row],[Task Name]]="","",IF(N(Tasks[[#This Row],[Baseline Finish]])&gt;0,Tasks[[#This Row],[Baseline Finish]],Tasks[[#This Row],[_CalcFinish]]))</f>
        <v/>
      </c>
      <c r="AL3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6" s="31" t="str">
        <f aca="false">IF(Tasks[[#This Row],[Task Name]]="","",IF(Tasks[[#This Row],[_IsSummary]],MIN(INDEX(Tasks[_LeafLateStart],Tasks[[#This Row],[_Row]]+1):INDEX(Tasks[_LeafLateStart],Tasks[[#This Row],[_Row]]+Tasks[[#This Row],[_Descendants]])),Tasks[[#This Row],[_LeafLateStart]]))</f>
        <v/>
      </c>
      <c r="AN36" s="31" t="str">
        <f aca="false">IF(Tasks[[#This Row],[Task Name]]="","",IF(Tasks[[#This Row],[_IsSummary]],MAX(INDEX(Tasks[_LeafLateFinish],Tasks[[#This Row],[_Row]]+1):INDEX(Tasks[_LeafLateFinish],Tasks[[#This Row],[_Row]]+Tasks[[#This Row],[_Descendants]])),Tasks[[#This Row],[_LeafLateFinish]]))</f>
        <v/>
      </c>
      <c r="AO36" s="51" t="str">
        <f aca="false">IF(Tasks[[#This Row],[Task Name]]="","",IF(Tasks[[#This Row],[_IsSummary]],MIN(INDEX(Tasks[_LeafTotalSlack],Tasks[[#This Row],[_Row]]+1):INDEX(Tasks[_LeafTotalSlack],Tasks[[#This Row],[_Row]]+Tasks[[#This Row],[_Descendants]])),Tasks[[#This Row],[_LeafTotalSlack]]))</f>
        <v/>
      </c>
      <c r="AP3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6" s="110" t="str">
        <f aca="false">IF(Tasks[[#This Row],[Task Name]]="","",IF(Tasks[[#This Row],[_IsSummary]],SUM(INDEX(Tasks[_LeafTotalWork],Tasks[[#This Row],[_Row]]+1):INDEX(Tasks[_LeafTotalWork],Tasks[[#This Row],[_Row]]+Tasks[[#This Row],[_Descendants]])),Tasks[[#This Row],[_LeafTotalWork]]))</f>
        <v/>
      </c>
      <c r="AV3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6" s="111" t="str">
        <f aca="false">IF(Tasks[[#This Row],[Task Name]]="","",IF(Tasks[[#This Row],[_IsSummary]],SUM(INDEX(Tasks[_LeafTotalCost],Tasks[[#This Row],[_Row]]+1):INDEX(Tasks[_LeafTotalCost],Tasks[[#This Row],[_Row]]+Tasks[[#This Row],[_Descendants]])),Tasks[[#This Row],[_LeafTotalCost]]))</f>
        <v/>
      </c>
      <c r="AY36" s="112"/>
      <c r="AZ3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6" s="52"/>
      <c r="BB36" s="98"/>
      <c r="BC36" s="51" t="str">
        <f aca="false">IF(OR(Tasks[[#This Row],[Task Name]]="",Tasks[[#This Row],[Baseline Duration]]=""),"",Tasks[[#This Row],[BL Source Duration]]-N(Tasks[[#This Row],[Baseline Duration]]))</f>
        <v/>
      </c>
      <c r="BD36" s="110" t="str">
        <f aca="false">IF(OR(Tasks[[#This Row],[Task Name]]="",Tasks[[#This Row],[Baseline Work]]=""),"",Tasks[[#This Row],[Work]]-N(Tasks[[#This Row],[Baseline Work]]))</f>
        <v/>
      </c>
      <c r="BE36" s="111" t="str">
        <f aca="false">IF(OR(Tasks[[#This Row],[Task Name]]="",Tasks[[#This Row],[Baseline Cost]]=""),"",Tasks[[#This Row],[Cost]]-N(Tasks[[#This Row],[Baseline Cost]]))</f>
        <v/>
      </c>
      <c r="BF36" s="31" t="str">
        <f aca="false">IF(Tasks[[#This Row],[Task Name]]="","",Tasks[[#This Row],[Forecast Start]])</f>
        <v/>
      </c>
      <c r="BG36" s="31" t="str">
        <f aca="false">IF(Tasks[[#This Row],[Task Name]]="","",Tasks[[#This Row],[Forecast Finish]])</f>
        <v/>
      </c>
      <c r="BH36" s="51" t="str">
        <f aca="false">IF(Tasks[[#This Row],[Task Name]]="","",IF(Tasks[[#This Row],[_IsSummary]],NETWORKDAYS.INTL(Tasks[[#This Row],[Forecast Start]],Tasks[[#This Row],[Forecast Finish]],WorkWeek,Holidays),N(Tasks[[#This Row],[Duration]])))</f>
        <v/>
      </c>
      <c r="BI36" s="110" t="str">
        <f aca="false">IF(Tasks[[#This Row],[Task Name]]="","",Tasks[[#This Row],[Work]])</f>
        <v/>
      </c>
      <c r="BJ36" s="111" t="str">
        <f aca="false">IF(Tasks[[#This Row],[Task Name]]="","",Tasks[[#This Row],[Cost]])</f>
        <v/>
      </c>
      <c r="BK36" s="7"/>
      <c r="BL36" s="7"/>
      <c r="BM36" s="52"/>
      <c r="BN36" s="113"/>
      <c r="BO36" s="112"/>
      <c r="BP36" s="111" t="str">
        <f aca="false">IF(Tasks[[#This Row],[Task Name]]="","",IF(Tasks[[#This Row],[_IsSummary]],SUM(INDEX(Tasks[_LeafEV],Tasks[[#This Row],[_Row]]+1):INDEX(Tasks[_LeafEV],Tasks[[#This Row],[_Row]]+Tasks[[#This Row],[_Descendants]])),Tasks[[#This Row],[_LeafEV]]))</f>
        <v/>
      </c>
      <c r="BQ36" s="111" t="str">
        <f aca="false">IF(Tasks[[#This Row],[Task Name]]="","",IF(Tasks[[#This Row],[_IsSummary]],SUM(INDEX(Tasks[_LeafBudget],Tasks[[#This Row],[_Row]]+1):INDEX(Tasks[_LeafBudget],Tasks[[#This Row],[_Row]]+Tasks[[#This Row],[_Descendants]])),Tasks[[#This Row],[_LeafBudget]]))</f>
        <v/>
      </c>
      <c r="BR36" s="111" t="str">
        <f aca="false">IF(Tasks[[#This Row],[Task Name]]="","",IF(Tasks[[#This Row],[_IsSummary]],SUM(INDEX(Tasks[_LeafPV],Tasks[[#This Row],[_Row]]+1):INDEX(Tasks[_LeafPV],Tasks[[#This Row],[_Row]]+Tasks[[#This Row],[_Descendants]])),Tasks[[#This Row],[_LeafPV]]))</f>
        <v/>
      </c>
      <c r="BS36" s="111" t="str">
        <f aca="false">IF(Tasks[[#This Row],[Task Name]]="","",IF(Tasks[[#This Row],[_IsSummary]],SUM(INDEX(Tasks[_LeafAC],Tasks[[#This Row],[_Row]]+1):INDEX(Tasks[_LeafAC],Tasks[[#This Row],[_Row]]+Tasks[[#This Row],[_Descendants]])),Tasks[[#This Row],[_LeafAC]]))</f>
        <v/>
      </c>
      <c r="BT36" s="38" t="str">
        <f aca="false">IF(Tasks[[#This Row],[Task Name]]="","",MAX(1,N(Tasks[[#This Row],[Level]])))</f>
        <v/>
      </c>
      <c r="BU36" s="38" t="n">
        <f aca="false">ROW()-ROW(Tasks[[#Headers],[ID]])</f>
        <v>31</v>
      </c>
      <c r="BV36" s="38" t="n">
        <f aca="false">IF(OR(Tasks[[#This Row],[Task Name]]="",Tasks[[#This Row],[_Level]]&lt;=1),0,IFERROR(LOOKUP(2,1/(Tasks[[#Headers],[_Level]]:Tasks[[#This Row],[_Level]]=Tasks[[#This Row],[_Level]]-1),ROW(Tasks[[#Headers],[_Level]]:Tasks[[#This Row],[_Level]])),0))</f>
        <v>0</v>
      </c>
      <c r="BW36" s="38" t="n">
        <f aca="false">IFERROR(N(INDEX(Tasks[_Level],Tasks[[#This Row],[_Row]]+1)),0)</f>
        <v>0</v>
      </c>
      <c r="BX36" s="114" t="b">
        <f aca="false">AND(Tasks[[#This Row],[Task Name]]&lt;&gt;"",Tasks[[#This Row],[_NextLevel]]&gt;Tasks[[#This Row],[_Level]])</f>
        <v>0</v>
      </c>
      <c r="BY36" s="38" t="n">
        <f aca="false">IF(Tasks[[#This Row],[_IsSummary]],COUNTIF(Tasks[WBS],Tasks[[#This Row],[WBS]]&amp;".*"),0)</f>
        <v>0</v>
      </c>
      <c r="BZ36" s="38" t="n">
        <f aca="false">IF(AND(Tasks[[#This Row],[Task Name]]&lt;&gt;"",NOT(Tasks[[#This Row],[_IsSummary]])),1,0)</f>
        <v>0</v>
      </c>
      <c r="CA36" s="38" t="n">
        <f aca="false">IF(N(Tasks[[#This Row],[Pred1 UID]])=0,0,IFERROR(MATCH(Tasks[[#This Row],[Pred1 UID]],Tasks[UID],0),-1))</f>
        <v>0</v>
      </c>
      <c r="CB36" s="38" t="n">
        <f aca="false">IF(N(Tasks[[#This Row],[Pred2 UID]])=0,0,IFERROR(MATCH(Tasks[[#This Row],[Pred2 UID]],Tasks[UID],0),-1))</f>
        <v>0</v>
      </c>
      <c r="CC36" s="38" t="n">
        <f aca="false">IF(N(Tasks[[#This Row],[Pred3 UID]])=0,0,IFERROR(MATCH(Tasks[[#This Row],[Pred3 UID]],Tasks[UID],0),-1))</f>
        <v>0</v>
      </c>
      <c r="CD36" s="38" t="n">
        <f aca="false">IF(N(Tasks[[#This Row],[Pred4 UID]])=0,0,IFERROR(MATCH(Tasks[[#This Row],[Pred4 UID]],Tasks[UID],0),-1))</f>
        <v>0</v>
      </c>
      <c r="CE3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6" s="115" t="n">
        <f aca="false">IF(OR(Tasks[[#This Row],[_ConstraintCode]]=2,Tasks[[#This Row],[_ConstraintCode]]=3,Tasks[[#This Row],[_ConstraintCode]]=4,Tasks[[#This Row],[_ConstraintCode]]=6),Tasks[[#This Row],[_ConstraintStart]],0)</f>
        <v>0</v>
      </c>
      <c r="CH36" s="115" t="n">
        <f aca="false">IF(OR(Tasks[[#This Row],[_ConstraintCode]]=2,Tasks[[#This Row],[_ConstraintCode]]=3,Tasks[[#This Row],[_ConstraintCode]]=5,Tasks[[#This Row],[_ConstraintCode]]=7),Tasks[[#This Row],[_ConstraintStart]],2958465)</f>
        <v>2958465</v>
      </c>
      <c r="CI3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6" s="115" t="str">
        <f aca="false">IF(NOT(Tasks[[#This Row],[_IsLeaf]]=1),"",IF(N(Tasks[[#This Row],[Duration]])&lt;=0,Tasks[[#This Row],[_LeafCalcStart]],WORKDAY.INTL(Tasks[[#This Row],[_LeafCalcStart]],Tasks[[#This Row],[Duration]]-1,WorkWeek,Holidays)))</f>
        <v/>
      </c>
      <c r="CK3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6" s="38" t="n">
        <f aca="false">IF(NOT(Tasks[[#This Row],[_IsLeaf]]=1),0,IF(N(Tasks[[#This Row],[Actual Finish]])&gt;0,1,MIN(1,N(Tasks[[#This Row],[% Complete]]))))</f>
        <v>0</v>
      </c>
      <c r="CN36" s="38" t="n">
        <f aca="false">IF(OR(NOT(Tasks[[#This Row],[_IsLeaf]]=1),Tasks[[#This Row],[Resource]]=""),0,N(Tasks[[#This Row],[Duration]])*HoursPerDay*IF(Tasks[[#This Row],[Units]]="",DefaultUnits,Tasks[[#This Row],[Units]]))</f>
        <v>0</v>
      </c>
      <c r="CO36" s="38" t="n">
        <f aca="false">IF(Tasks[[#This Row],[_LeafWork]]=0,0,Tasks[[#This Row],[_LeafWork]]*IFERROR(INDEX(res_Rate,MATCH(Tasks[[#This Row],[Resource]],res_Name,0)),0))</f>
        <v>0</v>
      </c>
      <c r="CP36" s="38" t="n">
        <f aca="false">Tasks[[#This Row],[_LeafWork]]+IF(Tasks[[#This Row],[_IsLeaf]]=1,SUMIFS(asg_Work,asg_TaskUID,Tasks[[#This Row],[UID]],asg_Valid,1),0)</f>
        <v>0</v>
      </c>
      <c r="CQ36" s="38" t="n">
        <f aca="false">Tasks[[#This Row],[_LeafCost]]+IF(Tasks[[#This Row],[_IsLeaf]]=1,SUMIFS(asg_Cost,asg_TaskUID,Tasks[[#This Row],[UID]],asg_Valid,1),0)</f>
        <v>0</v>
      </c>
      <c r="CR36" s="38" t="n">
        <f aca="false">IF(Tasks[[#This Row],[_LeafTotalCost]]=0,Tasks[[#This Row],[_LeafAC]],Tasks[[#This Row],[_LeafAC]]*Tasks[[#This Row],[_LeafCost]]/Tasks[[#This Row],[_LeafTotalCost]])</f>
        <v>0</v>
      </c>
      <c r="CS3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6" s="38" t="n">
        <f aca="false">IF(NOT(Tasks[[#This Row],[_IsLeaf]]=1),0,MAX(_xlfn.MAXIFS(Tasks[_Row],Tasks[Pred1 UID],Tasks[[#This Row],[UID]]),_xlfn.MAXIFS(Tasks[_Row],Tasks[Pred2 UID],Tasks[[#This Row],[UID]]),_xlfn.MAXIFS(Tasks[_Row],Tasks[Pred3 UID],Tasks[[#This Row],[UID]]),_xlfn.MAXIFS(Tasks[_Row],Tasks[Pred4 UID],Tasks[[#This Row],[UID]])))</f>
        <v>0</v>
      </c>
      <c r="DB3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6" s="115" t="str">
        <f aca="false">IF(NOT(Tasks[[#This Row],[_IsLeaf]]=1),"",IF(N(Tasks[[#This Row],[Duration]])&lt;=0,Tasks[[#This Row],[_LeafLateFinish]],WORKDAY.INTL(Tasks[[#This Row],[_LeafLateFinish]],-(Tasks[[#This Row],[Duration]]-1),WorkWeek,Holidays)))</f>
        <v/>
      </c>
      <c r="DE3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6" s="114" t="b">
        <f aca="false">AND(Tasks[[#This Row],[_IsLeaf]]=1,Tasks[[#This Row],[_LeafProgress]]&lt;1,N(Tasks[[#This Row],[_LeafTotalSlack]])&lt;=CriticalSlackDays)</f>
        <v>0</v>
      </c>
      <c r="DG36" s="38" t="n">
        <f aca="false">IF(AND(Tasks[[#This Row],[_IsLeaf]]=1,Tasks[[#This Row],[_ConstraintCode]]=1,Tasks[[#This Row],[Mode]]&lt;&gt;"Manual",N(Tasks[[#This Row],[Actual Start]])=0),MAX(0,N(Tasks[[#This Row],[Free Slack]])),0)</f>
        <v>0</v>
      </c>
      <c r="DH36" s="115" t="str">
        <f aca="false">IF(NOT(Tasks[[#This Row],[_IsLeaf]]=1),"",IF(Tasks[[#This Row],[_AlapShift]]=0,Tasks[[#This Row],[_LeafCalcStart]],WORKDAY.INTL(Tasks[[#This Row],[_LeafCalcStart]],Tasks[[#This Row],[_AlapShift]],WorkWeek,Holidays)))</f>
        <v/>
      </c>
      <c r="DI36" s="115" t="str">
        <f aca="false">IF(NOT(Tasks[[#This Row],[_IsLeaf]]=1),"",IF(Tasks[[#This Row],[_AlapShift]]=0,Tasks[[#This Row],[_LeafCalcFinish]],WORKDAY.INTL(Tasks[[#This Row],[_LeafCalcFinish]],Tasks[[#This Row],[_AlapShift]],WorkWeek,Holidays)))</f>
        <v/>
      </c>
      <c r="DJ36" s="115" t="str">
        <f aca="false">IF(NOT(Tasks[[#This Row],[_IsLeaf]]=1),"",IF(Tasks[[#This Row],[_AlapShift]]=0,Tasks[[#This Row],[_LeafFcstStart]],WORKDAY.INTL(Tasks[[#This Row],[_LeafFcstStart]],Tasks[[#This Row],[_AlapShift]],WorkWeek,Holidays)))</f>
        <v/>
      </c>
      <c r="DK36" s="115" t="str">
        <f aca="false">IF(NOT(Tasks[[#This Row],[_IsLeaf]]=1),"",IF(Tasks[[#This Row],[_AlapShift]]=0,Tasks[[#This Row],[_LeafFcstFinish]],WORKDAY.INTL(Tasks[[#This Row],[_LeafFcstFinish]],Tasks[[#This Row],[_AlapShift]],WorkWeek,Holidays)))</f>
        <v/>
      </c>
      <c r="DL36" s="115" t="str">
        <f aca="false">IF(Tasks[[#This Row],[Task Name]]="","",IF(Tasks[[#This Row],[_IsSummary]],MIN(INDEX(Tasks[_ShownCalcStart],Tasks[[#This Row],[_Row]]+1):INDEX(Tasks[_ShownCalcStart],Tasks[[#This Row],[_Row]]+Tasks[[#This Row],[_Descendants]])),Tasks[[#This Row],[_ShownCalcStart]]))</f>
        <v/>
      </c>
      <c r="DM36" s="115" t="str">
        <f aca="false">IF(Tasks[[#This Row],[Task Name]]="","",IF(Tasks[[#This Row],[_IsSummary]],MAX(INDEX(Tasks[_ShownCalcFinish],Tasks[[#This Row],[_Row]]+1):INDEX(Tasks[_ShownCalcFinish],Tasks[[#This Row],[_Row]]+Tasks[[#This Row],[_Descendants]])),Tasks[[#This Row],[_ShownCalcFinish]]))</f>
        <v/>
      </c>
      <c r="DN3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6" s="38" t="n">
        <f aca="false">IF(AND(Tasks[[#This Row],[_IsLeaf]]=1,Tasks[[#This Row],[_LeafTotalWork]]&gt;0),NETWORKDAYS.INTL(ProjectStart,Tasks[[#This Row],[_ShownFcstStart]],WorkWeek,Holidays),0)</f>
        <v>0</v>
      </c>
      <c r="EA36" s="38" t="n">
        <f aca="false">IF(AND(Tasks[[#This Row],[_IsLeaf]]=1,Tasks[[#This Row],[_LeafTotalWork]]&gt;0),MAX(Tasks[[#This Row],[_StartWorkday]],NETWORKDAYS.INTL(ProjectStart,Tasks[[#This Row],[_ShownFcstFinish]],WorkWeek,Holidays)),0)</f>
        <v>0</v>
      </c>
      <c r="EB36" s="38" t="n">
        <f aca="false">IF(AND(Tasks[[#This Row],[_IsLeaf]]=1,Tasks[[#This Row],[_LeafTotalWork]]&gt;0),Tasks[[#This Row],[_LeafWork]]/(Tasks[[#This Row],[_FinishWorkday]]-Tasks[[#This Row],[_StartWorkday]]+1),0)</f>
        <v>0</v>
      </c>
      <c r="EC36" s="38" t="n">
        <f aca="false">Tasks[[#This Row],[_WorkPerWorkday]]*(Tasks[[#This Row],[_StartWorkday]]-1)</f>
        <v>-0</v>
      </c>
      <c r="ED36" s="38" t="n">
        <f aca="false">IF(Tasks[[#This Row],[_IsLeaf]]=1,MAX(N(Tasks[[#This Row],[Duration]]),0.1),0)</f>
        <v>0</v>
      </c>
      <c r="EE36" s="38" t="n">
        <f aca="false">Tasks[[#This Row],[_WeightDur]]*Tasks[[#This Row],[_LeafProgress]]</f>
        <v>0</v>
      </c>
      <c r="EF3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6" s="38" t="str">
        <f aca="false">IF(AND(Tasks[[#This Row],[_IsLeaf]]=1,N(Tasks[[#This Row],[Duration]])=0,Tasks[[#This Row],[_LeafProgress]]&lt;1),Tasks[[#This Row],[_ShownFcstFinish]]+Tasks[[#This Row],[_Row]]/100000,"")</f>
        <v/>
      </c>
      <c r="EH3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6" s="38" t="n">
        <f aca="false">IF(NOT(Tasks[[#This Row],[_IsLeaf]]=1),0,IF(Tasks[[#This Row],[Baseline Cost]]="",Tasks[[#This Row],[_LeafTotalCost]],N(Tasks[[#This Row],[Baseline Cost]])))</f>
        <v>0</v>
      </c>
      <c r="EJ36" s="38" t="n">
        <f aca="false">Tasks[[#This Row],[_LeafBudget]]*Tasks[[#This Row],[_PlannedPct]]</f>
        <v>0</v>
      </c>
      <c r="EK36" s="38" t="n">
        <f aca="false">Tasks[[#This Row],[_LeafBudget]]*Tasks[[#This Row],[_LeafProgress]]</f>
        <v>0</v>
      </c>
      <c r="EL36" s="38" t="n">
        <f aca="false">IF(NOT(Tasks[[#This Row],[_IsLeaf]]=1),0,IF(Tasks[[#This Row],[Actual Cost]]="",Tasks[[#This Row],[_LeafTotalCost]]*Tasks[[#This Row],[_LeafProgress]],N(Tasks[[#This Row],[Actual Cost]])))</f>
        <v>0</v>
      </c>
      <c r="EM36" s="38" t="str">
        <f aca="false">IF(Tasks[[#This Row],[Task Name]]="","",LEFT(Tasks[[#This Row],[WBS]],FIND(".",Tasks[[#This Row],[WBS]]&amp;".")-1))</f>
        <v/>
      </c>
      <c r="EN36" s="38" t="str">
        <f aca="false">IF(AND(Tasks[[#This Row],[Task Name]]&lt;&gt;"",Tasks[[#This Row],[_Level]]=1),Tasks[[#This Row],[_Row]],"")</f>
        <v/>
      </c>
      <c r="EO36" s="38" t="str">
        <f aca="false">IF(AND(Tasks[[#This Row],[_IsLeaf]]=1,N(Tasks[[#This Row],[Duration]])=0),Tasks[[#This Row],[Planned Finish]]+Tasks[[#This Row],[_Row]]/100000,"")</f>
        <v/>
      </c>
      <c r="EP36" s="38" t="str">
        <f aca="false">IF(AND(Tasks[[#This Row],[_IsLeaf]]=1,Tasks[[#This Row],[_LeafProgress]]&lt;1,OR(N(Tasks[[#This Row],[Finish Var]])&gt;0,Tasks[[#This Row],[Status]]="Late Start")),MAX(0,Tasks[[#This Row],[Finish Var]])+1-Tasks[[#This Row],[_Row]]/1000000,"")</f>
        <v/>
      </c>
      <c r="EQ36" s="38" t="str">
        <f aca="false">IF(AND(Tasks[[#This Row],[_IsLeaf]]=1,N(Tasks[[#This Row],[Actual Start]])=0,Tasks[[#This Row],[_ShownFcstStart]]&gt;=StatusDate,Tasks[[#This Row],[_ShownFcstStart]]&lt;=LookaheadEnd),Tasks[[#This Row],[_ShownFcstStart]]+Tasks[[#This Row],[_Row]]/100000,"")</f>
        <v/>
      </c>
      <c r="ER36" s="38" t="str">
        <f aca="false">IF(AND(Tasks[[#This Row],[_IsLeaf]]=1,Tasks[[#This Row],[_LeafProgress]]&lt;1,Tasks[[#This Row],[_ShownFcstFinish]]&gt;=StatusDate,Tasks[[#This Row],[_ShownFcstFinish]]&lt;=LookaheadEnd),Tasks[[#This Row],[_ShownFcstFinish]]+Tasks[[#This Row],[_Row]]/100000,"")</f>
        <v/>
      </c>
      <c r="ES36" s="38" t="str">
        <f aca="false">IF(Tasks[[#This Row],[_LeafCritical]],Tasks[[#This Row],[_ShownFcstStart]]+Tasks[[#This Row],[_Row]]/100000,"")</f>
        <v/>
      </c>
      <c r="ET36" s="38" t="n">
        <f aca="false">Tasks[[#This Row],[_LeafWork]]*Tasks[[#This Row],[_LeafProgress]]</f>
        <v>0</v>
      </c>
      <c r="EU36" s="115" t="str">
        <f aca="false">IF(AND(Tasks[[#This Row],[_IsLeaf]]=1,Tasks[[#This Row],[_LeafProgress]]&gt;=1),IF(N(Tasks[[#This Row],[Actual Finish]])&gt;0,Tasks[[#This Row],[Actual Finish]],Tasks[[#This Row],[_ShownFcstFinish]]),"")</f>
        <v/>
      </c>
      <c r="EV36" s="38" t="n">
        <f aca="false">IF(Tasks[[#This Row],[_IsLeaf]]=1,N(Tasks[[#This Row],[Story Points]]),0)</f>
        <v>0</v>
      </c>
      <c r="EW36" s="38" t="str">
        <f aca="false">IF(AND(Tasks[[#This Row],[_IsLeaf]]=1,CurrentSprint&lt;&gt;"",Tasks[[#This Row],[Sprint]]=CurrentSprint),Tasks[[#This Row],[_Row]],"")</f>
        <v/>
      </c>
    </row>
    <row r="37" customFormat="false" ht="15" hidden="false" customHeight="false" outlineLevel="0" collapsed="false">
      <c r="A37" s="51" t="str">
        <f aca="false">IF(Tasks[[#This Row],[Task Name]]="","",COUNTA(Tasks[[#Headers],[Task Name]]:Tasks[[#This Row],[Task Name]])-1)</f>
        <v/>
      </c>
      <c r="B37" s="52" t="n">
        <v>32</v>
      </c>
      <c r="C3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52"/>
      <c r="E37" s="53"/>
      <c r="F37" s="52"/>
      <c r="G37" s="52"/>
      <c r="H37" s="52"/>
      <c r="I37" s="52"/>
      <c r="J37" s="52"/>
      <c r="K37" s="52"/>
      <c r="L37" s="52"/>
      <c r="M37" s="52"/>
      <c r="N37" s="52"/>
      <c r="O37" s="52"/>
      <c r="P37" s="52"/>
      <c r="Q37" s="52"/>
      <c r="R37" s="52"/>
      <c r="S37" s="53"/>
      <c r="T37" s="102"/>
      <c r="U37" s="102"/>
      <c r="V37" s="7"/>
      <c r="W37" s="7"/>
      <c r="X37" s="53"/>
      <c r="Y37" s="31" t="str">
        <f aca="false">IF(Tasks[[#This Row],[Task Name]]="","",IF(Tasks[[#This Row],[_IsSummary]],MIN(INDEX(Tasks[_ShownFcstStart],Tasks[[#This Row],[_Row]]+1):INDEX(Tasks[_ShownFcstStart],Tasks[[#This Row],[_Row]]+Tasks[[#This Row],[_Descendants]])),Tasks[[#This Row],[_ShownFcstStart]]))</f>
        <v/>
      </c>
      <c r="Z37" s="31" t="str">
        <f aca="false">IF(Tasks[[#This Row],[Task Name]]="","",IF(Tasks[[#This Row],[_IsSummary]],MAX(INDEX(Tasks[_ShownFcstFinish],Tasks[[#This Row],[_Row]]+1):INDEX(Tasks[_ShownFcstFinish],Tasks[[#This Row],[_Row]]+Tasks[[#This Row],[_Descendants]])),Tasks[[#This Row],[_ShownFcstFinish]]))</f>
        <v/>
      </c>
      <c r="AA37" s="51" t="str">
        <f aca="false">IF(Tasks[[#This Row],[Task Name]]="","",IF(Tasks[[#This Row],[Progress]]&gt;=1,"Complete",IF(OR(N(Tasks[[#This Row],[Actual Start]])&gt;0,Tasks[[#This Row],[Progress]]&gt;0),IF(Tasks[[#This Row],[Finish Var]]&gt;0,"Behind","In Progress"),IF(Tasks[[#This Row],[Planned Start]]&lt;StatusDate,"Late Start","Not Started"))))</f>
        <v/>
      </c>
      <c r="AB37" s="51" t="str">
        <f aca="false">IF(Tasks[[#This Row],[Task Name]]="","",IF(IF(Tasks[[#This Row],[_IsSummary]],COUNTIF(INDEX(Tasks[_LeafCritical],Tasks[[#This Row],[_Row]]+1):INDEX(Tasks[_LeafCritical],Tasks[[#This Row],[_Row]]+Tasks[[#This Row],[_Descendants]]),TRUE())&gt;0,Tasks[[#This Row],[_LeafCritical]]),"Yes",""))</f>
        <v/>
      </c>
      <c r="AC3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7" s="51" t="str">
        <f aca="false">IF(Tasks[[#This Row],[Task Name]]="","",IF(Tasks[[#This Row],[_Level]]&lt;=OutlineShowLevel,"Yes","No"))</f>
        <v/>
      </c>
      <c r="AE37" s="7"/>
      <c r="AF37" s="52"/>
      <c r="AG37" s="53"/>
      <c r="AH37" s="7"/>
      <c r="AI3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7" s="31" t="str">
        <f aca="false">IF(Tasks[[#This Row],[Task Name]]="","",IF(N(Tasks[[#This Row],[Baseline Start]])&gt;0,Tasks[[#This Row],[Baseline Start]],Tasks[[#This Row],[_CalcStart]]))</f>
        <v/>
      </c>
      <c r="AK37" s="31" t="str">
        <f aca="false">IF(Tasks[[#This Row],[Task Name]]="","",IF(N(Tasks[[#This Row],[Baseline Finish]])&gt;0,Tasks[[#This Row],[Baseline Finish]],Tasks[[#This Row],[_CalcFinish]]))</f>
        <v/>
      </c>
      <c r="AL3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7" s="31" t="str">
        <f aca="false">IF(Tasks[[#This Row],[Task Name]]="","",IF(Tasks[[#This Row],[_IsSummary]],MIN(INDEX(Tasks[_LeafLateStart],Tasks[[#This Row],[_Row]]+1):INDEX(Tasks[_LeafLateStart],Tasks[[#This Row],[_Row]]+Tasks[[#This Row],[_Descendants]])),Tasks[[#This Row],[_LeafLateStart]]))</f>
        <v/>
      </c>
      <c r="AN37" s="31" t="str">
        <f aca="false">IF(Tasks[[#This Row],[Task Name]]="","",IF(Tasks[[#This Row],[_IsSummary]],MAX(INDEX(Tasks[_LeafLateFinish],Tasks[[#This Row],[_Row]]+1):INDEX(Tasks[_LeafLateFinish],Tasks[[#This Row],[_Row]]+Tasks[[#This Row],[_Descendants]])),Tasks[[#This Row],[_LeafLateFinish]]))</f>
        <v/>
      </c>
      <c r="AO37" s="51" t="str">
        <f aca="false">IF(Tasks[[#This Row],[Task Name]]="","",IF(Tasks[[#This Row],[_IsSummary]],MIN(INDEX(Tasks[_LeafTotalSlack],Tasks[[#This Row],[_Row]]+1):INDEX(Tasks[_LeafTotalSlack],Tasks[[#This Row],[_Row]]+Tasks[[#This Row],[_Descendants]])),Tasks[[#This Row],[_LeafTotalSlack]]))</f>
        <v/>
      </c>
      <c r="AP3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7" s="110" t="str">
        <f aca="false">IF(Tasks[[#This Row],[Task Name]]="","",IF(Tasks[[#This Row],[_IsSummary]],SUM(INDEX(Tasks[_LeafTotalWork],Tasks[[#This Row],[_Row]]+1):INDEX(Tasks[_LeafTotalWork],Tasks[[#This Row],[_Row]]+Tasks[[#This Row],[_Descendants]])),Tasks[[#This Row],[_LeafTotalWork]]))</f>
        <v/>
      </c>
      <c r="AV3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7" s="111" t="str">
        <f aca="false">IF(Tasks[[#This Row],[Task Name]]="","",IF(Tasks[[#This Row],[_IsSummary]],SUM(INDEX(Tasks[_LeafTotalCost],Tasks[[#This Row],[_Row]]+1):INDEX(Tasks[_LeafTotalCost],Tasks[[#This Row],[_Row]]+Tasks[[#This Row],[_Descendants]])),Tasks[[#This Row],[_LeafTotalCost]]))</f>
        <v/>
      </c>
      <c r="AY37" s="112"/>
      <c r="AZ3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7" s="52"/>
      <c r="BB37" s="98"/>
      <c r="BC37" s="51" t="str">
        <f aca="false">IF(OR(Tasks[[#This Row],[Task Name]]="",Tasks[[#This Row],[Baseline Duration]]=""),"",Tasks[[#This Row],[BL Source Duration]]-N(Tasks[[#This Row],[Baseline Duration]]))</f>
        <v/>
      </c>
      <c r="BD37" s="110" t="str">
        <f aca="false">IF(OR(Tasks[[#This Row],[Task Name]]="",Tasks[[#This Row],[Baseline Work]]=""),"",Tasks[[#This Row],[Work]]-N(Tasks[[#This Row],[Baseline Work]]))</f>
        <v/>
      </c>
      <c r="BE37" s="111" t="str">
        <f aca="false">IF(OR(Tasks[[#This Row],[Task Name]]="",Tasks[[#This Row],[Baseline Cost]]=""),"",Tasks[[#This Row],[Cost]]-N(Tasks[[#This Row],[Baseline Cost]]))</f>
        <v/>
      </c>
      <c r="BF37" s="31" t="str">
        <f aca="false">IF(Tasks[[#This Row],[Task Name]]="","",Tasks[[#This Row],[Forecast Start]])</f>
        <v/>
      </c>
      <c r="BG37" s="31" t="str">
        <f aca="false">IF(Tasks[[#This Row],[Task Name]]="","",Tasks[[#This Row],[Forecast Finish]])</f>
        <v/>
      </c>
      <c r="BH37" s="51" t="str">
        <f aca="false">IF(Tasks[[#This Row],[Task Name]]="","",IF(Tasks[[#This Row],[_IsSummary]],NETWORKDAYS.INTL(Tasks[[#This Row],[Forecast Start]],Tasks[[#This Row],[Forecast Finish]],WorkWeek,Holidays),N(Tasks[[#This Row],[Duration]])))</f>
        <v/>
      </c>
      <c r="BI37" s="110" t="str">
        <f aca="false">IF(Tasks[[#This Row],[Task Name]]="","",Tasks[[#This Row],[Work]])</f>
        <v/>
      </c>
      <c r="BJ37" s="111" t="str">
        <f aca="false">IF(Tasks[[#This Row],[Task Name]]="","",Tasks[[#This Row],[Cost]])</f>
        <v/>
      </c>
      <c r="BK37" s="7"/>
      <c r="BL37" s="7"/>
      <c r="BM37" s="52"/>
      <c r="BN37" s="113"/>
      <c r="BO37" s="112"/>
      <c r="BP37" s="111" t="str">
        <f aca="false">IF(Tasks[[#This Row],[Task Name]]="","",IF(Tasks[[#This Row],[_IsSummary]],SUM(INDEX(Tasks[_LeafEV],Tasks[[#This Row],[_Row]]+1):INDEX(Tasks[_LeafEV],Tasks[[#This Row],[_Row]]+Tasks[[#This Row],[_Descendants]])),Tasks[[#This Row],[_LeafEV]]))</f>
        <v/>
      </c>
      <c r="BQ37" s="111" t="str">
        <f aca="false">IF(Tasks[[#This Row],[Task Name]]="","",IF(Tasks[[#This Row],[_IsSummary]],SUM(INDEX(Tasks[_LeafBudget],Tasks[[#This Row],[_Row]]+1):INDEX(Tasks[_LeafBudget],Tasks[[#This Row],[_Row]]+Tasks[[#This Row],[_Descendants]])),Tasks[[#This Row],[_LeafBudget]]))</f>
        <v/>
      </c>
      <c r="BR37" s="111" t="str">
        <f aca="false">IF(Tasks[[#This Row],[Task Name]]="","",IF(Tasks[[#This Row],[_IsSummary]],SUM(INDEX(Tasks[_LeafPV],Tasks[[#This Row],[_Row]]+1):INDEX(Tasks[_LeafPV],Tasks[[#This Row],[_Row]]+Tasks[[#This Row],[_Descendants]])),Tasks[[#This Row],[_LeafPV]]))</f>
        <v/>
      </c>
      <c r="BS37" s="111" t="str">
        <f aca="false">IF(Tasks[[#This Row],[Task Name]]="","",IF(Tasks[[#This Row],[_IsSummary]],SUM(INDEX(Tasks[_LeafAC],Tasks[[#This Row],[_Row]]+1):INDEX(Tasks[_LeafAC],Tasks[[#This Row],[_Row]]+Tasks[[#This Row],[_Descendants]])),Tasks[[#This Row],[_LeafAC]]))</f>
        <v/>
      </c>
      <c r="BT37" s="38" t="str">
        <f aca="false">IF(Tasks[[#This Row],[Task Name]]="","",MAX(1,N(Tasks[[#This Row],[Level]])))</f>
        <v/>
      </c>
      <c r="BU37" s="38" t="n">
        <f aca="false">ROW()-ROW(Tasks[[#Headers],[ID]])</f>
        <v>32</v>
      </c>
      <c r="BV37" s="38" t="n">
        <f aca="false">IF(OR(Tasks[[#This Row],[Task Name]]="",Tasks[[#This Row],[_Level]]&lt;=1),0,IFERROR(LOOKUP(2,1/(Tasks[[#Headers],[_Level]]:Tasks[[#This Row],[_Level]]=Tasks[[#This Row],[_Level]]-1),ROW(Tasks[[#Headers],[_Level]]:Tasks[[#This Row],[_Level]])),0))</f>
        <v>0</v>
      </c>
      <c r="BW37" s="38" t="n">
        <f aca="false">IFERROR(N(INDEX(Tasks[_Level],Tasks[[#This Row],[_Row]]+1)),0)</f>
        <v>0</v>
      </c>
      <c r="BX37" s="114" t="b">
        <f aca="false">AND(Tasks[[#This Row],[Task Name]]&lt;&gt;"",Tasks[[#This Row],[_NextLevel]]&gt;Tasks[[#This Row],[_Level]])</f>
        <v>0</v>
      </c>
      <c r="BY37" s="38" t="n">
        <f aca="false">IF(Tasks[[#This Row],[_IsSummary]],COUNTIF(Tasks[WBS],Tasks[[#This Row],[WBS]]&amp;".*"),0)</f>
        <v>0</v>
      </c>
      <c r="BZ37" s="38" t="n">
        <f aca="false">IF(AND(Tasks[[#This Row],[Task Name]]&lt;&gt;"",NOT(Tasks[[#This Row],[_IsSummary]])),1,0)</f>
        <v>0</v>
      </c>
      <c r="CA37" s="38" t="n">
        <f aca="false">IF(N(Tasks[[#This Row],[Pred1 UID]])=0,0,IFERROR(MATCH(Tasks[[#This Row],[Pred1 UID]],Tasks[UID],0),-1))</f>
        <v>0</v>
      </c>
      <c r="CB37" s="38" t="n">
        <f aca="false">IF(N(Tasks[[#This Row],[Pred2 UID]])=0,0,IFERROR(MATCH(Tasks[[#This Row],[Pred2 UID]],Tasks[UID],0),-1))</f>
        <v>0</v>
      </c>
      <c r="CC37" s="38" t="n">
        <f aca="false">IF(N(Tasks[[#This Row],[Pred3 UID]])=0,0,IFERROR(MATCH(Tasks[[#This Row],[Pred3 UID]],Tasks[UID],0),-1))</f>
        <v>0</v>
      </c>
      <c r="CD37" s="38" t="n">
        <f aca="false">IF(N(Tasks[[#This Row],[Pred4 UID]])=0,0,IFERROR(MATCH(Tasks[[#This Row],[Pred4 UID]],Tasks[UID],0),-1))</f>
        <v>0</v>
      </c>
      <c r="CE3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7" s="115" t="n">
        <f aca="false">IF(OR(Tasks[[#This Row],[_ConstraintCode]]=2,Tasks[[#This Row],[_ConstraintCode]]=3,Tasks[[#This Row],[_ConstraintCode]]=4,Tasks[[#This Row],[_ConstraintCode]]=6),Tasks[[#This Row],[_ConstraintStart]],0)</f>
        <v>0</v>
      </c>
      <c r="CH37" s="115" t="n">
        <f aca="false">IF(OR(Tasks[[#This Row],[_ConstraintCode]]=2,Tasks[[#This Row],[_ConstraintCode]]=3,Tasks[[#This Row],[_ConstraintCode]]=5,Tasks[[#This Row],[_ConstraintCode]]=7),Tasks[[#This Row],[_ConstraintStart]],2958465)</f>
        <v>2958465</v>
      </c>
      <c r="CI3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7" s="115" t="str">
        <f aca="false">IF(NOT(Tasks[[#This Row],[_IsLeaf]]=1),"",IF(N(Tasks[[#This Row],[Duration]])&lt;=0,Tasks[[#This Row],[_LeafCalcStart]],WORKDAY.INTL(Tasks[[#This Row],[_LeafCalcStart]],Tasks[[#This Row],[Duration]]-1,WorkWeek,Holidays)))</f>
        <v/>
      </c>
      <c r="CK3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7" s="38" t="n">
        <f aca="false">IF(NOT(Tasks[[#This Row],[_IsLeaf]]=1),0,IF(N(Tasks[[#This Row],[Actual Finish]])&gt;0,1,MIN(1,N(Tasks[[#This Row],[% Complete]]))))</f>
        <v>0</v>
      </c>
      <c r="CN37" s="38" t="n">
        <f aca="false">IF(OR(NOT(Tasks[[#This Row],[_IsLeaf]]=1),Tasks[[#This Row],[Resource]]=""),0,N(Tasks[[#This Row],[Duration]])*HoursPerDay*IF(Tasks[[#This Row],[Units]]="",DefaultUnits,Tasks[[#This Row],[Units]]))</f>
        <v>0</v>
      </c>
      <c r="CO37" s="38" t="n">
        <f aca="false">IF(Tasks[[#This Row],[_LeafWork]]=0,0,Tasks[[#This Row],[_LeafWork]]*IFERROR(INDEX(res_Rate,MATCH(Tasks[[#This Row],[Resource]],res_Name,0)),0))</f>
        <v>0</v>
      </c>
      <c r="CP37" s="38" t="n">
        <f aca="false">Tasks[[#This Row],[_LeafWork]]+IF(Tasks[[#This Row],[_IsLeaf]]=1,SUMIFS(asg_Work,asg_TaskUID,Tasks[[#This Row],[UID]],asg_Valid,1),0)</f>
        <v>0</v>
      </c>
      <c r="CQ37" s="38" t="n">
        <f aca="false">Tasks[[#This Row],[_LeafCost]]+IF(Tasks[[#This Row],[_IsLeaf]]=1,SUMIFS(asg_Cost,asg_TaskUID,Tasks[[#This Row],[UID]],asg_Valid,1),0)</f>
        <v>0</v>
      </c>
      <c r="CR37" s="38" t="n">
        <f aca="false">IF(Tasks[[#This Row],[_LeafTotalCost]]=0,Tasks[[#This Row],[_LeafAC]],Tasks[[#This Row],[_LeafAC]]*Tasks[[#This Row],[_LeafCost]]/Tasks[[#This Row],[_LeafTotalCost]])</f>
        <v>0</v>
      </c>
      <c r="CS3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7" s="38" t="n">
        <f aca="false">IF(NOT(Tasks[[#This Row],[_IsLeaf]]=1),0,MAX(_xlfn.MAXIFS(Tasks[_Row],Tasks[Pred1 UID],Tasks[[#This Row],[UID]]),_xlfn.MAXIFS(Tasks[_Row],Tasks[Pred2 UID],Tasks[[#This Row],[UID]]),_xlfn.MAXIFS(Tasks[_Row],Tasks[Pred3 UID],Tasks[[#This Row],[UID]]),_xlfn.MAXIFS(Tasks[_Row],Tasks[Pred4 UID],Tasks[[#This Row],[UID]])))</f>
        <v>0</v>
      </c>
      <c r="DB3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7" s="115" t="str">
        <f aca="false">IF(NOT(Tasks[[#This Row],[_IsLeaf]]=1),"",IF(N(Tasks[[#This Row],[Duration]])&lt;=0,Tasks[[#This Row],[_LeafLateFinish]],WORKDAY.INTL(Tasks[[#This Row],[_LeafLateFinish]],-(Tasks[[#This Row],[Duration]]-1),WorkWeek,Holidays)))</f>
        <v/>
      </c>
      <c r="DE3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7" s="114" t="b">
        <f aca="false">AND(Tasks[[#This Row],[_IsLeaf]]=1,Tasks[[#This Row],[_LeafProgress]]&lt;1,N(Tasks[[#This Row],[_LeafTotalSlack]])&lt;=CriticalSlackDays)</f>
        <v>0</v>
      </c>
      <c r="DG37" s="38" t="n">
        <f aca="false">IF(AND(Tasks[[#This Row],[_IsLeaf]]=1,Tasks[[#This Row],[_ConstraintCode]]=1,Tasks[[#This Row],[Mode]]&lt;&gt;"Manual",N(Tasks[[#This Row],[Actual Start]])=0),MAX(0,N(Tasks[[#This Row],[Free Slack]])),0)</f>
        <v>0</v>
      </c>
      <c r="DH37" s="115" t="str">
        <f aca="false">IF(NOT(Tasks[[#This Row],[_IsLeaf]]=1),"",IF(Tasks[[#This Row],[_AlapShift]]=0,Tasks[[#This Row],[_LeafCalcStart]],WORKDAY.INTL(Tasks[[#This Row],[_LeafCalcStart]],Tasks[[#This Row],[_AlapShift]],WorkWeek,Holidays)))</f>
        <v/>
      </c>
      <c r="DI37" s="115" t="str">
        <f aca="false">IF(NOT(Tasks[[#This Row],[_IsLeaf]]=1),"",IF(Tasks[[#This Row],[_AlapShift]]=0,Tasks[[#This Row],[_LeafCalcFinish]],WORKDAY.INTL(Tasks[[#This Row],[_LeafCalcFinish]],Tasks[[#This Row],[_AlapShift]],WorkWeek,Holidays)))</f>
        <v/>
      </c>
      <c r="DJ37" s="115" t="str">
        <f aca="false">IF(NOT(Tasks[[#This Row],[_IsLeaf]]=1),"",IF(Tasks[[#This Row],[_AlapShift]]=0,Tasks[[#This Row],[_LeafFcstStart]],WORKDAY.INTL(Tasks[[#This Row],[_LeafFcstStart]],Tasks[[#This Row],[_AlapShift]],WorkWeek,Holidays)))</f>
        <v/>
      </c>
      <c r="DK37" s="115" t="str">
        <f aca="false">IF(NOT(Tasks[[#This Row],[_IsLeaf]]=1),"",IF(Tasks[[#This Row],[_AlapShift]]=0,Tasks[[#This Row],[_LeafFcstFinish]],WORKDAY.INTL(Tasks[[#This Row],[_LeafFcstFinish]],Tasks[[#This Row],[_AlapShift]],WorkWeek,Holidays)))</f>
        <v/>
      </c>
      <c r="DL37" s="115" t="str">
        <f aca="false">IF(Tasks[[#This Row],[Task Name]]="","",IF(Tasks[[#This Row],[_IsSummary]],MIN(INDEX(Tasks[_ShownCalcStart],Tasks[[#This Row],[_Row]]+1):INDEX(Tasks[_ShownCalcStart],Tasks[[#This Row],[_Row]]+Tasks[[#This Row],[_Descendants]])),Tasks[[#This Row],[_ShownCalcStart]]))</f>
        <v/>
      </c>
      <c r="DM37" s="115" t="str">
        <f aca="false">IF(Tasks[[#This Row],[Task Name]]="","",IF(Tasks[[#This Row],[_IsSummary]],MAX(INDEX(Tasks[_ShownCalcFinish],Tasks[[#This Row],[_Row]]+1):INDEX(Tasks[_ShownCalcFinish],Tasks[[#This Row],[_Row]]+Tasks[[#This Row],[_Descendants]])),Tasks[[#This Row],[_ShownCalcFinish]]))</f>
        <v/>
      </c>
      <c r="DN3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7" s="38" t="n">
        <f aca="false">IF(AND(Tasks[[#This Row],[_IsLeaf]]=1,Tasks[[#This Row],[_LeafTotalWork]]&gt;0),NETWORKDAYS.INTL(ProjectStart,Tasks[[#This Row],[_ShownFcstStart]],WorkWeek,Holidays),0)</f>
        <v>0</v>
      </c>
      <c r="EA37" s="38" t="n">
        <f aca="false">IF(AND(Tasks[[#This Row],[_IsLeaf]]=1,Tasks[[#This Row],[_LeafTotalWork]]&gt;0),MAX(Tasks[[#This Row],[_StartWorkday]],NETWORKDAYS.INTL(ProjectStart,Tasks[[#This Row],[_ShownFcstFinish]],WorkWeek,Holidays)),0)</f>
        <v>0</v>
      </c>
      <c r="EB37" s="38" t="n">
        <f aca="false">IF(AND(Tasks[[#This Row],[_IsLeaf]]=1,Tasks[[#This Row],[_LeafTotalWork]]&gt;0),Tasks[[#This Row],[_LeafWork]]/(Tasks[[#This Row],[_FinishWorkday]]-Tasks[[#This Row],[_StartWorkday]]+1),0)</f>
        <v>0</v>
      </c>
      <c r="EC37" s="38" t="n">
        <f aca="false">Tasks[[#This Row],[_WorkPerWorkday]]*(Tasks[[#This Row],[_StartWorkday]]-1)</f>
        <v>-0</v>
      </c>
      <c r="ED37" s="38" t="n">
        <f aca="false">IF(Tasks[[#This Row],[_IsLeaf]]=1,MAX(N(Tasks[[#This Row],[Duration]]),0.1),0)</f>
        <v>0</v>
      </c>
      <c r="EE37" s="38" t="n">
        <f aca="false">Tasks[[#This Row],[_WeightDur]]*Tasks[[#This Row],[_LeafProgress]]</f>
        <v>0</v>
      </c>
      <c r="EF3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7" s="38" t="str">
        <f aca="false">IF(AND(Tasks[[#This Row],[_IsLeaf]]=1,N(Tasks[[#This Row],[Duration]])=0,Tasks[[#This Row],[_LeafProgress]]&lt;1),Tasks[[#This Row],[_ShownFcstFinish]]+Tasks[[#This Row],[_Row]]/100000,"")</f>
        <v/>
      </c>
      <c r="EH3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7" s="38" t="n">
        <f aca="false">IF(NOT(Tasks[[#This Row],[_IsLeaf]]=1),0,IF(Tasks[[#This Row],[Baseline Cost]]="",Tasks[[#This Row],[_LeafTotalCost]],N(Tasks[[#This Row],[Baseline Cost]])))</f>
        <v>0</v>
      </c>
      <c r="EJ37" s="38" t="n">
        <f aca="false">Tasks[[#This Row],[_LeafBudget]]*Tasks[[#This Row],[_PlannedPct]]</f>
        <v>0</v>
      </c>
      <c r="EK37" s="38" t="n">
        <f aca="false">Tasks[[#This Row],[_LeafBudget]]*Tasks[[#This Row],[_LeafProgress]]</f>
        <v>0</v>
      </c>
      <c r="EL37" s="38" t="n">
        <f aca="false">IF(NOT(Tasks[[#This Row],[_IsLeaf]]=1),0,IF(Tasks[[#This Row],[Actual Cost]]="",Tasks[[#This Row],[_LeafTotalCost]]*Tasks[[#This Row],[_LeafProgress]],N(Tasks[[#This Row],[Actual Cost]])))</f>
        <v>0</v>
      </c>
      <c r="EM37" s="38" t="str">
        <f aca="false">IF(Tasks[[#This Row],[Task Name]]="","",LEFT(Tasks[[#This Row],[WBS]],FIND(".",Tasks[[#This Row],[WBS]]&amp;".")-1))</f>
        <v/>
      </c>
      <c r="EN37" s="38" t="str">
        <f aca="false">IF(AND(Tasks[[#This Row],[Task Name]]&lt;&gt;"",Tasks[[#This Row],[_Level]]=1),Tasks[[#This Row],[_Row]],"")</f>
        <v/>
      </c>
      <c r="EO37" s="38" t="str">
        <f aca="false">IF(AND(Tasks[[#This Row],[_IsLeaf]]=1,N(Tasks[[#This Row],[Duration]])=0),Tasks[[#This Row],[Planned Finish]]+Tasks[[#This Row],[_Row]]/100000,"")</f>
        <v/>
      </c>
      <c r="EP37" s="38" t="str">
        <f aca="false">IF(AND(Tasks[[#This Row],[_IsLeaf]]=1,Tasks[[#This Row],[_LeafProgress]]&lt;1,OR(N(Tasks[[#This Row],[Finish Var]])&gt;0,Tasks[[#This Row],[Status]]="Late Start")),MAX(0,Tasks[[#This Row],[Finish Var]])+1-Tasks[[#This Row],[_Row]]/1000000,"")</f>
        <v/>
      </c>
      <c r="EQ37" s="38" t="str">
        <f aca="false">IF(AND(Tasks[[#This Row],[_IsLeaf]]=1,N(Tasks[[#This Row],[Actual Start]])=0,Tasks[[#This Row],[_ShownFcstStart]]&gt;=StatusDate,Tasks[[#This Row],[_ShownFcstStart]]&lt;=LookaheadEnd),Tasks[[#This Row],[_ShownFcstStart]]+Tasks[[#This Row],[_Row]]/100000,"")</f>
        <v/>
      </c>
      <c r="ER37" s="38" t="str">
        <f aca="false">IF(AND(Tasks[[#This Row],[_IsLeaf]]=1,Tasks[[#This Row],[_LeafProgress]]&lt;1,Tasks[[#This Row],[_ShownFcstFinish]]&gt;=StatusDate,Tasks[[#This Row],[_ShownFcstFinish]]&lt;=LookaheadEnd),Tasks[[#This Row],[_ShownFcstFinish]]+Tasks[[#This Row],[_Row]]/100000,"")</f>
        <v/>
      </c>
      <c r="ES37" s="38" t="str">
        <f aca="false">IF(Tasks[[#This Row],[_LeafCritical]],Tasks[[#This Row],[_ShownFcstStart]]+Tasks[[#This Row],[_Row]]/100000,"")</f>
        <v/>
      </c>
      <c r="ET37" s="38" t="n">
        <f aca="false">Tasks[[#This Row],[_LeafWork]]*Tasks[[#This Row],[_LeafProgress]]</f>
        <v>0</v>
      </c>
      <c r="EU37" s="115" t="str">
        <f aca="false">IF(AND(Tasks[[#This Row],[_IsLeaf]]=1,Tasks[[#This Row],[_LeafProgress]]&gt;=1),IF(N(Tasks[[#This Row],[Actual Finish]])&gt;0,Tasks[[#This Row],[Actual Finish]],Tasks[[#This Row],[_ShownFcstFinish]]),"")</f>
        <v/>
      </c>
      <c r="EV37" s="38" t="n">
        <f aca="false">IF(Tasks[[#This Row],[_IsLeaf]]=1,N(Tasks[[#This Row],[Story Points]]),0)</f>
        <v>0</v>
      </c>
      <c r="EW37" s="38" t="str">
        <f aca="false">IF(AND(Tasks[[#This Row],[_IsLeaf]]=1,CurrentSprint&lt;&gt;"",Tasks[[#This Row],[Sprint]]=CurrentSprint),Tasks[[#This Row],[_Row]],"")</f>
        <v/>
      </c>
    </row>
    <row r="38" customFormat="false" ht="15" hidden="false" customHeight="false" outlineLevel="0" collapsed="false">
      <c r="A38" s="51" t="str">
        <f aca="false">IF(Tasks[[#This Row],[Task Name]]="","",COUNTA(Tasks[[#Headers],[Task Name]]:Tasks[[#This Row],[Task Name]])-1)</f>
        <v/>
      </c>
      <c r="B38" s="52" t="n">
        <v>33</v>
      </c>
      <c r="C3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52"/>
      <c r="E38" s="53"/>
      <c r="F38" s="52"/>
      <c r="G38" s="52"/>
      <c r="H38" s="52"/>
      <c r="I38" s="52"/>
      <c r="J38" s="52"/>
      <c r="K38" s="52"/>
      <c r="L38" s="52"/>
      <c r="M38" s="52"/>
      <c r="N38" s="52"/>
      <c r="O38" s="52"/>
      <c r="P38" s="52"/>
      <c r="Q38" s="52"/>
      <c r="R38" s="52"/>
      <c r="S38" s="53"/>
      <c r="T38" s="102"/>
      <c r="U38" s="102"/>
      <c r="V38" s="7"/>
      <c r="W38" s="7"/>
      <c r="X38" s="53"/>
      <c r="Y38" s="31" t="str">
        <f aca="false">IF(Tasks[[#This Row],[Task Name]]="","",IF(Tasks[[#This Row],[_IsSummary]],MIN(INDEX(Tasks[_ShownFcstStart],Tasks[[#This Row],[_Row]]+1):INDEX(Tasks[_ShownFcstStart],Tasks[[#This Row],[_Row]]+Tasks[[#This Row],[_Descendants]])),Tasks[[#This Row],[_ShownFcstStart]]))</f>
        <v/>
      </c>
      <c r="Z38" s="31" t="str">
        <f aca="false">IF(Tasks[[#This Row],[Task Name]]="","",IF(Tasks[[#This Row],[_IsSummary]],MAX(INDEX(Tasks[_ShownFcstFinish],Tasks[[#This Row],[_Row]]+1):INDEX(Tasks[_ShownFcstFinish],Tasks[[#This Row],[_Row]]+Tasks[[#This Row],[_Descendants]])),Tasks[[#This Row],[_ShownFcstFinish]]))</f>
        <v/>
      </c>
      <c r="AA38" s="51" t="str">
        <f aca="false">IF(Tasks[[#This Row],[Task Name]]="","",IF(Tasks[[#This Row],[Progress]]&gt;=1,"Complete",IF(OR(N(Tasks[[#This Row],[Actual Start]])&gt;0,Tasks[[#This Row],[Progress]]&gt;0),IF(Tasks[[#This Row],[Finish Var]]&gt;0,"Behind","In Progress"),IF(Tasks[[#This Row],[Planned Start]]&lt;StatusDate,"Late Start","Not Started"))))</f>
        <v/>
      </c>
      <c r="AB38" s="51" t="str">
        <f aca="false">IF(Tasks[[#This Row],[Task Name]]="","",IF(IF(Tasks[[#This Row],[_IsSummary]],COUNTIF(INDEX(Tasks[_LeafCritical],Tasks[[#This Row],[_Row]]+1):INDEX(Tasks[_LeafCritical],Tasks[[#This Row],[_Row]]+Tasks[[#This Row],[_Descendants]]),TRUE())&gt;0,Tasks[[#This Row],[_LeafCritical]]),"Yes",""))</f>
        <v/>
      </c>
      <c r="AC3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8" s="51" t="str">
        <f aca="false">IF(Tasks[[#This Row],[Task Name]]="","",IF(Tasks[[#This Row],[_Level]]&lt;=OutlineShowLevel,"Yes","No"))</f>
        <v/>
      </c>
      <c r="AE38" s="7"/>
      <c r="AF38" s="52"/>
      <c r="AG38" s="53"/>
      <c r="AH38" s="7"/>
      <c r="AI3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8" s="31" t="str">
        <f aca="false">IF(Tasks[[#This Row],[Task Name]]="","",IF(N(Tasks[[#This Row],[Baseline Start]])&gt;0,Tasks[[#This Row],[Baseline Start]],Tasks[[#This Row],[_CalcStart]]))</f>
        <v/>
      </c>
      <c r="AK38" s="31" t="str">
        <f aca="false">IF(Tasks[[#This Row],[Task Name]]="","",IF(N(Tasks[[#This Row],[Baseline Finish]])&gt;0,Tasks[[#This Row],[Baseline Finish]],Tasks[[#This Row],[_CalcFinish]]))</f>
        <v/>
      </c>
      <c r="AL3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8" s="31" t="str">
        <f aca="false">IF(Tasks[[#This Row],[Task Name]]="","",IF(Tasks[[#This Row],[_IsSummary]],MIN(INDEX(Tasks[_LeafLateStart],Tasks[[#This Row],[_Row]]+1):INDEX(Tasks[_LeafLateStart],Tasks[[#This Row],[_Row]]+Tasks[[#This Row],[_Descendants]])),Tasks[[#This Row],[_LeafLateStart]]))</f>
        <v/>
      </c>
      <c r="AN38" s="31" t="str">
        <f aca="false">IF(Tasks[[#This Row],[Task Name]]="","",IF(Tasks[[#This Row],[_IsSummary]],MAX(INDEX(Tasks[_LeafLateFinish],Tasks[[#This Row],[_Row]]+1):INDEX(Tasks[_LeafLateFinish],Tasks[[#This Row],[_Row]]+Tasks[[#This Row],[_Descendants]])),Tasks[[#This Row],[_LeafLateFinish]]))</f>
        <v/>
      </c>
      <c r="AO38" s="51" t="str">
        <f aca="false">IF(Tasks[[#This Row],[Task Name]]="","",IF(Tasks[[#This Row],[_IsSummary]],MIN(INDEX(Tasks[_LeafTotalSlack],Tasks[[#This Row],[_Row]]+1):INDEX(Tasks[_LeafTotalSlack],Tasks[[#This Row],[_Row]]+Tasks[[#This Row],[_Descendants]])),Tasks[[#This Row],[_LeafTotalSlack]]))</f>
        <v/>
      </c>
      <c r="AP3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8" s="110" t="str">
        <f aca="false">IF(Tasks[[#This Row],[Task Name]]="","",IF(Tasks[[#This Row],[_IsSummary]],SUM(INDEX(Tasks[_LeafTotalWork],Tasks[[#This Row],[_Row]]+1):INDEX(Tasks[_LeafTotalWork],Tasks[[#This Row],[_Row]]+Tasks[[#This Row],[_Descendants]])),Tasks[[#This Row],[_LeafTotalWork]]))</f>
        <v/>
      </c>
      <c r="AV3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8" s="111" t="str">
        <f aca="false">IF(Tasks[[#This Row],[Task Name]]="","",IF(Tasks[[#This Row],[_IsSummary]],SUM(INDEX(Tasks[_LeafTotalCost],Tasks[[#This Row],[_Row]]+1):INDEX(Tasks[_LeafTotalCost],Tasks[[#This Row],[_Row]]+Tasks[[#This Row],[_Descendants]])),Tasks[[#This Row],[_LeafTotalCost]]))</f>
        <v/>
      </c>
      <c r="AY38" s="112"/>
      <c r="AZ3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8" s="52"/>
      <c r="BB38" s="98"/>
      <c r="BC38" s="51" t="str">
        <f aca="false">IF(OR(Tasks[[#This Row],[Task Name]]="",Tasks[[#This Row],[Baseline Duration]]=""),"",Tasks[[#This Row],[BL Source Duration]]-N(Tasks[[#This Row],[Baseline Duration]]))</f>
        <v/>
      </c>
      <c r="BD38" s="110" t="str">
        <f aca="false">IF(OR(Tasks[[#This Row],[Task Name]]="",Tasks[[#This Row],[Baseline Work]]=""),"",Tasks[[#This Row],[Work]]-N(Tasks[[#This Row],[Baseline Work]]))</f>
        <v/>
      </c>
      <c r="BE38" s="111" t="str">
        <f aca="false">IF(OR(Tasks[[#This Row],[Task Name]]="",Tasks[[#This Row],[Baseline Cost]]=""),"",Tasks[[#This Row],[Cost]]-N(Tasks[[#This Row],[Baseline Cost]]))</f>
        <v/>
      </c>
      <c r="BF38" s="31" t="str">
        <f aca="false">IF(Tasks[[#This Row],[Task Name]]="","",Tasks[[#This Row],[Forecast Start]])</f>
        <v/>
      </c>
      <c r="BG38" s="31" t="str">
        <f aca="false">IF(Tasks[[#This Row],[Task Name]]="","",Tasks[[#This Row],[Forecast Finish]])</f>
        <v/>
      </c>
      <c r="BH38" s="51" t="str">
        <f aca="false">IF(Tasks[[#This Row],[Task Name]]="","",IF(Tasks[[#This Row],[_IsSummary]],NETWORKDAYS.INTL(Tasks[[#This Row],[Forecast Start]],Tasks[[#This Row],[Forecast Finish]],WorkWeek,Holidays),N(Tasks[[#This Row],[Duration]])))</f>
        <v/>
      </c>
      <c r="BI38" s="110" t="str">
        <f aca="false">IF(Tasks[[#This Row],[Task Name]]="","",Tasks[[#This Row],[Work]])</f>
        <v/>
      </c>
      <c r="BJ38" s="111" t="str">
        <f aca="false">IF(Tasks[[#This Row],[Task Name]]="","",Tasks[[#This Row],[Cost]])</f>
        <v/>
      </c>
      <c r="BK38" s="7"/>
      <c r="BL38" s="7"/>
      <c r="BM38" s="52"/>
      <c r="BN38" s="113"/>
      <c r="BO38" s="112"/>
      <c r="BP38" s="111" t="str">
        <f aca="false">IF(Tasks[[#This Row],[Task Name]]="","",IF(Tasks[[#This Row],[_IsSummary]],SUM(INDEX(Tasks[_LeafEV],Tasks[[#This Row],[_Row]]+1):INDEX(Tasks[_LeafEV],Tasks[[#This Row],[_Row]]+Tasks[[#This Row],[_Descendants]])),Tasks[[#This Row],[_LeafEV]]))</f>
        <v/>
      </c>
      <c r="BQ38" s="111" t="str">
        <f aca="false">IF(Tasks[[#This Row],[Task Name]]="","",IF(Tasks[[#This Row],[_IsSummary]],SUM(INDEX(Tasks[_LeafBudget],Tasks[[#This Row],[_Row]]+1):INDEX(Tasks[_LeafBudget],Tasks[[#This Row],[_Row]]+Tasks[[#This Row],[_Descendants]])),Tasks[[#This Row],[_LeafBudget]]))</f>
        <v/>
      </c>
      <c r="BR38" s="111" t="str">
        <f aca="false">IF(Tasks[[#This Row],[Task Name]]="","",IF(Tasks[[#This Row],[_IsSummary]],SUM(INDEX(Tasks[_LeafPV],Tasks[[#This Row],[_Row]]+1):INDEX(Tasks[_LeafPV],Tasks[[#This Row],[_Row]]+Tasks[[#This Row],[_Descendants]])),Tasks[[#This Row],[_LeafPV]]))</f>
        <v/>
      </c>
      <c r="BS38" s="111" t="str">
        <f aca="false">IF(Tasks[[#This Row],[Task Name]]="","",IF(Tasks[[#This Row],[_IsSummary]],SUM(INDEX(Tasks[_LeafAC],Tasks[[#This Row],[_Row]]+1):INDEX(Tasks[_LeafAC],Tasks[[#This Row],[_Row]]+Tasks[[#This Row],[_Descendants]])),Tasks[[#This Row],[_LeafAC]]))</f>
        <v/>
      </c>
      <c r="BT38" s="38" t="str">
        <f aca="false">IF(Tasks[[#This Row],[Task Name]]="","",MAX(1,N(Tasks[[#This Row],[Level]])))</f>
        <v/>
      </c>
      <c r="BU38" s="38" t="n">
        <f aca="false">ROW()-ROW(Tasks[[#Headers],[ID]])</f>
        <v>33</v>
      </c>
      <c r="BV38" s="38" t="n">
        <f aca="false">IF(OR(Tasks[[#This Row],[Task Name]]="",Tasks[[#This Row],[_Level]]&lt;=1),0,IFERROR(LOOKUP(2,1/(Tasks[[#Headers],[_Level]]:Tasks[[#This Row],[_Level]]=Tasks[[#This Row],[_Level]]-1),ROW(Tasks[[#Headers],[_Level]]:Tasks[[#This Row],[_Level]])),0))</f>
        <v>0</v>
      </c>
      <c r="BW38" s="38" t="n">
        <f aca="false">IFERROR(N(INDEX(Tasks[_Level],Tasks[[#This Row],[_Row]]+1)),0)</f>
        <v>0</v>
      </c>
      <c r="BX38" s="114" t="b">
        <f aca="false">AND(Tasks[[#This Row],[Task Name]]&lt;&gt;"",Tasks[[#This Row],[_NextLevel]]&gt;Tasks[[#This Row],[_Level]])</f>
        <v>0</v>
      </c>
      <c r="BY38" s="38" t="n">
        <f aca="false">IF(Tasks[[#This Row],[_IsSummary]],COUNTIF(Tasks[WBS],Tasks[[#This Row],[WBS]]&amp;".*"),0)</f>
        <v>0</v>
      </c>
      <c r="BZ38" s="38" t="n">
        <f aca="false">IF(AND(Tasks[[#This Row],[Task Name]]&lt;&gt;"",NOT(Tasks[[#This Row],[_IsSummary]])),1,0)</f>
        <v>0</v>
      </c>
      <c r="CA38" s="38" t="n">
        <f aca="false">IF(N(Tasks[[#This Row],[Pred1 UID]])=0,0,IFERROR(MATCH(Tasks[[#This Row],[Pred1 UID]],Tasks[UID],0),-1))</f>
        <v>0</v>
      </c>
      <c r="CB38" s="38" t="n">
        <f aca="false">IF(N(Tasks[[#This Row],[Pred2 UID]])=0,0,IFERROR(MATCH(Tasks[[#This Row],[Pred2 UID]],Tasks[UID],0),-1))</f>
        <v>0</v>
      </c>
      <c r="CC38" s="38" t="n">
        <f aca="false">IF(N(Tasks[[#This Row],[Pred3 UID]])=0,0,IFERROR(MATCH(Tasks[[#This Row],[Pred3 UID]],Tasks[UID],0),-1))</f>
        <v>0</v>
      </c>
      <c r="CD38" s="38" t="n">
        <f aca="false">IF(N(Tasks[[#This Row],[Pred4 UID]])=0,0,IFERROR(MATCH(Tasks[[#This Row],[Pred4 UID]],Tasks[UID],0),-1))</f>
        <v>0</v>
      </c>
      <c r="CE3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8" s="115" t="n">
        <f aca="false">IF(OR(Tasks[[#This Row],[_ConstraintCode]]=2,Tasks[[#This Row],[_ConstraintCode]]=3,Tasks[[#This Row],[_ConstraintCode]]=4,Tasks[[#This Row],[_ConstraintCode]]=6),Tasks[[#This Row],[_ConstraintStart]],0)</f>
        <v>0</v>
      </c>
      <c r="CH38" s="115" t="n">
        <f aca="false">IF(OR(Tasks[[#This Row],[_ConstraintCode]]=2,Tasks[[#This Row],[_ConstraintCode]]=3,Tasks[[#This Row],[_ConstraintCode]]=5,Tasks[[#This Row],[_ConstraintCode]]=7),Tasks[[#This Row],[_ConstraintStart]],2958465)</f>
        <v>2958465</v>
      </c>
      <c r="CI3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8" s="115" t="str">
        <f aca="false">IF(NOT(Tasks[[#This Row],[_IsLeaf]]=1),"",IF(N(Tasks[[#This Row],[Duration]])&lt;=0,Tasks[[#This Row],[_LeafCalcStart]],WORKDAY.INTL(Tasks[[#This Row],[_LeafCalcStart]],Tasks[[#This Row],[Duration]]-1,WorkWeek,Holidays)))</f>
        <v/>
      </c>
      <c r="CK3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8" s="38" t="n">
        <f aca="false">IF(NOT(Tasks[[#This Row],[_IsLeaf]]=1),0,IF(N(Tasks[[#This Row],[Actual Finish]])&gt;0,1,MIN(1,N(Tasks[[#This Row],[% Complete]]))))</f>
        <v>0</v>
      </c>
      <c r="CN38" s="38" t="n">
        <f aca="false">IF(OR(NOT(Tasks[[#This Row],[_IsLeaf]]=1),Tasks[[#This Row],[Resource]]=""),0,N(Tasks[[#This Row],[Duration]])*HoursPerDay*IF(Tasks[[#This Row],[Units]]="",DefaultUnits,Tasks[[#This Row],[Units]]))</f>
        <v>0</v>
      </c>
      <c r="CO38" s="38" t="n">
        <f aca="false">IF(Tasks[[#This Row],[_LeafWork]]=0,0,Tasks[[#This Row],[_LeafWork]]*IFERROR(INDEX(res_Rate,MATCH(Tasks[[#This Row],[Resource]],res_Name,0)),0))</f>
        <v>0</v>
      </c>
      <c r="CP38" s="38" t="n">
        <f aca="false">Tasks[[#This Row],[_LeafWork]]+IF(Tasks[[#This Row],[_IsLeaf]]=1,SUMIFS(asg_Work,asg_TaskUID,Tasks[[#This Row],[UID]],asg_Valid,1),0)</f>
        <v>0</v>
      </c>
      <c r="CQ38" s="38" t="n">
        <f aca="false">Tasks[[#This Row],[_LeafCost]]+IF(Tasks[[#This Row],[_IsLeaf]]=1,SUMIFS(asg_Cost,asg_TaskUID,Tasks[[#This Row],[UID]],asg_Valid,1),0)</f>
        <v>0</v>
      </c>
      <c r="CR38" s="38" t="n">
        <f aca="false">IF(Tasks[[#This Row],[_LeafTotalCost]]=0,Tasks[[#This Row],[_LeafAC]],Tasks[[#This Row],[_LeafAC]]*Tasks[[#This Row],[_LeafCost]]/Tasks[[#This Row],[_LeafTotalCost]])</f>
        <v>0</v>
      </c>
      <c r="CS3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8" s="38" t="n">
        <f aca="false">IF(NOT(Tasks[[#This Row],[_IsLeaf]]=1),0,MAX(_xlfn.MAXIFS(Tasks[_Row],Tasks[Pred1 UID],Tasks[[#This Row],[UID]]),_xlfn.MAXIFS(Tasks[_Row],Tasks[Pred2 UID],Tasks[[#This Row],[UID]]),_xlfn.MAXIFS(Tasks[_Row],Tasks[Pred3 UID],Tasks[[#This Row],[UID]]),_xlfn.MAXIFS(Tasks[_Row],Tasks[Pred4 UID],Tasks[[#This Row],[UID]])))</f>
        <v>0</v>
      </c>
      <c r="DB3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8" s="115" t="str">
        <f aca="false">IF(NOT(Tasks[[#This Row],[_IsLeaf]]=1),"",IF(N(Tasks[[#This Row],[Duration]])&lt;=0,Tasks[[#This Row],[_LeafLateFinish]],WORKDAY.INTL(Tasks[[#This Row],[_LeafLateFinish]],-(Tasks[[#This Row],[Duration]]-1),WorkWeek,Holidays)))</f>
        <v/>
      </c>
      <c r="DE3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8" s="114" t="b">
        <f aca="false">AND(Tasks[[#This Row],[_IsLeaf]]=1,Tasks[[#This Row],[_LeafProgress]]&lt;1,N(Tasks[[#This Row],[_LeafTotalSlack]])&lt;=CriticalSlackDays)</f>
        <v>0</v>
      </c>
      <c r="DG38" s="38" t="n">
        <f aca="false">IF(AND(Tasks[[#This Row],[_IsLeaf]]=1,Tasks[[#This Row],[_ConstraintCode]]=1,Tasks[[#This Row],[Mode]]&lt;&gt;"Manual",N(Tasks[[#This Row],[Actual Start]])=0),MAX(0,N(Tasks[[#This Row],[Free Slack]])),0)</f>
        <v>0</v>
      </c>
      <c r="DH38" s="115" t="str">
        <f aca="false">IF(NOT(Tasks[[#This Row],[_IsLeaf]]=1),"",IF(Tasks[[#This Row],[_AlapShift]]=0,Tasks[[#This Row],[_LeafCalcStart]],WORKDAY.INTL(Tasks[[#This Row],[_LeafCalcStart]],Tasks[[#This Row],[_AlapShift]],WorkWeek,Holidays)))</f>
        <v/>
      </c>
      <c r="DI38" s="115" t="str">
        <f aca="false">IF(NOT(Tasks[[#This Row],[_IsLeaf]]=1),"",IF(Tasks[[#This Row],[_AlapShift]]=0,Tasks[[#This Row],[_LeafCalcFinish]],WORKDAY.INTL(Tasks[[#This Row],[_LeafCalcFinish]],Tasks[[#This Row],[_AlapShift]],WorkWeek,Holidays)))</f>
        <v/>
      </c>
      <c r="DJ38" s="115" t="str">
        <f aca="false">IF(NOT(Tasks[[#This Row],[_IsLeaf]]=1),"",IF(Tasks[[#This Row],[_AlapShift]]=0,Tasks[[#This Row],[_LeafFcstStart]],WORKDAY.INTL(Tasks[[#This Row],[_LeafFcstStart]],Tasks[[#This Row],[_AlapShift]],WorkWeek,Holidays)))</f>
        <v/>
      </c>
      <c r="DK38" s="115" t="str">
        <f aca="false">IF(NOT(Tasks[[#This Row],[_IsLeaf]]=1),"",IF(Tasks[[#This Row],[_AlapShift]]=0,Tasks[[#This Row],[_LeafFcstFinish]],WORKDAY.INTL(Tasks[[#This Row],[_LeafFcstFinish]],Tasks[[#This Row],[_AlapShift]],WorkWeek,Holidays)))</f>
        <v/>
      </c>
      <c r="DL38" s="115" t="str">
        <f aca="false">IF(Tasks[[#This Row],[Task Name]]="","",IF(Tasks[[#This Row],[_IsSummary]],MIN(INDEX(Tasks[_ShownCalcStart],Tasks[[#This Row],[_Row]]+1):INDEX(Tasks[_ShownCalcStart],Tasks[[#This Row],[_Row]]+Tasks[[#This Row],[_Descendants]])),Tasks[[#This Row],[_ShownCalcStart]]))</f>
        <v/>
      </c>
      <c r="DM38" s="115" t="str">
        <f aca="false">IF(Tasks[[#This Row],[Task Name]]="","",IF(Tasks[[#This Row],[_IsSummary]],MAX(INDEX(Tasks[_ShownCalcFinish],Tasks[[#This Row],[_Row]]+1):INDEX(Tasks[_ShownCalcFinish],Tasks[[#This Row],[_Row]]+Tasks[[#This Row],[_Descendants]])),Tasks[[#This Row],[_ShownCalcFinish]]))</f>
        <v/>
      </c>
      <c r="DN3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8" s="38" t="n">
        <f aca="false">IF(AND(Tasks[[#This Row],[_IsLeaf]]=1,Tasks[[#This Row],[_LeafTotalWork]]&gt;0),NETWORKDAYS.INTL(ProjectStart,Tasks[[#This Row],[_ShownFcstStart]],WorkWeek,Holidays),0)</f>
        <v>0</v>
      </c>
      <c r="EA38" s="38" t="n">
        <f aca="false">IF(AND(Tasks[[#This Row],[_IsLeaf]]=1,Tasks[[#This Row],[_LeafTotalWork]]&gt;0),MAX(Tasks[[#This Row],[_StartWorkday]],NETWORKDAYS.INTL(ProjectStart,Tasks[[#This Row],[_ShownFcstFinish]],WorkWeek,Holidays)),0)</f>
        <v>0</v>
      </c>
      <c r="EB38" s="38" t="n">
        <f aca="false">IF(AND(Tasks[[#This Row],[_IsLeaf]]=1,Tasks[[#This Row],[_LeafTotalWork]]&gt;0),Tasks[[#This Row],[_LeafWork]]/(Tasks[[#This Row],[_FinishWorkday]]-Tasks[[#This Row],[_StartWorkday]]+1),0)</f>
        <v>0</v>
      </c>
      <c r="EC38" s="38" t="n">
        <f aca="false">Tasks[[#This Row],[_WorkPerWorkday]]*(Tasks[[#This Row],[_StartWorkday]]-1)</f>
        <v>-0</v>
      </c>
      <c r="ED38" s="38" t="n">
        <f aca="false">IF(Tasks[[#This Row],[_IsLeaf]]=1,MAX(N(Tasks[[#This Row],[Duration]]),0.1),0)</f>
        <v>0</v>
      </c>
      <c r="EE38" s="38" t="n">
        <f aca="false">Tasks[[#This Row],[_WeightDur]]*Tasks[[#This Row],[_LeafProgress]]</f>
        <v>0</v>
      </c>
      <c r="EF3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8" s="38" t="str">
        <f aca="false">IF(AND(Tasks[[#This Row],[_IsLeaf]]=1,N(Tasks[[#This Row],[Duration]])=0,Tasks[[#This Row],[_LeafProgress]]&lt;1),Tasks[[#This Row],[_ShownFcstFinish]]+Tasks[[#This Row],[_Row]]/100000,"")</f>
        <v/>
      </c>
      <c r="EH3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8" s="38" t="n">
        <f aca="false">IF(NOT(Tasks[[#This Row],[_IsLeaf]]=1),0,IF(Tasks[[#This Row],[Baseline Cost]]="",Tasks[[#This Row],[_LeafTotalCost]],N(Tasks[[#This Row],[Baseline Cost]])))</f>
        <v>0</v>
      </c>
      <c r="EJ38" s="38" t="n">
        <f aca="false">Tasks[[#This Row],[_LeafBudget]]*Tasks[[#This Row],[_PlannedPct]]</f>
        <v>0</v>
      </c>
      <c r="EK38" s="38" t="n">
        <f aca="false">Tasks[[#This Row],[_LeafBudget]]*Tasks[[#This Row],[_LeafProgress]]</f>
        <v>0</v>
      </c>
      <c r="EL38" s="38" t="n">
        <f aca="false">IF(NOT(Tasks[[#This Row],[_IsLeaf]]=1),0,IF(Tasks[[#This Row],[Actual Cost]]="",Tasks[[#This Row],[_LeafTotalCost]]*Tasks[[#This Row],[_LeafProgress]],N(Tasks[[#This Row],[Actual Cost]])))</f>
        <v>0</v>
      </c>
      <c r="EM38" s="38" t="str">
        <f aca="false">IF(Tasks[[#This Row],[Task Name]]="","",LEFT(Tasks[[#This Row],[WBS]],FIND(".",Tasks[[#This Row],[WBS]]&amp;".")-1))</f>
        <v/>
      </c>
      <c r="EN38" s="38" t="str">
        <f aca="false">IF(AND(Tasks[[#This Row],[Task Name]]&lt;&gt;"",Tasks[[#This Row],[_Level]]=1),Tasks[[#This Row],[_Row]],"")</f>
        <v/>
      </c>
      <c r="EO38" s="38" t="str">
        <f aca="false">IF(AND(Tasks[[#This Row],[_IsLeaf]]=1,N(Tasks[[#This Row],[Duration]])=0),Tasks[[#This Row],[Planned Finish]]+Tasks[[#This Row],[_Row]]/100000,"")</f>
        <v/>
      </c>
      <c r="EP38" s="38" t="str">
        <f aca="false">IF(AND(Tasks[[#This Row],[_IsLeaf]]=1,Tasks[[#This Row],[_LeafProgress]]&lt;1,OR(N(Tasks[[#This Row],[Finish Var]])&gt;0,Tasks[[#This Row],[Status]]="Late Start")),MAX(0,Tasks[[#This Row],[Finish Var]])+1-Tasks[[#This Row],[_Row]]/1000000,"")</f>
        <v/>
      </c>
      <c r="EQ38" s="38" t="str">
        <f aca="false">IF(AND(Tasks[[#This Row],[_IsLeaf]]=1,N(Tasks[[#This Row],[Actual Start]])=0,Tasks[[#This Row],[_ShownFcstStart]]&gt;=StatusDate,Tasks[[#This Row],[_ShownFcstStart]]&lt;=LookaheadEnd),Tasks[[#This Row],[_ShownFcstStart]]+Tasks[[#This Row],[_Row]]/100000,"")</f>
        <v/>
      </c>
      <c r="ER38" s="38" t="str">
        <f aca="false">IF(AND(Tasks[[#This Row],[_IsLeaf]]=1,Tasks[[#This Row],[_LeafProgress]]&lt;1,Tasks[[#This Row],[_ShownFcstFinish]]&gt;=StatusDate,Tasks[[#This Row],[_ShownFcstFinish]]&lt;=LookaheadEnd),Tasks[[#This Row],[_ShownFcstFinish]]+Tasks[[#This Row],[_Row]]/100000,"")</f>
        <v/>
      </c>
      <c r="ES38" s="38" t="str">
        <f aca="false">IF(Tasks[[#This Row],[_LeafCritical]],Tasks[[#This Row],[_ShownFcstStart]]+Tasks[[#This Row],[_Row]]/100000,"")</f>
        <v/>
      </c>
      <c r="ET38" s="38" t="n">
        <f aca="false">Tasks[[#This Row],[_LeafWork]]*Tasks[[#This Row],[_LeafProgress]]</f>
        <v>0</v>
      </c>
      <c r="EU38" s="115" t="str">
        <f aca="false">IF(AND(Tasks[[#This Row],[_IsLeaf]]=1,Tasks[[#This Row],[_LeafProgress]]&gt;=1),IF(N(Tasks[[#This Row],[Actual Finish]])&gt;0,Tasks[[#This Row],[Actual Finish]],Tasks[[#This Row],[_ShownFcstFinish]]),"")</f>
        <v/>
      </c>
      <c r="EV38" s="38" t="n">
        <f aca="false">IF(Tasks[[#This Row],[_IsLeaf]]=1,N(Tasks[[#This Row],[Story Points]]),0)</f>
        <v>0</v>
      </c>
      <c r="EW38" s="38" t="str">
        <f aca="false">IF(AND(Tasks[[#This Row],[_IsLeaf]]=1,CurrentSprint&lt;&gt;"",Tasks[[#This Row],[Sprint]]=CurrentSprint),Tasks[[#This Row],[_Row]],"")</f>
        <v/>
      </c>
    </row>
    <row r="39" customFormat="false" ht="15" hidden="false" customHeight="false" outlineLevel="0" collapsed="false">
      <c r="A39" s="51" t="str">
        <f aca="false">IF(Tasks[[#This Row],[Task Name]]="","",COUNTA(Tasks[[#Headers],[Task Name]]:Tasks[[#This Row],[Task Name]])-1)</f>
        <v/>
      </c>
      <c r="B39" s="52" t="n">
        <v>34</v>
      </c>
      <c r="C3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52"/>
      <c r="E39" s="53"/>
      <c r="F39" s="52"/>
      <c r="G39" s="52"/>
      <c r="H39" s="52"/>
      <c r="I39" s="52"/>
      <c r="J39" s="52"/>
      <c r="K39" s="52"/>
      <c r="L39" s="52"/>
      <c r="M39" s="52"/>
      <c r="N39" s="52"/>
      <c r="O39" s="52"/>
      <c r="P39" s="52"/>
      <c r="Q39" s="52"/>
      <c r="R39" s="52"/>
      <c r="S39" s="53"/>
      <c r="T39" s="102"/>
      <c r="U39" s="102"/>
      <c r="V39" s="7"/>
      <c r="W39" s="7"/>
      <c r="X39" s="53"/>
      <c r="Y39" s="31" t="str">
        <f aca="false">IF(Tasks[[#This Row],[Task Name]]="","",IF(Tasks[[#This Row],[_IsSummary]],MIN(INDEX(Tasks[_ShownFcstStart],Tasks[[#This Row],[_Row]]+1):INDEX(Tasks[_ShownFcstStart],Tasks[[#This Row],[_Row]]+Tasks[[#This Row],[_Descendants]])),Tasks[[#This Row],[_ShownFcstStart]]))</f>
        <v/>
      </c>
      <c r="Z39" s="31" t="str">
        <f aca="false">IF(Tasks[[#This Row],[Task Name]]="","",IF(Tasks[[#This Row],[_IsSummary]],MAX(INDEX(Tasks[_ShownFcstFinish],Tasks[[#This Row],[_Row]]+1):INDEX(Tasks[_ShownFcstFinish],Tasks[[#This Row],[_Row]]+Tasks[[#This Row],[_Descendants]])),Tasks[[#This Row],[_ShownFcstFinish]]))</f>
        <v/>
      </c>
      <c r="AA39" s="51" t="str">
        <f aca="false">IF(Tasks[[#This Row],[Task Name]]="","",IF(Tasks[[#This Row],[Progress]]&gt;=1,"Complete",IF(OR(N(Tasks[[#This Row],[Actual Start]])&gt;0,Tasks[[#This Row],[Progress]]&gt;0),IF(Tasks[[#This Row],[Finish Var]]&gt;0,"Behind","In Progress"),IF(Tasks[[#This Row],[Planned Start]]&lt;StatusDate,"Late Start","Not Started"))))</f>
        <v/>
      </c>
      <c r="AB39" s="51" t="str">
        <f aca="false">IF(Tasks[[#This Row],[Task Name]]="","",IF(IF(Tasks[[#This Row],[_IsSummary]],COUNTIF(INDEX(Tasks[_LeafCritical],Tasks[[#This Row],[_Row]]+1):INDEX(Tasks[_LeafCritical],Tasks[[#This Row],[_Row]]+Tasks[[#This Row],[_Descendants]]),TRUE())&gt;0,Tasks[[#This Row],[_LeafCritical]]),"Yes",""))</f>
        <v/>
      </c>
      <c r="AC3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9" s="51" t="str">
        <f aca="false">IF(Tasks[[#This Row],[Task Name]]="","",IF(Tasks[[#This Row],[_Level]]&lt;=OutlineShowLevel,"Yes","No"))</f>
        <v/>
      </c>
      <c r="AE39" s="7"/>
      <c r="AF39" s="52"/>
      <c r="AG39" s="53"/>
      <c r="AH39" s="7"/>
      <c r="AI3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9" s="31" t="str">
        <f aca="false">IF(Tasks[[#This Row],[Task Name]]="","",IF(N(Tasks[[#This Row],[Baseline Start]])&gt;0,Tasks[[#This Row],[Baseline Start]],Tasks[[#This Row],[_CalcStart]]))</f>
        <v/>
      </c>
      <c r="AK39" s="31" t="str">
        <f aca="false">IF(Tasks[[#This Row],[Task Name]]="","",IF(N(Tasks[[#This Row],[Baseline Finish]])&gt;0,Tasks[[#This Row],[Baseline Finish]],Tasks[[#This Row],[_CalcFinish]]))</f>
        <v/>
      </c>
      <c r="AL3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9" s="31" t="str">
        <f aca="false">IF(Tasks[[#This Row],[Task Name]]="","",IF(Tasks[[#This Row],[_IsSummary]],MIN(INDEX(Tasks[_LeafLateStart],Tasks[[#This Row],[_Row]]+1):INDEX(Tasks[_LeafLateStart],Tasks[[#This Row],[_Row]]+Tasks[[#This Row],[_Descendants]])),Tasks[[#This Row],[_LeafLateStart]]))</f>
        <v/>
      </c>
      <c r="AN39" s="31" t="str">
        <f aca="false">IF(Tasks[[#This Row],[Task Name]]="","",IF(Tasks[[#This Row],[_IsSummary]],MAX(INDEX(Tasks[_LeafLateFinish],Tasks[[#This Row],[_Row]]+1):INDEX(Tasks[_LeafLateFinish],Tasks[[#This Row],[_Row]]+Tasks[[#This Row],[_Descendants]])),Tasks[[#This Row],[_LeafLateFinish]]))</f>
        <v/>
      </c>
      <c r="AO39" s="51" t="str">
        <f aca="false">IF(Tasks[[#This Row],[Task Name]]="","",IF(Tasks[[#This Row],[_IsSummary]],MIN(INDEX(Tasks[_LeafTotalSlack],Tasks[[#This Row],[_Row]]+1):INDEX(Tasks[_LeafTotalSlack],Tasks[[#This Row],[_Row]]+Tasks[[#This Row],[_Descendants]])),Tasks[[#This Row],[_LeafTotalSlack]]))</f>
        <v/>
      </c>
      <c r="AP3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9" s="110" t="str">
        <f aca="false">IF(Tasks[[#This Row],[Task Name]]="","",IF(Tasks[[#This Row],[_IsSummary]],SUM(INDEX(Tasks[_LeafTotalWork],Tasks[[#This Row],[_Row]]+1):INDEX(Tasks[_LeafTotalWork],Tasks[[#This Row],[_Row]]+Tasks[[#This Row],[_Descendants]])),Tasks[[#This Row],[_LeafTotalWork]]))</f>
        <v/>
      </c>
      <c r="AV3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9" s="111" t="str">
        <f aca="false">IF(Tasks[[#This Row],[Task Name]]="","",IF(Tasks[[#This Row],[_IsSummary]],SUM(INDEX(Tasks[_LeafTotalCost],Tasks[[#This Row],[_Row]]+1):INDEX(Tasks[_LeafTotalCost],Tasks[[#This Row],[_Row]]+Tasks[[#This Row],[_Descendants]])),Tasks[[#This Row],[_LeafTotalCost]]))</f>
        <v/>
      </c>
      <c r="AY39" s="112"/>
      <c r="AZ3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9" s="52"/>
      <c r="BB39" s="98"/>
      <c r="BC39" s="51" t="str">
        <f aca="false">IF(OR(Tasks[[#This Row],[Task Name]]="",Tasks[[#This Row],[Baseline Duration]]=""),"",Tasks[[#This Row],[BL Source Duration]]-N(Tasks[[#This Row],[Baseline Duration]]))</f>
        <v/>
      </c>
      <c r="BD39" s="110" t="str">
        <f aca="false">IF(OR(Tasks[[#This Row],[Task Name]]="",Tasks[[#This Row],[Baseline Work]]=""),"",Tasks[[#This Row],[Work]]-N(Tasks[[#This Row],[Baseline Work]]))</f>
        <v/>
      </c>
      <c r="BE39" s="111" t="str">
        <f aca="false">IF(OR(Tasks[[#This Row],[Task Name]]="",Tasks[[#This Row],[Baseline Cost]]=""),"",Tasks[[#This Row],[Cost]]-N(Tasks[[#This Row],[Baseline Cost]]))</f>
        <v/>
      </c>
      <c r="BF39" s="31" t="str">
        <f aca="false">IF(Tasks[[#This Row],[Task Name]]="","",Tasks[[#This Row],[Forecast Start]])</f>
        <v/>
      </c>
      <c r="BG39" s="31" t="str">
        <f aca="false">IF(Tasks[[#This Row],[Task Name]]="","",Tasks[[#This Row],[Forecast Finish]])</f>
        <v/>
      </c>
      <c r="BH39" s="51" t="str">
        <f aca="false">IF(Tasks[[#This Row],[Task Name]]="","",IF(Tasks[[#This Row],[_IsSummary]],NETWORKDAYS.INTL(Tasks[[#This Row],[Forecast Start]],Tasks[[#This Row],[Forecast Finish]],WorkWeek,Holidays),N(Tasks[[#This Row],[Duration]])))</f>
        <v/>
      </c>
      <c r="BI39" s="110" t="str">
        <f aca="false">IF(Tasks[[#This Row],[Task Name]]="","",Tasks[[#This Row],[Work]])</f>
        <v/>
      </c>
      <c r="BJ39" s="111" t="str">
        <f aca="false">IF(Tasks[[#This Row],[Task Name]]="","",Tasks[[#This Row],[Cost]])</f>
        <v/>
      </c>
      <c r="BK39" s="7"/>
      <c r="BL39" s="7"/>
      <c r="BM39" s="52"/>
      <c r="BN39" s="113"/>
      <c r="BO39" s="112"/>
      <c r="BP39" s="111" t="str">
        <f aca="false">IF(Tasks[[#This Row],[Task Name]]="","",IF(Tasks[[#This Row],[_IsSummary]],SUM(INDEX(Tasks[_LeafEV],Tasks[[#This Row],[_Row]]+1):INDEX(Tasks[_LeafEV],Tasks[[#This Row],[_Row]]+Tasks[[#This Row],[_Descendants]])),Tasks[[#This Row],[_LeafEV]]))</f>
        <v/>
      </c>
      <c r="BQ39" s="111" t="str">
        <f aca="false">IF(Tasks[[#This Row],[Task Name]]="","",IF(Tasks[[#This Row],[_IsSummary]],SUM(INDEX(Tasks[_LeafBudget],Tasks[[#This Row],[_Row]]+1):INDEX(Tasks[_LeafBudget],Tasks[[#This Row],[_Row]]+Tasks[[#This Row],[_Descendants]])),Tasks[[#This Row],[_LeafBudget]]))</f>
        <v/>
      </c>
      <c r="BR39" s="111" t="str">
        <f aca="false">IF(Tasks[[#This Row],[Task Name]]="","",IF(Tasks[[#This Row],[_IsSummary]],SUM(INDEX(Tasks[_LeafPV],Tasks[[#This Row],[_Row]]+1):INDEX(Tasks[_LeafPV],Tasks[[#This Row],[_Row]]+Tasks[[#This Row],[_Descendants]])),Tasks[[#This Row],[_LeafPV]]))</f>
        <v/>
      </c>
      <c r="BS39" s="111" t="str">
        <f aca="false">IF(Tasks[[#This Row],[Task Name]]="","",IF(Tasks[[#This Row],[_IsSummary]],SUM(INDEX(Tasks[_LeafAC],Tasks[[#This Row],[_Row]]+1):INDEX(Tasks[_LeafAC],Tasks[[#This Row],[_Row]]+Tasks[[#This Row],[_Descendants]])),Tasks[[#This Row],[_LeafAC]]))</f>
        <v/>
      </c>
      <c r="BT39" s="38" t="str">
        <f aca="false">IF(Tasks[[#This Row],[Task Name]]="","",MAX(1,N(Tasks[[#This Row],[Level]])))</f>
        <v/>
      </c>
      <c r="BU39" s="38" t="n">
        <f aca="false">ROW()-ROW(Tasks[[#Headers],[ID]])</f>
        <v>34</v>
      </c>
      <c r="BV39" s="38" t="n">
        <f aca="false">IF(OR(Tasks[[#This Row],[Task Name]]="",Tasks[[#This Row],[_Level]]&lt;=1),0,IFERROR(LOOKUP(2,1/(Tasks[[#Headers],[_Level]]:Tasks[[#This Row],[_Level]]=Tasks[[#This Row],[_Level]]-1),ROW(Tasks[[#Headers],[_Level]]:Tasks[[#This Row],[_Level]])),0))</f>
        <v>0</v>
      </c>
      <c r="BW39" s="38" t="n">
        <f aca="false">IFERROR(N(INDEX(Tasks[_Level],Tasks[[#This Row],[_Row]]+1)),0)</f>
        <v>0</v>
      </c>
      <c r="BX39" s="114" t="b">
        <f aca="false">AND(Tasks[[#This Row],[Task Name]]&lt;&gt;"",Tasks[[#This Row],[_NextLevel]]&gt;Tasks[[#This Row],[_Level]])</f>
        <v>0</v>
      </c>
      <c r="BY39" s="38" t="n">
        <f aca="false">IF(Tasks[[#This Row],[_IsSummary]],COUNTIF(Tasks[WBS],Tasks[[#This Row],[WBS]]&amp;".*"),0)</f>
        <v>0</v>
      </c>
      <c r="BZ39" s="38" t="n">
        <f aca="false">IF(AND(Tasks[[#This Row],[Task Name]]&lt;&gt;"",NOT(Tasks[[#This Row],[_IsSummary]])),1,0)</f>
        <v>0</v>
      </c>
      <c r="CA39" s="38" t="n">
        <f aca="false">IF(N(Tasks[[#This Row],[Pred1 UID]])=0,0,IFERROR(MATCH(Tasks[[#This Row],[Pred1 UID]],Tasks[UID],0),-1))</f>
        <v>0</v>
      </c>
      <c r="CB39" s="38" t="n">
        <f aca="false">IF(N(Tasks[[#This Row],[Pred2 UID]])=0,0,IFERROR(MATCH(Tasks[[#This Row],[Pred2 UID]],Tasks[UID],0),-1))</f>
        <v>0</v>
      </c>
      <c r="CC39" s="38" t="n">
        <f aca="false">IF(N(Tasks[[#This Row],[Pred3 UID]])=0,0,IFERROR(MATCH(Tasks[[#This Row],[Pred3 UID]],Tasks[UID],0),-1))</f>
        <v>0</v>
      </c>
      <c r="CD39" s="38" t="n">
        <f aca="false">IF(N(Tasks[[#This Row],[Pred4 UID]])=0,0,IFERROR(MATCH(Tasks[[#This Row],[Pred4 UID]],Tasks[UID],0),-1))</f>
        <v>0</v>
      </c>
      <c r="CE3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9" s="115" t="n">
        <f aca="false">IF(OR(Tasks[[#This Row],[_ConstraintCode]]=2,Tasks[[#This Row],[_ConstraintCode]]=3,Tasks[[#This Row],[_ConstraintCode]]=4,Tasks[[#This Row],[_ConstraintCode]]=6),Tasks[[#This Row],[_ConstraintStart]],0)</f>
        <v>0</v>
      </c>
      <c r="CH39" s="115" t="n">
        <f aca="false">IF(OR(Tasks[[#This Row],[_ConstraintCode]]=2,Tasks[[#This Row],[_ConstraintCode]]=3,Tasks[[#This Row],[_ConstraintCode]]=5,Tasks[[#This Row],[_ConstraintCode]]=7),Tasks[[#This Row],[_ConstraintStart]],2958465)</f>
        <v>2958465</v>
      </c>
      <c r="CI3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9" s="115" t="str">
        <f aca="false">IF(NOT(Tasks[[#This Row],[_IsLeaf]]=1),"",IF(N(Tasks[[#This Row],[Duration]])&lt;=0,Tasks[[#This Row],[_LeafCalcStart]],WORKDAY.INTL(Tasks[[#This Row],[_LeafCalcStart]],Tasks[[#This Row],[Duration]]-1,WorkWeek,Holidays)))</f>
        <v/>
      </c>
      <c r="CK3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9" s="38" t="n">
        <f aca="false">IF(NOT(Tasks[[#This Row],[_IsLeaf]]=1),0,IF(N(Tasks[[#This Row],[Actual Finish]])&gt;0,1,MIN(1,N(Tasks[[#This Row],[% Complete]]))))</f>
        <v>0</v>
      </c>
      <c r="CN39" s="38" t="n">
        <f aca="false">IF(OR(NOT(Tasks[[#This Row],[_IsLeaf]]=1),Tasks[[#This Row],[Resource]]=""),0,N(Tasks[[#This Row],[Duration]])*HoursPerDay*IF(Tasks[[#This Row],[Units]]="",DefaultUnits,Tasks[[#This Row],[Units]]))</f>
        <v>0</v>
      </c>
      <c r="CO39" s="38" t="n">
        <f aca="false">IF(Tasks[[#This Row],[_LeafWork]]=0,0,Tasks[[#This Row],[_LeafWork]]*IFERROR(INDEX(res_Rate,MATCH(Tasks[[#This Row],[Resource]],res_Name,0)),0))</f>
        <v>0</v>
      </c>
      <c r="CP39" s="38" t="n">
        <f aca="false">Tasks[[#This Row],[_LeafWork]]+IF(Tasks[[#This Row],[_IsLeaf]]=1,SUMIFS(asg_Work,asg_TaskUID,Tasks[[#This Row],[UID]],asg_Valid,1),0)</f>
        <v>0</v>
      </c>
      <c r="CQ39" s="38" t="n">
        <f aca="false">Tasks[[#This Row],[_LeafCost]]+IF(Tasks[[#This Row],[_IsLeaf]]=1,SUMIFS(asg_Cost,asg_TaskUID,Tasks[[#This Row],[UID]],asg_Valid,1),0)</f>
        <v>0</v>
      </c>
      <c r="CR39" s="38" t="n">
        <f aca="false">IF(Tasks[[#This Row],[_LeafTotalCost]]=0,Tasks[[#This Row],[_LeafAC]],Tasks[[#This Row],[_LeafAC]]*Tasks[[#This Row],[_LeafCost]]/Tasks[[#This Row],[_LeafTotalCost]])</f>
        <v>0</v>
      </c>
      <c r="CS3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9" s="38" t="n">
        <f aca="false">IF(NOT(Tasks[[#This Row],[_IsLeaf]]=1),0,MAX(_xlfn.MAXIFS(Tasks[_Row],Tasks[Pred1 UID],Tasks[[#This Row],[UID]]),_xlfn.MAXIFS(Tasks[_Row],Tasks[Pred2 UID],Tasks[[#This Row],[UID]]),_xlfn.MAXIFS(Tasks[_Row],Tasks[Pred3 UID],Tasks[[#This Row],[UID]]),_xlfn.MAXIFS(Tasks[_Row],Tasks[Pred4 UID],Tasks[[#This Row],[UID]])))</f>
        <v>0</v>
      </c>
      <c r="DB3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9" s="115" t="str">
        <f aca="false">IF(NOT(Tasks[[#This Row],[_IsLeaf]]=1),"",IF(N(Tasks[[#This Row],[Duration]])&lt;=0,Tasks[[#This Row],[_LeafLateFinish]],WORKDAY.INTL(Tasks[[#This Row],[_LeafLateFinish]],-(Tasks[[#This Row],[Duration]]-1),WorkWeek,Holidays)))</f>
        <v/>
      </c>
      <c r="DE3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9" s="114" t="b">
        <f aca="false">AND(Tasks[[#This Row],[_IsLeaf]]=1,Tasks[[#This Row],[_LeafProgress]]&lt;1,N(Tasks[[#This Row],[_LeafTotalSlack]])&lt;=CriticalSlackDays)</f>
        <v>0</v>
      </c>
      <c r="DG39" s="38" t="n">
        <f aca="false">IF(AND(Tasks[[#This Row],[_IsLeaf]]=1,Tasks[[#This Row],[_ConstraintCode]]=1,Tasks[[#This Row],[Mode]]&lt;&gt;"Manual",N(Tasks[[#This Row],[Actual Start]])=0),MAX(0,N(Tasks[[#This Row],[Free Slack]])),0)</f>
        <v>0</v>
      </c>
      <c r="DH39" s="115" t="str">
        <f aca="false">IF(NOT(Tasks[[#This Row],[_IsLeaf]]=1),"",IF(Tasks[[#This Row],[_AlapShift]]=0,Tasks[[#This Row],[_LeafCalcStart]],WORKDAY.INTL(Tasks[[#This Row],[_LeafCalcStart]],Tasks[[#This Row],[_AlapShift]],WorkWeek,Holidays)))</f>
        <v/>
      </c>
      <c r="DI39" s="115" t="str">
        <f aca="false">IF(NOT(Tasks[[#This Row],[_IsLeaf]]=1),"",IF(Tasks[[#This Row],[_AlapShift]]=0,Tasks[[#This Row],[_LeafCalcFinish]],WORKDAY.INTL(Tasks[[#This Row],[_LeafCalcFinish]],Tasks[[#This Row],[_AlapShift]],WorkWeek,Holidays)))</f>
        <v/>
      </c>
      <c r="DJ39" s="115" t="str">
        <f aca="false">IF(NOT(Tasks[[#This Row],[_IsLeaf]]=1),"",IF(Tasks[[#This Row],[_AlapShift]]=0,Tasks[[#This Row],[_LeafFcstStart]],WORKDAY.INTL(Tasks[[#This Row],[_LeafFcstStart]],Tasks[[#This Row],[_AlapShift]],WorkWeek,Holidays)))</f>
        <v/>
      </c>
      <c r="DK39" s="115" t="str">
        <f aca="false">IF(NOT(Tasks[[#This Row],[_IsLeaf]]=1),"",IF(Tasks[[#This Row],[_AlapShift]]=0,Tasks[[#This Row],[_LeafFcstFinish]],WORKDAY.INTL(Tasks[[#This Row],[_LeafFcstFinish]],Tasks[[#This Row],[_AlapShift]],WorkWeek,Holidays)))</f>
        <v/>
      </c>
      <c r="DL39" s="115" t="str">
        <f aca="false">IF(Tasks[[#This Row],[Task Name]]="","",IF(Tasks[[#This Row],[_IsSummary]],MIN(INDEX(Tasks[_ShownCalcStart],Tasks[[#This Row],[_Row]]+1):INDEX(Tasks[_ShownCalcStart],Tasks[[#This Row],[_Row]]+Tasks[[#This Row],[_Descendants]])),Tasks[[#This Row],[_ShownCalcStart]]))</f>
        <v/>
      </c>
      <c r="DM39" s="115" t="str">
        <f aca="false">IF(Tasks[[#This Row],[Task Name]]="","",IF(Tasks[[#This Row],[_IsSummary]],MAX(INDEX(Tasks[_ShownCalcFinish],Tasks[[#This Row],[_Row]]+1):INDEX(Tasks[_ShownCalcFinish],Tasks[[#This Row],[_Row]]+Tasks[[#This Row],[_Descendants]])),Tasks[[#This Row],[_ShownCalcFinish]]))</f>
        <v/>
      </c>
      <c r="DN3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9" s="38" t="n">
        <f aca="false">IF(AND(Tasks[[#This Row],[_IsLeaf]]=1,Tasks[[#This Row],[_LeafTotalWork]]&gt;0),NETWORKDAYS.INTL(ProjectStart,Tasks[[#This Row],[_ShownFcstStart]],WorkWeek,Holidays),0)</f>
        <v>0</v>
      </c>
      <c r="EA39" s="38" t="n">
        <f aca="false">IF(AND(Tasks[[#This Row],[_IsLeaf]]=1,Tasks[[#This Row],[_LeafTotalWork]]&gt;0),MAX(Tasks[[#This Row],[_StartWorkday]],NETWORKDAYS.INTL(ProjectStart,Tasks[[#This Row],[_ShownFcstFinish]],WorkWeek,Holidays)),0)</f>
        <v>0</v>
      </c>
      <c r="EB39" s="38" t="n">
        <f aca="false">IF(AND(Tasks[[#This Row],[_IsLeaf]]=1,Tasks[[#This Row],[_LeafTotalWork]]&gt;0),Tasks[[#This Row],[_LeafWork]]/(Tasks[[#This Row],[_FinishWorkday]]-Tasks[[#This Row],[_StartWorkday]]+1),0)</f>
        <v>0</v>
      </c>
      <c r="EC39" s="38" t="n">
        <f aca="false">Tasks[[#This Row],[_WorkPerWorkday]]*(Tasks[[#This Row],[_StartWorkday]]-1)</f>
        <v>-0</v>
      </c>
      <c r="ED39" s="38" t="n">
        <f aca="false">IF(Tasks[[#This Row],[_IsLeaf]]=1,MAX(N(Tasks[[#This Row],[Duration]]),0.1),0)</f>
        <v>0</v>
      </c>
      <c r="EE39" s="38" t="n">
        <f aca="false">Tasks[[#This Row],[_WeightDur]]*Tasks[[#This Row],[_LeafProgress]]</f>
        <v>0</v>
      </c>
      <c r="EF3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9" s="38" t="str">
        <f aca="false">IF(AND(Tasks[[#This Row],[_IsLeaf]]=1,N(Tasks[[#This Row],[Duration]])=0,Tasks[[#This Row],[_LeafProgress]]&lt;1),Tasks[[#This Row],[_ShownFcstFinish]]+Tasks[[#This Row],[_Row]]/100000,"")</f>
        <v/>
      </c>
      <c r="EH3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9" s="38" t="n">
        <f aca="false">IF(NOT(Tasks[[#This Row],[_IsLeaf]]=1),0,IF(Tasks[[#This Row],[Baseline Cost]]="",Tasks[[#This Row],[_LeafTotalCost]],N(Tasks[[#This Row],[Baseline Cost]])))</f>
        <v>0</v>
      </c>
      <c r="EJ39" s="38" t="n">
        <f aca="false">Tasks[[#This Row],[_LeafBudget]]*Tasks[[#This Row],[_PlannedPct]]</f>
        <v>0</v>
      </c>
      <c r="EK39" s="38" t="n">
        <f aca="false">Tasks[[#This Row],[_LeafBudget]]*Tasks[[#This Row],[_LeafProgress]]</f>
        <v>0</v>
      </c>
      <c r="EL39" s="38" t="n">
        <f aca="false">IF(NOT(Tasks[[#This Row],[_IsLeaf]]=1),0,IF(Tasks[[#This Row],[Actual Cost]]="",Tasks[[#This Row],[_LeafTotalCost]]*Tasks[[#This Row],[_LeafProgress]],N(Tasks[[#This Row],[Actual Cost]])))</f>
        <v>0</v>
      </c>
      <c r="EM39" s="38" t="str">
        <f aca="false">IF(Tasks[[#This Row],[Task Name]]="","",LEFT(Tasks[[#This Row],[WBS]],FIND(".",Tasks[[#This Row],[WBS]]&amp;".")-1))</f>
        <v/>
      </c>
      <c r="EN39" s="38" t="str">
        <f aca="false">IF(AND(Tasks[[#This Row],[Task Name]]&lt;&gt;"",Tasks[[#This Row],[_Level]]=1),Tasks[[#This Row],[_Row]],"")</f>
        <v/>
      </c>
      <c r="EO39" s="38" t="str">
        <f aca="false">IF(AND(Tasks[[#This Row],[_IsLeaf]]=1,N(Tasks[[#This Row],[Duration]])=0),Tasks[[#This Row],[Planned Finish]]+Tasks[[#This Row],[_Row]]/100000,"")</f>
        <v/>
      </c>
      <c r="EP39" s="38" t="str">
        <f aca="false">IF(AND(Tasks[[#This Row],[_IsLeaf]]=1,Tasks[[#This Row],[_LeafProgress]]&lt;1,OR(N(Tasks[[#This Row],[Finish Var]])&gt;0,Tasks[[#This Row],[Status]]="Late Start")),MAX(0,Tasks[[#This Row],[Finish Var]])+1-Tasks[[#This Row],[_Row]]/1000000,"")</f>
        <v/>
      </c>
      <c r="EQ39" s="38" t="str">
        <f aca="false">IF(AND(Tasks[[#This Row],[_IsLeaf]]=1,N(Tasks[[#This Row],[Actual Start]])=0,Tasks[[#This Row],[_ShownFcstStart]]&gt;=StatusDate,Tasks[[#This Row],[_ShownFcstStart]]&lt;=LookaheadEnd),Tasks[[#This Row],[_ShownFcstStart]]+Tasks[[#This Row],[_Row]]/100000,"")</f>
        <v/>
      </c>
      <c r="ER39" s="38" t="str">
        <f aca="false">IF(AND(Tasks[[#This Row],[_IsLeaf]]=1,Tasks[[#This Row],[_LeafProgress]]&lt;1,Tasks[[#This Row],[_ShownFcstFinish]]&gt;=StatusDate,Tasks[[#This Row],[_ShownFcstFinish]]&lt;=LookaheadEnd),Tasks[[#This Row],[_ShownFcstFinish]]+Tasks[[#This Row],[_Row]]/100000,"")</f>
        <v/>
      </c>
      <c r="ES39" s="38" t="str">
        <f aca="false">IF(Tasks[[#This Row],[_LeafCritical]],Tasks[[#This Row],[_ShownFcstStart]]+Tasks[[#This Row],[_Row]]/100000,"")</f>
        <v/>
      </c>
      <c r="ET39" s="38" t="n">
        <f aca="false">Tasks[[#This Row],[_LeafWork]]*Tasks[[#This Row],[_LeafProgress]]</f>
        <v>0</v>
      </c>
      <c r="EU39" s="115" t="str">
        <f aca="false">IF(AND(Tasks[[#This Row],[_IsLeaf]]=1,Tasks[[#This Row],[_LeafProgress]]&gt;=1),IF(N(Tasks[[#This Row],[Actual Finish]])&gt;0,Tasks[[#This Row],[Actual Finish]],Tasks[[#This Row],[_ShownFcstFinish]]),"")</f>
        <v/>
      </c>
      <c r="EV39" s="38" t="n">
        <f aca="false">IF(Tasks[[#This Row],[_IsLeaf]]=1,N(Tasks[[#This Row],[Story Points]]),0)</f>
        <v>0</v>
      </c>
      <c r="EW39" s="38" t="str">
        <f aca="false">IF(AND(Tasks[[#This Row],[_IsLeaf]]=1,CurrentSprint&lt;&gt;"",Tasks[[#This Row],[Sprint]]=CurrentSprint),Tasks[[#This Row],[_Row]],"")</f>
        <v/>
      </c>
    </row>
    <row r="40" customFormat="false" ht="15" hidden="false" customHeight="false" outlineLevel="0" collapsed="false">
      <c r="A40" s="51" t="str">
        <f aca="false">IF(Tasks[[#This Row],[Task Name]]="","",COUNTA(Tasks[[#Headers],[Task Name]]:Tasks[[#This Row],[Task Name]])-1)</f>
        <v/>
      </c>
      <c r="B40" s="52" t="n">
        <v>35</v>
      </c>
      <c r="C4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52"/>
      <c r="E40" s="53"/>
      <c r="F40" s="52"/>
      <c r="G40" s="52"/>
      <c r="H40" s="52"/>
      <c r="I40" s="52"/>
      <c r="J40" s="52"/>
      <c r="K40" s="52"/>
      <c r="L40" s="52"/>
      <c r="M40" s="52"/>
      <c r="N40" s="52"/>
      <c r="O40" s="52"/>
      <c r="P40" s="52"/>
      <c r="Q40" s="52"/>
      <c r="R40" s="52"/>
      <c r="S40" s="53"/>
      <c r="T40" s="102"/>
      <c r="U40" s="102"/>
      <c r="V40" s="7"/>
      <c r="W40" s="7"/>
      <c r="X40" s="53"/>
      <c r="Y40" s="31" t="str">
        <f aca="false">IF(Tasks[[#This Row],[Task Name]]="","",IF(Tasks[[#This Row],[_IsSummary]],MIN(INDEX(Tasks[_ShownFcstStart],Tasks[[#This Row],[_Row]]+1):INDEX(Tasks[_ShownFcstStart],Tasks[[#This Row],[_Row]]+Tasks[[#This Row],[_Descendants]])),Tasks[[#This Row],[_ShownFcstStart]]))</f>
        <v/>
      </c>
      <c r="Z40" s="31" t="str">
        <f aca="false">IF(Tasks[[#This Row],[Task Name]]="","",IF(Tasks[[#This Row],[_IsSummary]],MAX(INDEX(Tasks[_ShownFcstFinish],Tasks[[#This Row],[_Row]]+1):INDEX(Tasks[_ShownFcstFinish],Tasks[[#This Row],[_Row]]+Tasks[[#This Row],[_Descendants]])),Tasks[[#This Row],[_ShownFcstFinish]]))</f>
        <v/>
      </c>
      <c r="AA40" s="51" t="str">
        <f aca="false">IF(Tasks[[#This Row],[Task Name]]="","",IF(Tasks[[#This Row],[Progress]]&gt;=1,"Complete",IF(OR(N(Tasks[[#This Row],[Actual Start]])&gt;0,Tasks[[#This Row],[Progress]]&gt;0),IF(Tasks[[#This Row],[Finish Var]]&gt;0,"Behind","In Progress"),IF(Tasks[[#This Row],[Planned Start]]&lt;StatusDate,"Late Start","Not Started"))))</f>
        <v/>
      </c>
      <c r="AB40" s="51" t="str">
        <f aca="false">IF(Tasks[[#This Row],[Task Name]]="","",IF(IF(Tasks[[#This Row],[_IsSummary]],COUNTIF(INDEX(Tasks[_LeafCritical],Tasks[[#This Row],[_Row]]+1):INDEX(Tasks[_LeafCritical],Tasks[[#This Row],[_Row]]+Tasks[[#This Row],[_Descendants]]),TRUE())&gt;0,Tasks[[#This Row],[_LeafCritical]]),"Yes",""))</f>
        <v/>
      </c>
      <c r="AC4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0" s="51" t="str">
        <f aca="false">IF(Tasks[[#This Row],[Task Name]]="","",IF(Tasks[[#This Row],[_Level]]&lt;=OutlineShowLevel,"Yes","No"))</f>
        <v/>
      </c>
      <c r="AE40" s="7"/>
      <c r="AF40" s="52"/>
      <c r="AG40" s="53"/>
      <c r="AH40" s="7"/>
      <c r="AI4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0" s="31" t="str">
        <f aca="false">IF(Tasks[[#This Row],[Task Name]]="","",IF(N(Tasks[[#This Row],[Baseline Start]])&gt;0,Tasks[[#This Row],[Baseline Start]],Tasks[[#This Row],[_CalcStart]]))</f>
        <v/>
      </c>
      <c r="AK40" s="31" t="str">
        <f aca="false">IF(Tasks[[#This Row],[Task Name]]="","",IF(N(Tasks[[#This Row],[Baseline Finish]])&gt;0,Tasks[[#This Row],[Baseline Finish]],Tasks[[#This Row],[_CalcFinish]]))</f>
        <v/>
      </c>
      <c r="AL4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0" s="31" t="str">
        <f aca="false">IF(Tasks[[#This Row],[Task Name]]="","",IF(Tasks[[#This Row],[_IsSummary]],MIN(INDEX(Tasks[_LeafLateStart],Tasks[[#This Row],[_Row]]+1):INDEX(Tasks[_LeafLateStart],Tasks[[#This Row],[_Row]]+Tasks[[#This Row],[_Descendants]])),Tasks[[#This Row],[_LeafLateStart]]))</f>
        <v/>
      </c>
      <c r="AN40" s="31" t="str">
        <f aca="false">IF(Tasks[[#This Row],[Task Name]]="","",IF(Tasks[[#This Row],[_IsSummary]],MAX(INDEX(Tasks[_LeafLateFinish],Tasks[[#This Row],[_Row]]+1):INDEX(Tasks[_LeafLateFinish],Tasks[[#This Row],[_Row]]+Tasks[[#This Row],[_Descendants]])),Tasks[[#This Row],[_LeafLateFinish]]))</f>
        <v/>
      </c>
      <c r="AO40" s="51" t="str">
        <f aca="false">IF(Tasks[[#This Row],[Task Name]]="","",IF(Tasks[[#This Row],[_IsSummary]],MIN(INDEX(Tasks[_LeafTotalSlack],Tasks[[#This Row],[_Row]]+1):INDEX(Tasks[_LeafTotalSlack],Tasks[[#This Row],[_Row]]+Tasks[[#This Row],[_Descendants]])),Tasks[[#This Row],[_LeafTotalSlack]]))</f>
        <v/>
      </c>
      <c r="AP4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0" s="110" t="str">
        <f aca="false">IF(Tasks[[#This Row],[Task Name]]="","",IF(Tasks[[#This Row],[_IsSummary]],SUM(INDEX(Tasks[_LeafTotalWork],Tasks[[#This Row],[_Row]]+1):INDEX(Tasks[_LeafTotalWork],Tasks[[#This Row],[_Row]]+Tasks[[#This Row],[_Descendants]])),Tasks[[#This Row],[_LeafTotalWork]]))</f>
        <v/>
      </c>
      <c r="AV4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0" s="111" t="str">
        <f aca="false">IF(Tasks[[#This Row],[Task Name]]="","",IF(Tasks[[#This Row],[_IsSummary]],SUM(INDEX(Tasks[_LeafTotalCost],Tasks[[#This Row],[_Row]]+1):INDEX(Tasks[_LeafTotalCost],Tasks[[#This Row],[_Row]]+Tasks[[#This Row],[_Descendants]])),Tasks[[#This Row],[_LeafTotalCost]]))</f>
        <v/>
      </c>
      <c r="AY40" s="112"/>
      <c r="AZ4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0" s="52"/>
      <c r="BB40" s="98"/>
      <c r="BC40" s="51" t="str">
        <f aca="false">IF(OR(Tasks[[#This Row],[Task Name]]="",Tasks[[#This Row],[Baseline Duration]]=""),"",Tasks[[#This Row],[BL Source Duration]]-N(Tasks[[#This Row],[Baseline Duration]]))</f>
        <v/>
      </c>
      <c r="BD40" s="110" t="str">
        <f aca="false">IF(OR(Tasks[[#This Row],[Task Name]]="",Tasks[[#This Row],[Baseline Work]]=""),"",Tasks[[#This Row],[Work]]-N(Tasks[[#This Row],[Baseline Work]]))</f>
        <v/>
      </c>
      <c r="BE40" s="111" t="str">
        <f aca="false">IF(OR(Tasks[[#This Row],[Task Name]]="",Tasks[[#This Row],[Baseline Cost]]=""),"",Tasks[[#This Row],[Cost]]-N(Tasks[[#This Row],[Baseline Cost]]))</f>
        <v/>
      </c>
      <c r="BF40" s="31" t="str">
        <f aca="false">IF(Tasks[[#This Row],[Task Name]]="","",Tasks[[#This Row],[Forecast Start]])</f>
        <v/>
      </c>
      <c r="BG40" s="31" t="str">
        <f aca="false">IF(Tasks[[#This Row],[Task Name]]="","",Tasks[[#This Row],[Forecast Finish]])</f>
        <v/>
      </c>
      <c r="BH40" s="51" t="str">
        <f aca="false">IF(Tasks[[#This Row],[Task Name]]="","",IF(Tasks[[#This Row],[_IsSummary]],NETWORKDAYS.INTL(Tasks[[#This Row],[Forecast Start]],Tasks[[#This Row],[Forecast Finish]],WorkWeek,Holidays),N(Tasks[[#This Row],[Duration]])))</f>
        <v/>
      </c>
      <c r="BI40" s="110" t="str">
        <f aca="false">IF(Tasks[[#This Row],[Task Name]]="","",Tasks[[#This Row],[Work]])</f>
        <v/>
      </c>
      <c r="BJ40" s="111" t="str">
        <f aca="false">IF(Tasks[[#This Row],[Task Name]]="","",Tasks[[#This Row],[Cost]])</f>
        <v/>
      </c>
      <c r="BK40" s="7"/>
      <c r="BL40" s="7"/>
      <c r="BM40" s="52"/>
      <c r="BN40" s="113"/>
      <c r="BO40" s="112"/>
      <c r="BP40" s="111" t="str">
        <f aca="false">IF(Tasks[[#This Row],[Task Name]]="","",IF(Tasks[[#This Row],[_IsSummary]],SUM(INDEX(Tasks[_LeafEV],Tasks[[#This Row],[_Row]]+1):INDEX(Tasks[_LeafEV],Tasks[[#This Row],[_Row]]+Tasks[[#This Row],[_Descendants]])),Tasks[[#This Row],[_LeafEV]]))</f>
        <v/>
      </c>
      <c r="BQ40" s="111" t="str">
        <f aca="false">IF(Tasks[[#This Row],[Task Name]]="","",IF(Tasks[[#This Row],[_IsSummary]],SUM(INDEX(Tasks[_LeafBudget],Tasks[[#This Row],[_Row]]+1):INDEX(Tasks[_LeafBudget],Tasks[[#This Row],[_Row]]+Tasks[[#This Row],[_Descendants]])),Tasks[[#This Row],[_LeafBudget]]))</f>
        <v/>
      </c>
      <c r="BR40" s="111" t="str">
        <f aca="false">IF(Tasks[[#This Row],[Task Name]]="","",IF(Tasks[[#This Row],[_IsSummary]],SUM(INDEX(Tasks[_LeafPV],Tasks[[#This Row],[_Row]]+1):INDEX(Tasks[_LeafPV],Tasks[[#This Row],[_Row]]+Tasks[[#This Row],[_Descendants]])),Tasks[[#This Row],[_LeafPV]]))</f>
        <v/>
      </c>
      <c r="BS40" s="111" t="str">
        <f aca="false">IF(Tasks[[#This Row],[Task Name]]="","",IF(Tasks[[#This Row],[_IsSummary]],SUM(INDEX(Tasks[_LeafAC],Tasks[[#This Row],[_Row]]+1):INDEX(Tasks[_LeafAC],Tasks[[#This Row],[_Row]]+Tasks[[#This Row],[_Descendants]])),Tasks[[#This Row],[_LeafAC]]))</f>
        <v/>
      </c>
      <c r="BT40" s="38" t="str">
        <f aca="false">IF(Tasks[[#This Row],[Task Name]]="","",MAX(1,N(Tasks[[#This Row],[Level]])))</f>
        <v/>
      </c>
      <c r="BU40" s="38" t="n">
        <f aca="false">ROW()-ROW(Tasks[[#Headers],[ID]])</f>
        <v>35</v>
      </c>
      <c r="BV40" s="38" t="n">
        <f aca="false">IF(OR(Tasks[[#This Row],[Task Name]]="",Tasks[[#This Row],[_Level]]&lt;=1),0,IFERROR(LOOKUP(2,1/(Tasks[[#Headers],[_Level]]:Tasks[[#This Row],[_Level]]=Tasks[[#This Row],[_Level]]-1),ROW(Tasks[[#Headers],[_Level]]:Tasks[[#This Row],[_Level]])),0))</f>
        <v>0</v>
      </c>
      <c r="BW40" s="38" t="n">
        <f aca="false">IFERROR(N(INDEX(Tasks[_Level],Tasks[[#This Row],[_Row]]+1)),0)</f>
        <v>0</v>
      </c>
      <c r="BX40" s="114" t="b">
        <f aca="false">AND(Tasks[[#This Row],[Task Name]]&lt;&gt;"",Tasks[[#This Row],[_NextLevel]]&gt;Tasks[[#This Row],[_Level]])</f>
        <v>0</v>
      </c>
      <c r="BY40" s="38" t="n">
        <f aca="false">IF(Tasks[[#This Row],[_IsSummary]],COUNTIF(Tasks[WBS],Tasks[[#This Row],[WBS]]&amp;".*"),0)</f>
        <v>0</v>
      </c>
      <c r="BZ40" s="38" t="n">
        <f aca="false">IF(AND(Tasks[[#This Row],[Task Name]]&lt;&gt;"",NOT(Tasks[[#This Row],[_IsSummary]])),1,0)</f>
        <v>0</v>
      </c>
      <c r="CA40" s="38" t="n">
        <f aca="false">IF(N(Tasks[[#This Row],[Pred1 UID]])=0,0,IFERROR(MATCH(Tasks[[#This Row],[Pred1 UID]],Tasks[UID],0),-1))</f>
        <v>0</v>
      </c>
      <c r="CB40" s="38" t="n">
        <f aca="false">IF(N(Tasks[[#This Row],[Pred2 UID]])=0,0,IFERROR(MATCH(Tasks[[#This Row],[Pred2 UID]],Tasks[UID],0),-1))</f>
        <v>0</v>
      </c>
      <c r="CC40" s="38" t="n">
        <f aca="false">IF(N(Tasks[[#This Row],[Pred3 UID]])=0,0,IFERROR(MATCH(Tasks[[#This Row],[Pred3 UID]],Tasks[UID],0),-1))</f>
        <v>0</v>
      </c>
      <c r="CD40" s="38" t="n">
        <f aca="false">IF(N(Tasks[[#This Row],[Pred4 UID]])=0,0,IFERROR(MATCH(Tasks[[#This Row],[Pred4 UID]],Tasks[UID],0),-1))</f>
        <v>0</v>
      </c>
      <c r="CE4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0" s="115" t="n">
        <f aca="false">IF(OR(Tasks[[#This Row],[_ConstraintCode]]=2,Tasks[[#This Row],[_ConstraintCode]]=3,Tasks[[#This Row],[_ConstraintCode]]=4,Tasks[[#This Row],[_ConstraintCode]]=6),Tasks[[#This Row],[_ConstraintStart]],0)</f>
        <v>0</v>
      </c>
      <c r="CH40" s="115" t="n">
        <f aca="false">IF(OR(Tasks[[#This Row],[_ConstraintCode]]=2,Tasks[[#This Row],[_ConstraintCode]]=3,Tasks[[#This Row],[_ConstraintCode]]=5,Tasks[[#This Row],[_ConstraintCode]]=7),Tasks[[#This Row],[_ConstraintStart]],2958465)</f>
        <v>2958465</v>
      </c>
      <c r="CI4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0" s="115" t="str">
        <f aca="false">IF(NOT(Tasks[[#This Row],[_IsLeaf]]=1),"",IF(N(Tasks[[#This Row],[Duration]])&lt;=0,Tasks[[#This Row],[_LeafCalcStart]],WORKDAY.INTL(Tasks[[#This Row],[_LeafCalcStart]],Tasks[[#This Row],[Duration]]-1,WorkWeek,Holidays)))</f>
        <v/>
      </c>
      <c r="CK4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0" s="38" t="n">
        <f aca="false">IF(NOT(Tasks[[#This Row],[_IsLeaf]]=1),0,IF(N(Tasks[[#This Row],[Actual Finish]])&gt;0,1,MIN(1,N(Tasks[[#This Row],[% Complete]]))))</f>
        <v>0</v>
      </c>
      <c r="CN40" s="38" t="n">
        <f aca="false">IF(OR(NOT(Tasks[[#This Row],[_IsLeaf]]=1),Tasks[[#This Row],[Resource]]=""),0,N(Tasks[[#This Row],[Duration]])*HoursPerDay*IF(Tasks[[#This Row],[Units]]="",DefaultUnits,Tasks[[#This Row],[Units]]))</f>
        <v>0</v>
      </c>
      <c r="CO40" s="38" t="n">
        <f aca="false">IF(Tasks[[#This Row],[_LeafWork]]=0,0,Tasks[[#This Row],[_LeafWork]]*IFERROR(INDEX(res_Rate,MATCH(Tasks[[#This Row],[Resource]],res_Name,0)),0))</f>
        <v>0</v>
      </c>
      <c r="CP40" s="38" t="n">
        <f aca="false">Tasks[[#This Row],[_LeafWork]]+IF(Tasks[[#This Row],[_IsLeaf]]=1,SUMIFS(asg_Work,asg_TaskUID,Tasks[[#This Row],[UID]],asg_Valid,1),0)</f>
        <v>0</v>
      </c>
      <c r="CQ40" s="38" t="n">
        <f aca="false">Tasks[[#This Row],[_LeafCost]]+IF(Tasks[[#This Row],[_IsLeaf]]=1,SUMIFS(asg_Cost,asg_TaskUID,Tasks[[#This Row],[UID]],asg_Valid,1),0)</f>
        <v>0</v>
      </c>
      <c r="CR40" s="38" t="n">
        <f aca="false">IF(Tasks[[#This Row],[_LeafTotalCost]]=0,Tasks[[#This Row],[_LeafAC]],Tasks[[#This Row],[_LeafAC]]*Tasks[[#This Row],[_LeafCost]]/Tasks[[#This Row],[_LeafTotalCost]])</f>
        <v>0</v>
      </c>
      <c r="CS4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0" s="38" t="n">
        <f aca="false">IF(NOT(Tasks[[#This Row],[_IsLeaf]]=1),0,MAX(_xlfn.MAXIFS(Tasks[_Row],Tasks[Pred1 UID],Tasks[[#This Row],[UID]]),_xlfn.MAXIFS(Tasks[_Row],Tasks[Pred2 UID],Tasks[[#This Row],[UID]]),_xlfn.MAXIFS(Tasks[_Row],Tasks[Pred3 UID],Tasks[[#This Row],[UID]]),_xlfn.MAXIFS(Tasks[_Row],Tasks[Pred4 UID],Tasks[[#This Row],[UID]])))</f>
        <v>0</v>
      </c>
      <c r="DB4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0" s="115" t="str">
        <f aca="false">IF(NOT(Tasks[[#This Row],[_IsLeaf]]=1),"",IF(N(Tasks[[#This Row],[Duration]])&lt;=0,Tasks[[#This Row],[_LeafLateFinish]],WORKDAY.INTL(Tasks[[#This Row],[_LeafLateFinish]],-(Tasks[[#This Row],[Duration]]-1),WorkWeek,Holidays)))</f>
        <v/>
      </c>
      <c r="DE4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0" s="114" t="b">
        <f aca="false">AND(Tasks[[#This Row],[_IsLeaf]]=1,Tasks[[#This Row],[_LeafProgress]]&lt;1,N(Tasks[[#This Row],[_LeafTotalSlack]])&lt;=CriticalSlackDays)</f>
        <v>0</v>
      </c>
      <c r="DG40" s="38" t="n">
        <f aca="false">IF(AND(Tasks[[#This Row],[_IsLeaf]]=1,Tasks[[#This Row],[_ConstraintCode]]=1,Tasks[[#This Row],[Mode]]&lt;&gt;"Manual",N(Tasks[[#This Row],[Actual Start]])=0),MAX(0,N(Tasks[[#This Row],[Free Slack]])),0)</f>
        <v>0</v>
      </c>
      <c r="DH40" s="115" t="str">
        <f aca="false">IF(NOT(Tasks[[#This Row],[_IsLeaf]]=1),"",IF(Tasks[[#This Row],[_AlapShift]]=0,Tasks[[#This Row],[_LeafCalcStart]],WORKDAY.INTL(Tasks[[#This Row],[_LeafCalcStart]],Tasks[[#This Row],[_AlapShift]],WorkWeek,Holidays)))</f>
        <v/>
      </c>
      <c r="DI40" s="115" t="str">
        <f aca="false">IF(NOT(Tasks[[#This Row],[_IsLeaf]]=1),"",IF(Tasks[[#This Row],[_AlapShift]]=0,Tasks[[#This Row],[_LeafCalcFinish]],WORKDAY.INTL(Tasks[[#This Row],[_LeafCalcFinish]],Tasks[[#This Row],[_AlapShift]],WorkWeek,Holidays)))</f>
        <v/>
      </c>
      <c r="DJ40" s="115" t="str">
        <f aca="false">IF(NOT(Tasks[[#This Row],[_IsLeaf]]=1),"",IF(Tasks[[#This Row],[_AlapShift]]=0,Tasks[[#This Row],[_LeafFcstStart]],WORKDAY.INTL(Tasks[[#This Row],[_LeafFcstStart]],Tasks[[#This Row],[_AlapShift]],WorkWeek,Holidays)))</f>
        <v/>
      </c>
      <c r="DK40" s="115" t="str">
        <f aca="false">IF(NOT(Tasks[[#This Row],[_IsLeaf]]=1),"",IF(Tasks[[#This Row],[_AlapShift]]=0,Tasks[[#This Row],[_LeafFcstFinish]],WORKDAY.INTL(Tasks[[#This Row],[_LeafFcstFinish]],Tasks[[#This Row],[_AlapShift]],WorkWeek,Holidays)))</f>
        <v/>
      </c>
      <c r="DL40" s="115" t="str">
        <f aca="false">IF(Tasks[[#This Row],[Task Name]]="","",IF(Tasks[[#This Row],[_IsSummary]],MIN(INDEX(Tasks[_ShownCalcStart],Tasks[[#This Row],[_Row]]+1):INDEX(Tasks[_ShownCalcStart],Tasks[[#This Row],[_Row]]+Tasks[[#This Row],[_Descendants]])),Tasks[[#This Row],[_ShownCalcStart]]))</f>
        <v/>
      </c>
      <c r="DM40" s="115" t="str">
        <f aca="false">IF(Tasks[[#This Row],[Task Name]]="","",IF(Tasks[[#This Row],[_IsSummary]],MAX(INDEX(Tasks[_ShownCalcFinish],Tasks[[#This Row],[_Row]]+1):INDEX(Tasks[_ShownCalcFinish],Tasks[[#This Row],[_Row]]+Tasks[[#This Row],[_Descendants]])),Tasks[[#This Row],[_ShownCalcFinish]]))</f>
        <v/>
      </c>
      <c r="DN4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0" s="38" t="n">
        <f aca="false">IF(AND(Tasks[[#This Row],[_IsLeaf]]=1,Tasks[[#This Row],[_LeafTotalWork]]&gt;0),NETWORKDAYS.INTL(ProjectStart,Tasks[[#This Row],[_ShownFcstStart]],WorkWeek,Holidays),0)</f>
        <v>0</v>
      </c>
      <c r="EA40" s="38" t="n">
        <f aca="false">IF(AND(Tasks[[#This Row],[_IsLeaf]]=1,Tasks[[#This Row],[_LeafTotalWork]]&gt;0),MAX(Tasks[[#This Row],[_StartWorkday]],NETWORKDAYS.INTL(ProjectStart,Tasks[[#This Row],[_ShownFcstFinish]],WorkWeek,Holidays)),0)</f>
        <v>0</v>
      </c>
      <c r="EB40" s="38" t="n">
        <f aca="false">IF(AND(Tasks[[#This Row],[_IsLeaf]]=1,Tasks[[#This Row],[_LeafTotalWork]]&gt;0),Tasks[[#This Row],[_LeafWork]]/(Tasks[[#This Row],[_FinishWorkday]]-Tasks[[#This Row],[_StartWorkday]]+1),0)</f>
        <v>0</v>
      </c>
      <c r="EC40" s="38" t="n">
        <f aca="false">Tasks[[#This Row],[_WorkPerWorkday]]*(Tasks[[#This Row],[_StartWorkday]]-1)</f>
        <v>-0</v>
      </c>
      <c r="ED40" s="38" t="n">
        <f aca="false">IF(Tasks[[#This Row],[_IsLeaf]]=1,MAX(N(Tasks[[#This Row],[Duration]]),0.1),0)</f>
        <v>0</v>
      </c>
      <c r="EE40" s="38" t="n">
        <f aca="false">Tasks[[#This Row],[_WeightDur]]*Tasks[[#This Row],[_LeafProgress]]</f>
        <v>0</v>
      </c>
      <c r="EF4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0" s="38" t="str">
        <f aca="false">IF(AND(Tasks[[#This Row],[_IsLeaf]]=1,N(Tasks[[#This Row],[Duration]])=0,Tasks[[#This Row],[_LeafProgress]]&lt;1),Tasks[[#This Row],[_ShownFcstFinish]]+Tasks[[#This Row],[_Row]]/100000,"")</f>
        <v/>
      </c>
      <c r="EH4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0" s="38" t="n">
        <f aca="false">IF(NOT(Tasks[[#This Row],[_IsLeaf]]=1),0,IF(Tasks[[#This Row],[Baseline Cost]]="",Tasks[[#This Row],[_LeafTotalCost]],N(Tasks[[#This Row],[Baseline Cost]])))</f>
        <v>0</v>
      </c>
      <c r="EJ40" s="38" t="n">
        <f aca="false">Tasks[[#This Row],[_LeafBudget]]*Tasks[[#This Row],[_PlannedPct]]</f>
        <v>0</v>
      </c>
      <c r="EK40" s="38" t="n">
        <f aca="false">Tasks[[#This Row],[_LeafBudget]]*Tasks[[#This Row],[_LeafProgress]]</f>
        <v>0</v>
      </c>
      <c r="EL40" s="38" t="n">
        <f aca="false">IF(NOT(Tasks[[#This Row],[_IsLeaf]]=1),0,IF(Tasks[[#This Row],[Actual Cost]]="",Tasks[[#This Row],[_LeafTotalCost]]*Tasks[[#This Row],[_LeafProgress]],N(Tasks[[#This Row],[Actual Cost]])))</f>
        <v>0</v>
      </c>
      <c r="EM40" s="38" t="str">
        <f aca="false">IF(Tasks[[#This Row],[Task Name]]="","",LEFT(Tasks[[#This Row],[WBS]],FIND(".",Tasks[[#This Row],[WBS]]&amp;".")-1))</f>
        <v/>
      </c>
      <c r="EN40" s="38" t="str">
        <f aca="false">IF(AND(Tasks[[#This Row],[Task Name]]&lt;&gt;"",Tasks[[#This Row],[_Level]]=1),Tasks[[#This Row],[_Row]],"")</f>
        <v/>
      </c>
      <c r="EO40" s="38" t="str">
        <f aca="false">IF(AND(Tasks[[#This Row],[_IsLeaf]]=1,N(Tasks[[#This Row],[Duration]])=0),Tasks[[#This Row],[Planned Finish]]+Tasks[[#This Row],[_Row]]/100000,"")</f>
        <v/>
      </c>
      <c r="EP40" s="38" t="str">
        <f aca="false">IF(AND(Tasks[[#This Row],[_IsLeaf]]=1,Tasks[[#This Row],[_LeafProgress]]&lt;1,OR(N(Tasks[[#This Row],[Finish Var]])&gt;0,Tasks[[#This Row],[Status]]="Late Start")),MAX(0,Tasks[[#This Row],[Finish Var]])+1-Tasks[[#This Row],[_Row]]/1000000,"")</f>
        <v/>
      </c>
      <c r="EQ40" s="38" t="str">
        <f aca="false">IF(AND(Tasks[[#This Row],[_IsLeaf]]=1,N(Tasks[[#This Row],[Actual Start]])=0,Tasks[[#This Row],[_ShownFcstStart]]&gt;=StatusDate,Tasks[[#This Row],[_ShownFcstStart]]&lt;=LookaheadEnd),Tasks[[#This Row],[_ShownFcstStart]]+Tasks[[#This Row],[_Row]]/100000,"")</f>
        <v/>
      </c>
      <c r="ER40" s="38" t="str">
        <f aca="false">IF(AND(Tasks[[#This Row],[_IsLeaf]]=1,Tasks[[#This Row],[_LeafProgress]]&lt;1,Tasks[[#This Row],[_ShownFcstFinish]]&gt;=StatusDate,Tasks[[#This Row],[_ShownFcstFinish]]&lt;=LookaheadEnd),Tasks[[#This Row],[_ShownFcstFinish]]+Tasks[[#This Row],[_Row]]/100000,"")</f>
        <v/>
      </c>
      <c r="ES40" s="38" t="str">
        <f aca="false">IF(Tasks[[#This Row],[_LeafCritical]],Tasks[[#This Row],[_ShownFcstStart]]+Tasks[[#This Row],[_Row]]/100000,"")</f>
        <v/>
      </c>
      <c r="ET40" s="38" t="n">
        <f aca="false">Tasks[[#This Row],[_LeafWork]]*Tasks[[#This Row],[_LeafProgress]]</f>
        <v>0</v>
      </c>
      <c r="EU40" s="115" t="str">
        <f aca="false">IF(AND(Tasks[[#This Row],[_IsLeaf]]=1,Tasks[[#This Row],[_LeafProgress]]&gt;=1),IF(N(Tasks[[#This Row],[Actual Finish]])&gt;0,Tasks[[#This Row],[Actual Finish]],Tasks[[#This Row],[_ShownFcstFinish]]),"")</f>
        <v/>
      </c>
      <c r="EV40" s="38" t="n">
        <f aca="false">IF(Tasks[[#This Row],[_IsLeaf]]=1,N(Tasks[[#This Row],[Story Points]]),0)</f>
        <v>0</v>
      </c>
      <c r="EW40" s="38" t="str">
        <f aca="false">IF(AND(Tasks[[#This Row],[_IsLeaf]]=1,CurrentSprint&lt;&gt;"",Tasks[[#This Row],[Sprint]]=CurrentSprint),Tasks[[#This Row],[_Row]],"")</f>
        <v/>
      </c>
    </row>
    <row r="41" customFormat="false" ht="15" hidden="false" customHeight="false" outlineLevel="0" collapsed="false">
      <c r="A41" s="51" t="str">
        <f aca="false">IF(Tasks[[#This Row],[Task Name]]="","",COUNTA(Tasks[[#Headers],[Task Name]]:Tasks[[#This Row],[Task Name]])-1)</f>
        <v/>
      </c>
      <c r="B41" s="52" t="n">
        <v>36</v>
      </c>
      <c r="C4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52"/>
      <c r="E41" s="53"/>
      <c r="F41" s="52"/>
      <c r="G41" s="52"/>
      <c r="H41" s="52"/>
      <c r="I41" s="52"/>
      <c r="J41" s="52"/>
      <c r="K41" s="52"/>
      <c r="L41" s="52"/>
      <c r="M41" s="52"/>
      <c r="N41" s="52"/>
      <c r="O41" s="52"/>
      <c r="P41" s="52"/>
      <c r="Q41" s="52"/>
      <c r="R41" s="52"/>
      <c r="S41" s="53"/>
      <c r="T41" s="102"/>
      <c r="U41" s="102"/>
      <c r="V41" s="7"/>
      <c r="W41" s="7"/>
      <c r="X41" s="53"/>
      <c r="Y41" s="31" t="str">
        <f aca="false">IF(Tasks[[#This Row],[Task Name]]="","",IF(Tasks[[#This Row],[_IsSummary]],MIN(INDEX(Tasks[_ShownFcstStart],Tasks[[#This Row],[_Row]]+1):INDEX(Tasks[_ShownFcstStart],Tasks[[#This Row],[_Row]]+Tasks[[#This Row],[_Descendants]])),Tasks[[#This Row],[_ShownFcstStart]]))</f>
        <v/>
      </c>
      <c r="Z41" s="31" t="str">
        <f aca="false">IF(Tasks[[#This Row],[Task Name]]="","",IF(Tasks[[#This Row],[_IsSummary]],MAX(INDEX(Tasks[_ShownFcstFinish],Tasks[[#This Row],[_Row]]+1):INDEX(Tasks[_ShownFcstFinish],Tasks[[#This Row],[_Row]]+Tasks[[#This Row],[_Descendants]])),Tasks[[#This Row],[_ShownFcstFinish]]))</f>
        <v/>
      </c>
      <c r="AA41" s="51" t="str">
        <f aca="false">IF(Tasks[[#This Row],[Task Name]]="","",IF(Tasks[[#This Row],[Progress]]&gt;=1,"Complete",IF(OR(N(Tasks[[#This Row],[Actual Start]])&gt;0,Tasks[[#This Row],[Progress]]&gt;0),IF(Tasks[[#This Row],[Finish Var]]&gt;0,"Behind","In Progress"),IF(Tasks[[#This Row],[Planned Start]]&lt;StatusDate,"Late Start","Not Started"))))</f>
        <v/>
      </c>
      <c r="AB41" s="51" t="str">
        <f aca="false">IF(Tasks[[#This Row],[Task Name]]="","",IF(IF(Tasks[[#This Row],[_IsSummary]],COUNTIF(INDEX(Tasks[_LeafCritical],Tasks[[#This Row],[_Row]]+1):INDEX(Tasks[_LeafCritical],Tasks[[#This Row],[_Row]]+Tasks[[#This Row],[_Descendants]]),TRUE())&gt;0,Tasks[[#This Row],[_LeafCritical]]),"Yes",""))</f>
        <v/>
      </c>
      <c r="AC4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1" s="51" t="str">
        <f aca="false">IF(Tasks[[#This Row],[Task Name]]="","",IF(Tasks[[#This Row],[_Level]]&lt;=OutlineShowLevel,"Yes","No"))</f>
        <v/>
      </c>
      <c r="AE41" s="7"/>
      <c r="AF41" s="52"/>
      <c r="AG41" s="53"/>
      <c r="AH41" s="7"/>
      <c r="AI4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1" s="31" t="str">
        <f aca="false">IF(Tasks[[#This Row],[Task Name]]="","",IF(N(Tasks[[#This Row],[Baseline Start]])&gt;0,Tasks[[#This Row],[Baseline Start]],Tasks[[#This Row],[_CalcStart]]))</f>
        <v/>
      </c>
      <c r="AK41" s="31" t="str">
        <f aca="false">IF(Tasks[[#This Row],[Task Name]]="","",IF(N(Tasks[[#This Row],[Baseline Finish]])&gt;0,Tasks[[#This Row],[Baseline Finish]],Tasks[[#This Row],[_CalcFinish]]))</f>
        <v/>
      </c>
      <c r="AL4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1" s="31" t="str">
        <f aca="false">IF(Tasks[[#This Row],[Task Name]]="","",IF(Tasks[[#This Row],[_IsSummary]],MIN(INDEX(Tasks[_LeafLateStart],Tasks[[#This Row],[_Row]]+1):INDEX(Tasks[_LeafLateStart],Tasks[[#This Row],[_Row]]+Tasks[[#This Row],[_Descendants]])),Tasks[[#This Row],[_LeafLateStart]]))</f>
        <v/>
      </c>
      <c r="AN41" s="31" t="str">
        <f aca="false">IF(Tasks[[#This Row],[Task Name]]="","",IF(Tasks[[#This Row],[_IsSummary]],MAX(INDEX(Tasks[_LeafLateFinish],Tasks[[#This Row],[_Row]]+1):INDEX(Tasks[_LeafLateFinish],Tasks[[#This Row],[_Row]]+Tasks[[#This Row],[_Descendants]])),Tasks[[#This Row],[_LeafLateFinish]]))</f>
        <v/>
      </c>
      <c r="AO41" s="51" t="str">
        <f aca="false">IF(Tasks[[#This Row],[Task Name]]="","",IF(Tasks[[#This Row],[_IsSummary]],MIN(INDEX(Tasks[_LeafTotalSlack],Tasks[[#This Row],[_Row]]+1):INDEX(Tasks[_LeafTotalSlack],Tasks[[#This Row],[_Row]]+Tasks[[#This Row],[_Descendants]])),Tasks[[#This Row],[_LeafTotalSlack]]))</f>
        <v/>
      </c>
      <c r="AP4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1" s="110" t="str">
        <f aca="false">IF(Tasks[[#This Row],[Task Name]]="","",IF(Tasks[[#This Row],[_IsSummary]],SUM(INDEX(Tasks[_LeafTotalWork],Tasks[[#This Row],[_Row]]+1):INDEX(Tasks[_LeafTotalWork],Tasks[[#This Row],[_Row]]+Tasks[[#This Row],[_Descendants]])),Tasks[[#This Row],[_LeafTotalWork]]))</f>
        <v/>
      </c>
      <c r="AV4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1" s="111" t="str">
        <f aca="false">IF(Tasks[[#This Row],[Task Name]]="","",IF(Tasks[[#This Row],[_IsSummary]],SUM(INDEX(Tasks[_LeafTotalCost],Tasks[[#This Row],[_Row]]+1):INDEX(Tasks[_LeafTotalCost],Tasks[[#This Row],[_Row]]+Tasks[[#This Row],[_Descendants]])),Tasks[[#This Row],[_LeafTotalCost]]))</f>
        <v/>
      </c>
      <c r="AY41" s="112"/>
      <c r="AZ4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1" s="52"/>
      <c r="BB41" s="98"/>
      <c r="BC41" s="51" t="str">
        <f aca="false">IF(OR(Tasks[[#This Row],[Task Name]]="",Tasks[[#This Row],[Baseline Duration]]=""),"",Tasks[[#This Row],[BL Source Duration]]-N(Tasks[[#This Row],[Baseline Duration]]))</f>
        <v/>
      </c>
      <c r="BD41" s="110" t="str">
        <f aca="false">IF(OR(Tasks[[#This Row],[Task Name]]="",Tasks[[#This Row],[Baseline Work]]=""),"",Tasks[[#This Row],[Work]]-N(Tasks[[#This Row],[Baseline Work]]))</f>
        <v/>
      </c>
      <c r="BE41" s="111" t="str">
        <f aca="false">IF(OR(Tasks[[#This Row],[Task Name]]="",Tasks[[#This Row],[Baseline Cost]]=""),"",Tasks[[#This Row],[Cost]]-N(Tasks[[#This Row],[Baseline Cost]]))</f>
        <v/>
      </c>
      <c r="BF41" s="31" t="str">
        <f aca="false">IF(Tasks[[#This Row],[Task Name]]="","",Tasks[[#This Row],[Forecast Start]])</f>
        <v/>
      </c>
      <c r="BG41" s="31" t="str">
        <f aca="false">IF(Tasks[[#This Row],[Task Name]]="","",Tasks[[#This Row],[Forecast Finish]])</f>
        <v/>
      </c>
      <c r="BH41" s="51" t="str">
        <f aca="false">IF(Tasks[[#This Row],[Task Name]]="","",IF(Tasks[[#This Row],[_IsSummary]],NETWORKDAYS.INTL(Tasks[[#This Row],[Forecast Start]],Tasks[[#This Row],[Forecast Finish]],WorkWeek,Holidays),N(Tasks[[#This Row],[Duration]])))</f>
        <v/>
      </c>
      <c r="BI41" s="110" t="str">
        <f aca="false">IF(Tasks[[#This Row],[Task Name]]="","",Tasks[[#This Row],[Work]])</f>
        <v/>
      </c>
      <c r="BJ41" s="111" t="str">
        <f aca="false">IF(Tasks[[#This Row],[Task Name]]="","",Tasks[[#This Row],[Cost]])</f>
        <v/>
      </c>
      <c r="BK41" s="7"/>
      <c r="BL41" s="7"/>
      <c r="BM41" s="52"/>
      <c r="BN41" s="113"/>
      <c r="BO41" s="112"/>
      <c r="BP41" s="111" t="str">
        <f aca="false">IF(Tasks[[#This Row],[Task Name]]="","",IF(Tasks[[#This Row],[_IsSummary]],SUM(INDEX(Tasks[_LeafEV],Tasks[[#This Row],[_Row]]+1):INDEX(Tasks[_LeafEV],Tasks[[#This Row],[_Row]]+Tasks[[#This Row],[_Descendants]])),Tasks[[#This Row],[_LeafEV]]))</f>
        <v/>
      </c>
      <c r="BQ41" s="111" t="str">
        <f aca="false">IF(Tasks[[#This Row],[Task Name]]="","",IF(Tasks[[#This Row],[_IsSummary]],SUM(INDEX(Tasks[_LeafBudget],Tasks[[#This Row],[_Row]]+1):INDEX(Tasks[_LeafBudget],Tasks[[#This Row],[_Row]]+Tasks[[#This Row],[_Descendants]])),Tasks[[#This Row],[_LeafBudget]]))</f>
        <v/>
      </c>
      <c r="BR41" s="111" t="str">
        <f aca="false">IF(Tasks[[#This Row],[Task Name]]="","",IF(Tasks[[#This Row],[_IsSummary]],SUM(INDEX(Tasks[_LeafPV],Tasks[[#This Row],[_Row]]+1):INDEX(Tasks[_LeafPV],Tasks[[#This Row],[_Row]]+Tasks[[#This Row],[_Descendants]])),Tasks[[#This Row],[_LeafPV]]))</f>
        <v/>
      </c>
      <c r="BS41" s="111" t="str">
        <f aca="false">IF(Tasks[[#This Row],[Task Name]]="","",IF(Tasks[[#This Row],[_IsSummary]],SUM(INDEX(Tasks[_LeafAC],Tasks[[#This Row],[_Row]]+1):INDEX(Tasks[_LeafAC],Tasks[[#This Row],[_Row]]+Tasks[[#This Row],[_Descendants]])),Tasks[[#This Row],[_LeafAC]]))</f>
        <v/>
      </c>
      <c r="BT41" s="38" t="str">
        <f aca="false">IF(Tasks[[#This Row],[Task Name]]="","",MAX(1,N(Tasks[[#This Row],[Level]])))</f>
        <v/>
      </c>
      <c r="BU41" s="38" t="n">
        <f aca="false">ROW()-ROW(Tasks[[#Headers],[ID]])</f>
        <v>36</v>
      </c>
      <c r="BV41" s="38" t="n">
        <f aca="false">IF(OR(Tasks[[#This Row],[Task Name]]="",Tasks[[#This Row],[_Level]]&lt;=1),0,IFERROR(LOOKUP(2,1/(Tasks[[#Headers],[_Level]]:Tasks[[#This Row],[_Level]]=Tasks[[#This Row],[_Level]]-1),ROW(Tasks[[#Headers],[_Level]]:Tasks[[#This Row],[_Level]])),0))</f>
        <v>0</v>
      </c>
      <c r="BW41" s="38" t="n">
        <f aca="false">IFERROR(N(INDEX(Tasks[_Level],Tasks[[#This Row],[_Row]]+1)),0)</f>
        <v>0</v>
      </c>
      <c r="BX41" s="114" t="b">
        <f aca="false">AND(Tasks[[#This Row],[Task Name]]&lt;&gt;"",Tasks[[#This Row],[_NextLevel]]&gt;Tasks[[#This Row],[_Level]])</f>
        <v>0</v>
      </c>
      <c r="BY41" s="38" t="n">
        <f aca="false">IF(Tasks[[#This Row],[_IsSummary]],COUNTIF(Tasks[WBS],Tasks[[#This Row],[WBS]]&amp;".*"),0)</f>
        <v>0</v>
      </c>
      <c r="BZ41" s="38" t="n">
        <f aca="false">IF(AND(Tasks[[#This Row],[Task Name]]&lt;&gt;"",NOT(Tasks[[#This Row],[_IsSummary]])),1,0)</f>
        <v>0</v>
      </c>
      <c r="CA41" s="38" t="n">
        <f aca="false">IF(N(Tasks[[#This Row],[Pred1 UID]])=0,0,IFERROR(MATCH(Tasks[[#This Row],[Pred1 UID]],Tasks[UID],0),-1))</f>
        <v>0</v>
      </c>
      <c r="CB41" s="38" t="n">
        <f aca="false">IF(N(Tasks[[#This Row],[Pred2 UID]])=0,0,IFERROR(MATCH(Tasks[[#This Row],[Pred2 UID]],Tasks[UID],0),-1))</f>
        <v>0</v>
      </c>
      <c r="CC41" s="38" t="n">
        <f aca="false">IF(N(Tasks[[#This Row],[Pred3 UID]])=0,0,IFERROR(MATCH(Tasks[[#This Row],[Pred3 UID]],Tasks[UID],0),-1))</f>
        <v>0</v>
      </c>
      <c r="CD41" s="38" t="n">
        <f aca="false">IF(N(Tasks[[#This Row],[Pred4 UID]])=0,0,IFERROR(MATCH(Tasks[[#This Row],[Pred4 UID]],Tasks[UID],0),-1))</f>
        <v>0</v>
      </c>
      <c r="CE4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1" s="115" t="n">
        <f aca="false">IF(OR(Tasks[[#This Row],[_ConstraintCode]]=2,Tasks[[#This Row],[_ConstraintCode]]=3,Tasks[[#This Row],[_ConstraintCode]]=4,Tasks[[#This Row],[_ConstraintCode]]=6),Tasks[[#This Row],[_ConstraintStart]],0)</f>
        <v>0</v>
      </c>
      <c r="CH41" s="115" t="n">
        <f aca="false">IF(OR(Tasks[[#This Row],[_ConstraintCode]]=2,Tasks[[#This Row],[_ConstraintCode]]=3,Tasks[[#This Row],[_ConstraintCode]]=5,Tasks[[#This Row],[_ConstraintCode]]=7),Tasks[[#This Row],[_ConstraintStart]],2958465)</f>
        <v>2958465</v>
      </c>
      <c r="CI4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1" s="115" t="str">
        <f aca="false">IF(NOT(Tasks[[#This Row],[_IsLeaf]]=1),"",IF(N(Tasks[[#This Row],[Duration]])&lt;=0,Tasks[[#This Row],[_LeafCalcStart]],WORKDAY.INTL(Tasks[[#This Row],[_LeafCalcStart]],Tasks[[#This Row],[Duration]]-1,WorkWeek,Holidays)))</f>
        <v/>
      </c>
      <c r="CK4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1" s="38" t="n">
        <f aca="false">IF(NOT(Tasks[[#This Row],[_IsLeaf]]=1),0,IF(N(Tasks[[#This Row],[Actual Finish]])&gt;0,1,MIN(1,N(Tasks[[#This Row],[% Complete]]))))</f>
        <v>0</v>
      </c>
      <c r="CN41" s="38" t="n">
        <f aca="false">IF(OR(NOT(Tasks[[#This Row],[_IsLeaf]]=1),Tasks[[#This Row],[Resource]]=""),0,N(Tasks[[#This Row],[Duration]])*HoursPerDay*IF(Tasks[[#This Row],[Units]]="",DefaultUnits,Tasks[[#This Row],[Units]]))</f>
        <v>0</v>
      </c>
      <c r="CO41" s="38" t="n">
        <f aca="false">IF(Tasks[[#This Row],[_LeafWork]]=0,0,Tasks[[#This Row],[_LeafWork]]*IFERROR(INDEX(res_Rate,MATCH(Tasks[[#This Row],[Resource]],res_Name,0)),0))</f>
        <v>0</v>
      </c>
      <c r="CP41" s="38" t="n">
        <f aca="false">Tasks[[#This Row],[_LeafWork]]+IF(Tasks[[#This Row],[_IsLeaf]]=1,SUMIFS(asg_Work,asg_TaskUID,Tasks[[#This Row],[UID]],asg_Valid,1),0)</f>
        <v>0</v>
      </c>
      <c r="CQ41" s="38" t="n">
        <f aca="false">Tasks[[#This Row],[_LeafCost]]+IF(Tasks[[#This Row],[_IsLeaf]]=1,SUMIFS(asg_Cost,asg_TaskUID,Tasks[[#This Row],[UID]],asg_Valid,1),0)</f>
        <v>0</v>
      </c>
      <c r="CR41" s="38" t="n">
        <f aca="false">IF(Tasks[[#This Row],[_LeafTotalCost]]=0,Tasks[[#This Row],[_LeafAC]],Tasks[[#This Row],[_LeafAC]]*Tasks[[#This Row],[_LeafCost]]/Tasks[[#This Row],[_LeafTotalCost]])</f>
        <v>0</v>
      </c>
      <c r="CS4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1" s="38" t="n">
        <f aca="false">IF(NOT(Tasks[[#This Row],[_IsLeaf]]=1),0,MAX(_xlfn.MAXIFS(Tasks[_Row],Tasks[Pred1 UID],Tasks[[#This Row],[UID]]),_xlfn.MAXIFS(Tasks[_Row],Tasks[Pred2 UID],Tasks[[#This Row],[UID]]),_xlfn.MAXIFS(Tasks[_Row],Tasks[Pred3 UID],Tasks[[#This Row],[UID]]),_xlfn.MAXIFS(Tasks[_Row],Tasks[Pred4 UID],Tasks[[#This Row],[UID]])))</f>
        <v>0</v>
      </c>
      <c r="DB4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1" s="115" t="str">
        <f aca="false">IF(NOT(Tasks[[#This Row],[_IsLeaf]]=1),"",IF(N(Tasks[[#This Row],[Duration]])&lt;=0,Tasks[[#This Row],[_LeafLateFinish]],WORKDAY.INTL(Tasks[[#This Row],[_LeafLateFinish]],-(Tasks[[#This Row],[Duration]]-1),WorkWeek,Holidays)))</f>
        <v/>
      </c>
      <c r="DE4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1" s="114" t="b">
        <f aca="false">AND(Tasks[[#This Row],[_IsLeaf]]=1,Tasks[[#This Row],[_LeafProgress]]&lt;1,N(Tasks[[#This Row],[_LeafTotalSlack]])&lt;=CriticalSlackDays)</f>
        <v>0</v>
      </c>
      <c r="DG41" s="38" t="n">
        <f aca="false">IF(AND(Tasks[[#This Row],[_IsLeaf]]=1,Tasks[[#This Row],[_ConstraintCode]]=1,Tasks[[#This Row],[Mode]]&lt;&gt;"Manual",N(Tasks[[#This Row],[Actual Start]])=0),MAX(0,N(Tasks[[#This Row],[Free Slack]])),0)</f>
        <v>0</v>
      </c>
      <c r="DH41" s="115" t="str">
        <f aca="false">IF(NOT(Tasks[[#This Row],[_IsLeaf]]=1),"",IF(Tasks[[#This Row],[_AlapShift]]=0,Tasks[[#This Row],[_LeafCalcStart]],WORKDAY.INTL(Tasks[[#This Row],[_LeafCalcStart]],Tasks[[#This Row],[_AlapShift]],WorkWeek,Holidays)))</f>
        <v/>
      </c>
      <c r="DI41" s="115" t="str">
        <f aca="false">IF(NOT(Tasks[[#This Row],[_IsLeaf]]=1),"",IF(Tasks[[#This Row],[_AlapShift]]=0,Tasks[[#This Row],[_LeafCalcFinish]],WORKDAY.INTL(Tasks[[#This Row],[_LeafCalcFinish]],Tasks[[#This Row],[_AlapShift]],WorkWeek,Holidays)))</f>
        <v/>
      </c>
      <c r="DJ41" s="115" t="str">
        <f aca="false">IF(NOT(Tasks[[#This Row],[_IsLeaf]]=1),"",IF(Tasks[[#This Row],[_AlapShift]]=0,Tasks[[#This Row],[_LeafFcstStart]],WORKDAY.INTL(Tasks[[#This Row],[_LeafFcstStart]],Tasks[[#This Row],[_AlapShift]],WorkWeek,Holidays)))</f>
        <v/>
      </c>
      <c r="DK41" s="115" t="str">
        <f aca="false">IF(NOT(Tasks[[#This Row],[_IsLeaf]]=1),"",IF(Tasks[[#This Row],[_AlapShift]]=0,Tasks[[#This Row],[_LeafFcstFinish]],WORKDAY.INTL(Tasks[[#This Row],[_LeafFcstFinish]],Tasks[[#This Row],[_AlapShift]],WorkWeek,Holidays)))</f>
        <v/>
      </c>
      <c r="DL41" s="115" t="str">
        <f aca="false">IF(Tasks[[#This Row],[Task Name]]="","",IF(Tasks[[#This Row],[_IsSummary]],MIN(INDEX(Tasks[_ShownCalcStart],Tasks[[#This Row],[_Row]]+1):INDEX(Tasks[_ShownCalcStart],Tasks[[#This Row],[_Row]]+Tasks[[#This Row],[_Descendants]])),Tasks[[#This Row],[_ShownCalcStart]]))</f>
        <v/>
      </c>
      <c r="DM41" s="115" t="str">
        <f aca="false">IF(Tasks[[#This Row],[Task Name]]="","",IF(Tasks[[#This Row],[_IsSummary]],MAX(INDEX(Tasks[_ShownCalcFinish],Tasks[[#This Row],[_Row]]+1):INDEX(Tasks[_ShownCalcFinish],Tasks[[#This Row],[_Row]]+Tasks[[#This Row],[_Descendants]])),Tasks[[#This Row],[_ShownCalcFinish]]))</f>
        <v/>
      </c>
      <c r="DN4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1" s="38" t="n">
        <f aca="false">IF(AND(Tasks[[#This Row],[_IsLeaf]]=1,Tasks[[#This Row],[_LeafTotalWork]]&gt;0),NETWORKDAYS.INTL(ProjectStart,Tasks[[#This Row],[_ShownFcstStart]],WorkWeek,Holidays),0)</f>
        <v>0</v>
      </c>
      <c r="EA41" s="38" t="n">
        <f aca="false">IF(AND(Tasks[[#This Row],[_IsLeaf]]=1,Tasks[[#This Row],[_LeafTotalWork]]&gt;0),MAX(Tasks[[#This Row],[_StartWorkday]],NETWORKDAYS.INTL(ProjectStart,Tasks[[#This Row],[_ShownFcstFinish]],WorkWeek,Holidays)),0)</f>
        <v>0</v>
      </c>
      <c r="EB41" s="38" t="n">
        <f aca="false">IF(AND(Tasks[[#This Row],[_IsLeaf]]=1,Tasks[[#This Row],[_LeafTotalWork]]&gt;0),Tasks[[#This Row],[_LeafWork]]/(Tasks[[#This Row],[_FinishWorkday]]-Tasks[[#This Row],[_StartWorkday]]+1),0)</f>
        <v>0</v>
      </c>
      <c r="EC41" s="38" t="n">
        <f aca="false">Tasks[[#This Row],[_WorkPerWorkday]]*(Tasks[[#This Row],[_StartWorkday]]-1)</f>
        <v>-0</v>
      </c>
      <c r="ED41" s="38" t="n">
        <f aca="false">IF(Tasks[[#This Row],[_IsLeaf]]=1,MAX(N(Tasks[[#This Row],[Duration]]),0.1),0)</f>
        <v>0</v>
      </c>
      <c r="EE41" s="38" t="n">
        <f aca="false">Tasks[[#This Row],[_WeightDur]]*Tasks[[#This Row],[_LeafProgress]]</f>
        <v>0</v>
      </c>
      <c r="EF4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1" s="38" t="str">
        <f aca="false">IF(AND(Tasks[[#This Row],[_IsLeaf]]=1,N(Tasks[[#This Row],[Duration]])=0,Tasks[[#This Row],[_LeafProgress]]&lt;1),Tasks[[#This Row],[_ShownFcstFinish]]+Tasks[[#This Row],[_Row]]/100000,"")</f>
        <v/>
      </c>
      <c r="EH4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1" s="38" t="n">
        <f aca="false">IF(NOT(Tasks[[#This Row],[_IsLeaf]]=1),0,IF(Tasks[[#This Row],[Baseline Cost]]="",Tasks[[#This Row],[_LeafTotalCost]],N(Tasks[[#This Row],[Baseline Cost]])))</f>
        <v>0</v>
      </c>
      <c r="EJ41" s="38" t="n">
        <f aca="false">Tasks[[#This Row],[_LeafBudget]]*Tasks[[#This Row],[_PlannedPct]]</f>
        <v>0</v>
      </c>
      <c r="EK41" s="38" t="n">
        <f aca="false">Tasks[[#This Row],[_LeafBudget]]*Tasks[[#This Row],[_LeafProgress]]</f>
        <v>0</v>
      </c>
      <c r="EL41" s="38" t="n">
        <f aca="false">IF(NOT(Tasks[[#This Row],[_IsLeaf]]=1),0,IF(Tasks[[#This Row],[Actual Cost]]="",Tasks[[#This Row],[_LeafTotalCost]]*Tasks[[#This Row],[_LeafProgress]],N(Tasks[[#This Row],[Actual Cost]])))</f>
        <v>0</v>
      </c>
      <c r="EM41" s="38" t="str">
        <f aca="false">IF(Tasks[[#This Row],[Task Name]]="","",LEFT(Tasks[[#This Row],[WBS]],FIND(".",Tasks[[#This Row],[WBS]]&amp;".")-1))</f>
        <v/>
      </c>
      <c r="EN41" s="38" t="str">
        <f aca="false">IF(AND(Tasks[[#This Row],[Task Name]]&lt;&gt;"",Tasks[[#This Row],[_Level]]=1),Tasks[[#This Row],[_Row]],"")</f>
        <v/>
      </c>
      <c r="EO41" s="38" t="str">
        <f aca="false">IF(AND(Tasks[[#This Row],[_IsLeaf]]=1,N(Tasks[[#This Row],[Duration]])=0),Tasks[[#This Row],[Planned Finish]]+Tasks[[#This Row],[_Row]]/100000,"")</f>
        <v/>
      </c>
      <c r="EP41" s="38" t="str">
        <f aca="false">IF(AND(Tasks[[#This Row],[_IsLeaf]]=1,Tasks[[#This Row],[_LeafProgress]]&lt;1,OR(N(Tasks[[#This Row],[Finish Var]])&gt;0,Tasks[[#This Row],[Status]]="Late Start")),MAX(0,Tasks[[#This Row],[Finish Var]])+1-Tasks[[#This Row],[_Row]]/1000000,"")</f>
        <v/>
      </c>
      <c r="EQ41" s="38" t="str">
        <f aca="false">IF(AND(Tasks[[#This Row],[_IsLeaf]]=1,N(Tasks[[#This Row],[Actual Start]])=0,Tasks[[#This Row],[_ShownFcstStart]]&gt;=StatusDate,Tasks[[#This Row],[_ShownFcstStart]]&lt;=LookaheadEnd),Tasks[[#This Row],[_ShownFcstStart]]+Tasks[[#This Row],[_Row]]/100000,"")</f>
        <v/>
      </c>
      <c r="ER41" s="38" t="str">
        <f aca="false">IF(AND(Tasks[[#This Row],[_IsLeaf]]=1,Tasks[[#This Row],[_LeafProgress]]&lt;1,Tasks[[#This Row],[_ShownFcstFinish]]&gt;=StatusDate,Tasks[[#This Row],[_ShownFcstFinish]]&lt;=LookaheadEnd),Tasks[[#This Row],[_ShownFcstFinish]]+Tasks[[#This Row],[_Row]]/100000,"")</f>
        <v/>
      </c>
      <c r="ES41" s="38" t="str">
        <f aca="false">IF(Tasks[[#This Row],[_LeafCritical]],Tasks[[#This Row],[_ShownFcstStart]]+Tasks[[#This Row],[_Row]]/100000,"")</f>
        <v/>
      </c>
      <c r="ET41" s="38" t="n">
        <f aca="false">Tasks[[#This Row],[_LeafWork]]*Tasks[[#This Row],[_LeafProgress]]</f>
        <v>0</v>
      </c>
      <c r="EU41" s="115" t="str">
        <f aca="false">IF(AND(Tasks[[#This Row],[_IsLeaf]]=1,Tasks[[#This Row],[_LeafProgress]]&gt;=1),IF(N(Tasks[[#This Row],[Actual Finish]])&gt;0,Tasks[[#This Row],[Actual Finish]],Tasks[[#This Row],[_ShownFcstFinish]]),"")</f>
        <v/>
      </c>
      <c r="EV41" s="38" t="n">
        <f aca="false">IF(Tasks[[#This Row],[_IsLeaf]]=1,N(Tasks[[#This Row],[Story Points]]),0)</f>
        <v>0</v>
      </c>
      <c r="EW41" s="38" t="str">
        <f aca="false">IF(AND(Tasks[[#This Row],[_IsLeaf]]=1,CurrentSprint&lt;&gt;"",Tasks[[#This Row],[Sprint]]=CurrentSprint),Tasks[[#This Row],[_Row]],"")</f>
        <v/>
      </c>
    </row>
    <row r="42" customFormat="false" ht="15" hidden="false" customHeight="false" outlineLevel="0" collapsed="false">
      <c r="A42" s="51" t="str">
        <f aca="false">IF(Tasks[[#This Row],[Task Name]]="","",COUNTA(Tasks[[#Headers],[Task Name]]:Tasks[[#This Row],[Task Name]])-1)</f>
        <v/>
      </c>
      <c r="B42" s="52" t="n">
        <v>37</v>
      </c>
      <c r="C4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52"/>
      <c r="E42" s="53"/>
      <c r="F42" s="52"/>
      <c r="G42" s="52"/>
      <c r="H42" s="52"/>
      <c r="I42" s="52"/>
      <c r="J42" s="52"/>
      <c r="K42" s="52"/>
      <c r="L42" s="52"/>
      <c r="M42" s="52"/>
      <c r="N42" s="52"/>
      <c r="O42" s="52"/>
      <c r="P42" s="52"/>
      <c r="Q42" s="52"/>
      <c r="R42" s="52"/>
      <c r="S42" s="53"/>
      <c r="T42" s="102"/>
      <c r="U42" s="102"/>
      <c r="V42" s="7"/>
      <c r="W42" s="7"/>
      <c r="X42" s="53"/>
      <c r="Y42" s="31" t="str">
        <f aca="false">IF(Tasks[[#This Row],[Task Name]]="","",IF(Tasks[[#This Row],[_IsSummary]],MIN(INDEX(Tasks[_ShownFcstStart],Tasks[[#This Row],[_Row]]+1):INDEX(Tasks[_ShownFcstStart],Tasks[[#This Row],[_Row]]+Tasks[[#This Row],[_Descendants]])),Tasks[[#This Row],[_ShownFcstStart]]))</f>
        <v/>
      </c>
      <c r="Z42" s="31" t="str">
        <f aca="false">IF(Tasks[[#This Row],[Task Name]]="","",IF(Tasks[[#This Row],[_IsSummary]],MAX(INDEX(Tasks[_ShownFcstFinish],Tasks[[#This Row],[_Row]]+1):INDEX(Tasks[_ShownFcstFinish],Tasks[[#This Row],[_Row]]+Tasks[[#This Row],[_Descendants]])),Tasks[[#This Row],[_ShownFcstFinish]]))</f>
        <v/>
      </c>
      <c r="AA42" s="51" t="str">
        <f aca="false">IF(Tasks[[#This Row],[Task Name]]="","",IF(Tasks[[#This Row],[Progress]]&gt;=1,"Complete",IF(OR(N(Tasks[[#This Row],[Actual Start]])&gt;0,Tasks[[#This Row],[Progress]]&gt;0),IF(Tasks[[#This Row],[Finish Var]]&gt;0,"Behind","In Progress"),IF(Tasks[[#This Row],[Planned Start]]&lt;StatusDate,"Late Start","Not Started"))))</f>
        <v/>
      </c>
      <c r="AB42" s="51" t="str">
        <f aca="false">IF(Tasks[[#This Row],[Task Name]]="","",IF(IF(Tasks[[#This Row],[_IsSummary]],COUNTIF(INDEX(Tasks[_LeafCritical],Tasks[[#This Row],[_Row]]+1):INDEX(Tasks[_LeafCritical],Tasks[[#This Row],[_Row]]+Tasks[[#This Row],[_Descendants]]),TRUE())&gt;0,Tasks[[#This Row],[_LeafCritical]]),"Yes",""))</f>
        <v/>
      </c>
      <c r="AC4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2" s="51" t="str">
        <f aca="false">IF(Tasks[[#This Row],[Task Name]]="","",IF(Tasks[[#This Row],[_Level]]&lt;=OutlineShowLevel,"Yes","No"))</f>
        <v/>
      </c>
      <c r="AE42" s="7"/>
      <c r="AF42" s="52"/>
      <c r="AG42" s="53"/>
      <c r="AH42" s="7"/>
      <c r="AI4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2" s="31" t="str">
        <f aca="false">IF(Tasks[[#This Row],[Task Name]]="","",IF(N(Tasks[[#This Row],[Baseline Start]])&gt;0,Tasks[[#This Row],[Baseline Start]],Tasks[[#This Row],[_CalcStart]]))</f>
        <v/>
      </c>
      <c r="AK42" s="31" t="str">
        <f aca="false">IF(Tasks[[#This Row],[Task Name]]="","",IF(N(Tasks[[#This Row],[Baseline Finish]])&gt;0,Tasks[[#This Row],[Baseline Finish]],Tasks[[#This Row],[_CalcFinish]]))</f>
        <v/>
      </c>
      <c r="AL4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2" s="31" t="str">
        <f aca="false">IF(Tasks[[#This Row],[Task Name]]="","",IF(Tasks[[#This Row],[_IsSummary]],MIN(INDEX(Tasks[_LeafLateStart],Tasks[[#This Row],[_Row]]+1):INDEX(Tasks[_LeafLateStart],Tasks[[#This Row],[_Row]]+Tasks[[#This Row],[_Descendants]])),Tasks[[#This Row],[_LeafLateStart]]))</f>
        <v/>
      </c>
      <c r="AN42" s="31" t="str">
        <f aca="false">IF(Tasks[[#This Row],[Task Name]]="","",IF(Tasks[[#This Row],[_IsSummary]],MAX(INDEX(Tasks[_LeafLateFinish],Tasks[[#This Row],[_Row]]+1):INDEX(Tasks[_LeafLateFinish],Tasks[[#This Row],[_Row]]+Tasks[[#This Row],[_Descendants]])),Tasks[[#This Row],[_LeafLateFinish]]))</f>
        <v/>
      </c>
      <c r="AO42" s="51" t="str">
        <f aca="false">IF(Tasks[[#This Row],[Task Name]]="","",IF(Tasks[[#This Row],[_IsSummary]],MIN(INDEX(Tasks[_LeafTotalSlack],Tasks[[#This Row],[_Row]]+1):INDEX(Tasks[_LeafTotalSlack],Tasks[[#This Row],[_Row]]+Tasks[[#This Row],[_Descendants]])),Tasks[[#This Row],[_LeafTotalSlack]]))</f>
        <v/>
      </c>
      <c r="AP4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2" s="110" t="str">
        <f aca="false">IF(Tasks[[#This Row],[Task Name]]="","",IF(Tasks[[#This Row],[_IsSummary]],SUM(INDEX(Tasks[_LeafTotalWork],Tasks[[#This Row],[_Row]]+1):INDEX(Tasks[_LeafTotalWork],Tasks[[#This Row],[_Row]]+Tasks[[#This Row],[_Descendants]])),Tasks[[#This Row],[_LeafTotalWork]]))</f>
        <v/>
      </c>
      <c r="AV4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2" s="111" t="str">
        <f aca="false">IF(Tasks[[#This Row],[Task Name]]="","",IF(Tasks[[#This Row],[_IsSummary]],SUM(INDEX(Tasks[_LeafTotalCost],Tasks[[#This Row],[_Row]]+1):INDEX(Tasks[_LeafTotalCost],Tasks[[#This Row],[_Row]]+Tasks[[#This Row],[_Descendants]])),Tasks[[#This Row],[_LeafTotalCost]]))</f>
        <v/>
      </c>
      <c r="AY42" s="112"/>
      <c r="AZ4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2" s="52"/>
      <c r="BB42" s="98"/>
      <c r="BC42" s="51" t="str">
        <f aca="false">IF(OR(Tasks[[#This Row],[Task Name]]="",Tasks[[#This Row],[Baseline Duration]]=""),"",Tasks[[#This Row],[BL Source Duration]]-N(Tasks[[#This Row],[Baseline Duration]]))</f>
        <v/>
      </c>
      <c r="BD42" s="110" t="str">
        <f aca="false">IF(OR(Tasks[[#This Row],[Task Name]]="",Tasks[[#This Row],[Baseline Work]]=""),"",Tasks[[#This Row],[Work]]-N(Tasks[[#This Row],[Baseline Work]]))</f>
        <v/>
      </c>
      <c r="BE42" s="111" t="str">
        <f aca="false">IF(OR(Tasks[[#This Row],[Task Name]]="",Tasks[[#This Row],[Baseline Cost]]=""),"",Tasks[[#This Row],[Cost]]-N(Tasks[[#This Row],[Baseline Cost]]))</f>
        <v/>
      </c>
      <c r="BF42" s="31" t="str">
        <f aca="false">IF(Tasks[[#This Row],[Task Name]]="","",Tasks[[#This Row],[Forecast Start]])</f>
        <v/>
      </c>
      <c r="BG42" s="31" t="str">
        <f aca="false">IF(Tasks[[#This Row],[Task Name]]="","",Tasks[[#This Row],[Forecast Finish]])</f>
        <v/>
      </c>
      <c r="BH42" s="51" t="str">
        <f aca="false">IF(Tasks[[#This Row],[Task Name]]="","",IF(Tasks[[#This Row],[_IsSummary]],NETWORKDAYS.INTL(Tasks[[#This Row],[Forecast Start]],Tasks[[#This Row],[Forecast Finish]],WorkWeek,Holidays),N(Tasks[[#This Row],[Duration]])))</f>
        <v/>
      </c>
      <c r="BI42" s="110" t="str">
        <f aca="false">IF(Tasks[[#This Row],[Task Name]]="","",Tasks[[#This Row],[Work]])</f>
        <v/>
      </c>
      <c r="BJ42" s="111" t="str">
        <f aca="false">IF(Tasks[[#This Row],[Task Name]]="","",Tasks[[#This Row],[Cost]])</f>
        <v/>
      </c>
      <c r="BK42" s="7"/>
      <c r="BL42" s="7"/>
      <c r="BM42" s="52"/>
      <c r="BN42" s="113"/>
      <c r="BO42" s="112"/>
      <c r="BP42" s="111" t="str">
        <f aca="false">IF(Tasks[[#This Row],[Task Name]]="","",IF(Tasks[[#This Row],[_IsSummary]],SUM(INDEX(Tasks[_LeafEV],Tasks[[#This Row],[_Row]]+1):INDEX(Tasks[_LeafEV],Tasks[[#This Row],[_Row]]+Tasks[[#This Row],[_Descendants]])),Tasks[[#This Row],[_LeafEV]]))</f>
        <v/>
      </c>
      <c r="BQ42" s="111" t="str">
        <f aca="false">IF(Tasks[[#This Row],[Task Name]]="","",IF(Tasks[[#This Row],[_IsSummary]],SUM(INDEX(Tasks[_LeafBudget],Tasks[[#This Row],[_Row]]+1):INDEX(Tasks[_LeafBudget],Tasks[[#This Row],[_Row]]+Tasks[[#This Row],[_Descendants]])),Tasks[[#This Row],[_LeafBudget]]))</f>
        <v/>
      </c>
      <c r="BR42" s="111" t="str">
        <f aca="false">IF(Tasks[[#This Row],[Task Name]]="","",IF(Tasks[[#This Row],[_IsSummary]],SUM(INDEX(Tasks[_LeafPV],Tasks[[#This Row],[_Row]]+1):INDEX(Tasks[_LeafPV],Tasks[[#This Row],[_Row]]+Tasks[[#This Row],[_Descendants]])),Tasks[[#This Row],[_LeafPV]]))</f>
        <v/>
      </c>
      <c r="BS42" s="111" t="str">
        <f aca="false">IF(Tasks[[#This Row],[Task Name]]="","",IF(Tasks[[#This Row],[_IsSummary]],SUM(INDEX(Tasks[_LeafAC],Tasks[[#This Row],[_Row]]+1):INDEX(Tasks[_LeafAC],Tasks[[#This Row],[_Row]]+Tasks[[#This Row],[_Descendants]])),Tasks[[#This Row],[_LeafAC]]))</f>
        <v/>
      </c>
      <c r="BT42" s="38" t="str">
        <f aca="false">IF(Tasks[[#This Row],[Task Name]]="","",MAX(1,N(Tasks[[#This Row],[Level]])))</f>
        <v/>
      </c>
      <c r="BU42" s="38" t="n">
        <f aca="false">ROW()-ROW(Tasks[[#Headers],[ID]])</f>
        <v>37</v>
      </c>
      <c r="BV42" s="38" t="n">
        <f aca="false">IF(OR(Tasks[[#This Row],[Task Name]]="",Tasks[[#This Row],[_Level]]&lt;=1),0,IFERROR(LOOKUP(2,1/(Tasks[[#Headers],[_Level]]:Tasks[[#This Row],[_Level]]=Tasks[[#This Row],[_Level]]-1),ROW(Tasks[[#Headers],[_Level]]:Tasks[[#This Row],[_Level]])),0))</f>
        <v>0</v>
      </c>
      <c r="BW42" s="38" t="n">
        <f aca="false">IFERROR(N(INDEX(Tasks[_Level],Tasks[[#This Row],[_Row]]+1)),0)</f>
        <v>0</v>
      </c>
      <c r="BX42" s="114" t="b">
        <f aca="false">AND(Tasks[[#This Row],[Task Name]]&lt;&gt;"",Tasks[[#This Row],[_NextLevel]]&gt;Tasks[[#This Row],[_Level]])</f>
        <v>0</v>
      </c>
      <c r="BY42" s="38" t="n">
        <f aca="false">IF(Tasks[[#This Row],[_IsSummary]],COUNTIF(Tasks[WBS],Tasks[[#This Row],[WBS]]&amp;".*"),0)</f>
        <v>0</v>
      </c>
      <c r="BZ42" s="38" t="n">
        <f aca="false">IF(AND(Tasks[[#This Row],[Task Name]]&lt;&gt;"",NOT(Tasks[[#This Row],[_IsSummary]])),1,0)</f>
        <v>0</v>
      </c>
      <c r="CA42" s="38" t="n">
        <f aca="false">IF(N(Tasks[[#This Row],[Pred1 UID]])=0,0,IFERROR(MATCH(Tasks[[#This Row],[Pred1 UID]],Tasks[UID],0),-1))</f>
        <v>0</v>
      </c>
      <c r="CB42" s="38" t="n">
        <f aca="false">IF(N(Tasks[[#This Row],[Pred2 UID]])=0,0,IFERROR(MATCH(Tasks[[#This Row],[Pred2 UID]],Tasks[UID],0),-1))</f>
        <v>0</v>
      </c>
      <c r="CC42" s="38" t="n">
        <f aca="false">IF(N(Tasks[[#This Row],[Pred3 UID]])=0,0,IFERROR(MATCH(Tasks[[#This Row],[Pred3 UID]],Tasks[UID],0),-1))</f>
        <v>0</v>
      </c>
      <c r="CD42" s="38" t="n">
        <f aca="false">IF(N(Tasks[[#This Row],[Pred4 UID]])=0,0,IFERROR(MATCH(Tasks[[#This Row],[Pred4 UID]],Tasks[UID],0),-1))</f>
        <v>0</v>
      </c>
      <c r="CE4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2" s="115" t="n">
        <f aca="false">IF(OR(Tasks[[#This Row],[_ConstraintCode]]=2,Tasks[[#This Row],[_ConstraintCode]]=3,Tasks[[#This Row],[_ConstraintCode]]=4,Tasks[[#This Row],[_ConstraintCode]]=6),Tasks[[#This Row],[_ConstraintStart]],0)</f>
        <v>0</v>
      </c>
      <c r="CH42" s="115" t="n">
        <f aca="false">IF(OR(Tasks[[#This Row],[_ConstraintCode]]=2,Tasks[[#This Row],[_ConstraintCode]]=3,Tasks[[#This Row],[_ConstraintCode]]=5,Tasks[[#This Row],[_ConstraintCode]]=7),Tasks[[#This Row],[_ConstraintStart]],2958465)</f>
        <v>2958465</v>
      </c>
      <c r="CI4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2" s="115" t="str">
        <f aca="false">IF(NOT(Tasks[[#This Row],[_IsLeaf]]=1),"",IF(N(Tasks[[#This Row],[Duration]])&lt;=0,Tasks[[#This Row],[_LeafCalcStart]],WORKDAY.INTL(Tasks[[#This Row],[_LeafCalcStart]],Tasks[[#This Row],[Duration]]-1,WorkWeek,Holidays)))</f>
        <v/>
      </c>
      <c r="CK4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2" s="38" t="n">
        <f aca="false">IF(NOT(Tasks[[#This Row],[_IsLeaf]]=1),0,IF(N(Tasks[[#This Row],[Actual Finish]])&gt;0,1,MIN(1,N(Tasks[[#This Row],[% Complete]]))))</f>
        <v>0</v>
      </c>
      <c r="CN42" s="38" t="n">
        <f aca="false">IF(OR(NOT(Tasks[[#This Row],[_IsLeaf]]=1),Tasks[[#This Row],[Resource]]=""),0,N(Tasks[[#This Row],[Duration]])*HoursPerDay*IF(Tasks[[#This Row],[Units]]="",DefaultUnits,Tasks[[#This Row],[Units]]))</f>
        <v>0</v>
      </c>
      <c r="CO42" s="38" t="n">
        <f aca="false">IF(Tasks[[#This Row],[_LeafWork]]=0,0,Tasks[[#This Row],[_LeafWork]]*IFERROR(INDEX(res_Rate,MATCH(Tasks[[#This Row],[Resource]],res_Name,0)),0))</f>
        <v>0</v>
      </c>
      <c r="CP42" s="38" t="n">
        <f aca="false">Tasks[[#This Row],[_LeafWork]]+IF(Tasks[[#This Row],[_IsLeaf]]=1,SUMIFS(asg_Work,asg_TaskUID,Tasks[[#This Row],[UID]],asg_Valid,1),0)</f>
        <v>0</v>
      </c>
      <c r="CQ42" s="38" t="n">
        <f aca="false">Tasks[[#This Row],[_LeafCost]]+IF(Tasks[[#This Row],[_IsLeaf]]=1,SUMIFS(asg_Cost,asg_TaskUID,Tasks[[#This Row],[UID]],asg_Valid,1),0)</f>
        <v>0</v>
      </c>
      <c r="CR42" s="38" t="n">
        <f aca="false">IF(Tasks[[#This Row],[_LeafTotalCost]]=0,Tasks[[#This Row],[_LeafAC]],Tasks[[#This Row],[_LeafAC]]*Tasks[[#This Row],[_LeafCost]]/Tasks[[#This Row],[_LeafTotalCost]])</f>
        <v>0</v>
      </c>
      <c r="CS4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2" s="38" t="n">
        <f aca="false">IF(NOT(Tasks[[#This Row],[_IsLeaf]]=1),0,MAX(_xlfn.MAXIFS(Tasks[_Row],Tasks[Pred1 UID],Tasks[[#This Row],[UID]]),_xlfn.MAXIFS(Tasks[_Row],Tasks[Pred2 UID],Tasks[[#This Row],[UID]]),_xlfn.MAXIFS(Tasks[_Row],Tasks[Pred3 UID],Tasks[[#This Row],[UID]]),_xlfn.MAXIFS(Tasks[_Row],Tasks[Pred4 UID],Tasks[[#This Row],[UID]])))</f>
        <v>0</v>
      </c>
      <c r="DB4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2" s="115" t="str">
        <f aca="false">IF(NOT(Tasks[[#This Row],[_IsLeaf]]=1),"",IF(N(Tasks[[#This Row],[Duration]])&lt;=0,Tasks[[#This Row],[_LeafLateFinish]],WORKDAY.INTL(Tasks[[#This Row],[_LeafLateFinish]],-(Tasks[[#This Row],[Duration]]-1),WorkWeek,Holidays)))</f>
        <v/>
      </c>
      <c r="DE4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2" s="114" t="b">
        <f aca="false">AND(Tasks[[#This Row],[_IsLeaf]]=1,Tasks[[#This Row],[_LeafProgress]]&lt;1,N(Tasks[[#This Row],[_LeafTotalSlack]])&lt;=CriticalSlackDays)</f>
        <v>0</v>
      </c>
      <c r="DG42" s="38" t="n">
        <f aca="false">IF(AND(Tasks[[#This Row],[_IsLeaf]]=1,Tasks[[#This Row],[_ConstraintCode]]=1,Tasks[[#This Row],[Mode]]&lt;&gt;"Manual",N(Tasks[[#This Row],[Actual Start]])=0),MAX(0,N(Tasks[[#This Row],[Free Slack]])),0)</f>
        <v>0</v>
      </c>
      <c r="DH42" s="115" t="str">
        <f aca="false">IF(NOT(Tasks[[#This Row],[_IsLeaf]]=1),"",IF(Tasks[[#This Row],[_AlapShift]]=0,Tasks[[#This Row],[_LeafCalcStart]],WORKDAY.INTL(Tasks[[#This Row],[_LeafCalcStart]],Tasks[[#This Row],[_AlapShift]],WorkWeek,Holidays)))</f>
        <v/>
      </c>
      <c r="DI42" s="115" t="str">
        <f aca="false">IF(NOT(Tasks[[#This Row],[_IsLeaf]]=1),"",IF(Tasks[[#This Row],[_AlapShift]]=0,Tasks[[#This Row],[_LeafCalcFinish]],WORKDAY.INTL(Tasks[[#This Row],[_LeafCalcFinish]],Tasks[[#This Row],[_AlapShift]],WorkWeek,Holidays)))</f>
        <v/>
      </c>
      <c r="DJ42" s="115" t="str">
        <f aca="false">IF(NOT(Tasks[[#This Row],[_IsLeaf]]=1),"",IF(Tasks[[#This Row],[_AlapShift]]=0,Tasks[[#This Row],[_LeafFcstStart]],WORKDAY.INTL(Tasks[[#This Row],[_LeafFcstStart]],Tasks[[#This Row],[_AlapShift]],WorkWeek,Holidays)))</f>
        <v/>
      </c>
      <c r="DK42" s="115" t="str">
        <f aca="false">IF(NOT(Tasks[[#This Row],[_IsLeaf]]=1),"",IF(Tasks[[#This Row],[_AlapShift]]=0,Tasks[[#This Row],[_LeafFcstFinish]],WORKDAY.INTL(Tasks[[#This Row],[_LeafFcstFinish]],Tasks[[#This Row],[_AlapShift]],WorkWeek,Holidays)))</f>
        <v/>
      </c>
      <c r="DL42" s="115" t="str">
        <f aca="false">IF(Tasks[[#This Row],[Task Name]]="","",IF(Tasks[[#This Row],[_IsSummary]],MIN(INDEX(Tasks[_ShownCalcStart],Tasks[[#This Row],[_Row]]+1):INDEX(Tasks[_ShownCalcStart],Tasks[[#This Row],[_Row]]+Tasks[[#This Row],[_Descendants]])),Tasks[[#This Row],[_ShownCalcStart]]))</f>
        <v/>
      </c>
      <c r="DM42" s="115" t="str">
        <f aca="false">IF(Tasks[[#This Row],[Task Name]]="","",IF(Tasks[[#This Row],[_IsSummary]],MAX(INDEX(Tasks[_ShownCalcFinish],Tasks[[#This Row],[_Row]]+1):INDEX(Tasks[_ShownCalcFinish],Tasks[[#This Row],[_Row]]+Tasks[[#This Row],[_Descendants]])),Tasks[[#This Row],[_ShownCalcFinish]]))</f>
        <v/>
      </c>
      <c r="DN4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2" s="38" t="n">
        <f aca="false">IF(AND(Tasks[[#This Row],[_IsLeaf]]=1,Tasks[[#This Row],[_LeafTotalWork]]&gt;0),NETWORKDAYS.INTL(ProjectStart,Tasks[[#This Row],[_ShownFcstStart]],WorkWeek,Holidays),0)</f>
        <v>0</v>
      </c>
      <c r="EA42" s="38" t="n">
        <f aca="false">IF(AND(Tasks[[#This Row],[_IsLeaf]]=1,Tasks[[#This Row],[_LeafTotalWork]]&gt;0),MAX(Tasks[[#This Row],[_StartWorkday]],NETWORKDAYS.INTL(ProjectStart,Tasks[[#This Row],[_ShownFcstFinish]],WorkWeek,Holidays)),0)</f>
        <v>0</v>
      </c>
      <c r="EB42" s="38" t="n">
        <f aca="false">IF(AND(Tasks[[#This Row],[_IsLeaf]]=1,Tasks[[#This Row],[_LeafTotalWork]]&gt;0),Tasks[[#This Row],[_LeafWork]]/(Tasks[[#This Row],[_FinishWorkday]]-Tasks[[#This Row],[_StartWorkday]]+1),0)</f>
        <v>0</v>
      </c>
      <c r="EC42" s="38" t="n">
        <f aca="false">Tasks[[#This Row],[_WorkPerWorkday]]*(Tasks[[#This Row],[_StartWorkday]]-1)</f>
        <v>-0</v>
      </c>
      <c r="ED42" s="38" t="n">
        <f aca="false">IF(Tasks[[#This Row],[_IsLeaf]]=1,MAX(N(Tasks[[#This Row],[Duration]]),0.1),0)</f>
        <v>0</v>
      </c>
      <c r="EE42" s="38" t="n">
        <f aca="false">Tasks[[#This Row],[_WeightDur]]*Tasks[[#This Row],[_LeafProgress]]</f>
        <v>0</v>
      </c>
      <c r="EF4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2" s="38" t="str">
        <f aca="false">IF(AND(Tasks[[#This Row],[_IsLeaf]]=1,N(Tasks[[#This Row],[Duration]])=0,Tasks[[#This Row],[_LeafProgress]]&lt;1),Tasks[[#This Row],[_ShownFcstFinish]]+Tasks[[#This Row],[_Row]]/100000,"")</f>
        <v/>
      </c>
      <c r="EH4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2" s="38" t="n">
        <f aca="false">IF(NOT(Tasks[[#This Row],[_IsLeaf]]=1),0,IF(Tasks[[#This Row],[Baseline Cost]]="",Tasks[[#This Row],[_LeafTotalCost]],N(Tasks[[#This Row],[Baseline Cost]])))</f>
        <v>0</v>
      </c>
      <c r="EJ42" s="38" t="n">
        <f aca="false">Tasks[[#This Row],[_LeafBudget]]*Tasks[[#This Row],[_PlannedPct]]</f>
        <v>0</v>
      </c>
      <c r="EK42" s="38" t="n">
        <f aca="false">Tasks[[#This Row],[_LeafBudget]]*Tasks[[#This Row],[_LeafProgress]]</f>
        <v>0</v>
      </c>
      <c r="EL42" s="38" t="n">
        <f aca="false">IF(NOT(Tasks[[#This Row],[_IsLeaf]]=1),0,IF(Tasks[[#This Row],[Actual Cost]]="",Tasks[[#This Row],[_LeafTotalCost]]*Tasks[[#This Row],[_LeafProgress]],N(Tasks[[#This Row],[Actual Cost]])))</f>
        <v>0</v>
      </c>
      <c r="EM42" s="38" t="str">
        <f aca="false">IF(Tasks[[#This Row],[Task Name]]="","",LEFT(Tasks[[#This Row],[WBS]],FIND(".",Tasks[[#This Row],[WBS]]&amp;".")-1))</f>
        <v/>
      </c>
      <c r="EN42" s="38" t="str">
        <f aca="false">IF(AND(Tasks[[#This Row],[Task Name]]&lt;&gt;"",Tasks[[#This Row],[_Level]]=1),Tasks[[#This Row],[_Row]],"")</f>
        <v/>
      </c>
      <c r="EO42" s="38" t="str">
        <f aca="false">IF(AND(Tasks[[#This Row],[_IsLeaf]]=1,N(Tasks[[#This Row],[Duration]])=0),Tasks[[#This Row],[Planned Finish]]+Tasks[[#This Row],[_Row]]/100000,"")</f>
        <v/>
      </c>
      <c r="EP42" s="38" t="str">
        <f aca="false">IF(AND(Tasks[[#This Row],[_IsLeaf]]=1,Tasks[[#This Row],[_LeafProgress]]&lt;1,OR(N(Tasks[[#This Row],[Finish Var]])&gt;0,Tasks[[#This Row],[Status]]="Late Start")),MAX(0,Tasks[[#This Row],[Finish Var]])+1-Tasks[[#This Row],[_Row]]/1000000,"")</f>
        <v/>
      </c>
      <c r="EQ42" s="38" t="str">
        <f aca="false">IF(AND(Tasks[[#This Row],[_IsLeaf]]=1,N(Tasks[[#This Row],[Actual Start]])=0,Tasks[[#This Row],[_ShownFcstStart]]&gt;=StatusDate,Tasks[[#This Row],[_ShownFcstStart]]&lt;=LookaheadEnd),Tasks[[#This Row],[_ShownFcstStart]]+Tasks[[#This Row],[_Row]]/100000,"")</f>
        <v/>
      </c>
      <c r="ER42" s="38" t="str">
        <f aca="false">IF(AND(Tasks[[#This Row],[_IsLeaf]]=1,Tasks[[#This Row],[_LeafProgress]]&lt;1,Tasks[[#This Row],[_ShownFcstFinish]]&gt;=StatusDate,Tasks[[#This Row],[_ShownFcstFinish]]&lt;=LookaheadEnd),Tasks[[#This Row],[_ShownFcstFinish]]+Tasks[[#This Row],[_Row]]/100000,"")</f>
        <v/>
      </c>
      <c r="ES42" s="38" t="str">
        <f aca="false">IF(Tasks[[#This Row],[_LeafCritical]],Tasks[[#This Row],[_ShownFcstStart]]+Tasks[[#This Row],[_Row]]/100000,"")</f>
        <v/>
      </c>
      <c r="ET42" s="38" t="n">
        <f aca="false">Tasks[[#This Row],[_LeafWork]]*Tasks[[#This Row],[_LeafProgress]]</f>
        <v>0</v>
      </c>
      <c r="EU42" s="115" t="str">
        <f aca="false">IF(AND(Tasks[[#This Row],[_IsLeaf]]=1,Tasks[[#This Row],[_LeafProgress]]&gt;=1),IF(N(Tasks[[#This Row],[Actual Finish]])&gt;0,Tasks[[#This Row],[Actual Finish]],Tasks[[#This Row],[_ShownFcstFinish]]),"")</f>
        <v/>
      </c>
      <c r="EV42" s="38" t="n">
        <f aca="false">IF(Tasks[[#This Row],[_IsLeaf]]=1,N(Tasks[[#This Row],[Story Points]]),0)</f>
        <v>0</v>
      </c>
      <c r="EW42" s="38" t="str">
        <f aca="false">IF(AND(Tasks[[#This Row],[_IsLeaf]]=1,CurrentSprint&lt;&gt;"",Tasks[[#This Row],[Sprint]]=CurrentSprint),Tasks[[#This Row],[_Row]],"")</f>
        <v/>
      </c>
    </row>
    <row r="43" customFormat="false" ht="15" hidden="false" customHeight="false" outlineLevel="0" collapsed="false">
      <c r="A43" s="51" t="str">
        <f aca="false">IF(Tasks[[#This Row],[Task Name]]="","",COUNTA(Tasks[[#Headers],[Task Name]]:Tasks[[#This Row],[Task Name]])-1)</f>
        <v/>
      </c>
      <c r="B43" s="52" t="n">
        <v>38</v>
      </c>
      <c r="C4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52"/>
      <c r="E43" s="53"/>
      <c r="F43" s="52"/>
      <c r="G43" s="52"/>
      <c r="H43" s="52"/>
      <c r="I43" s="52"/>
      <c r="J43" s="52"/>
      <c r="K43" s="52"/>
      <c r="L43" s="52"/>
      <c r="M43" s="52"/>
      <c r="N43" s="52"/>
      <c r="O43" s="52"/>
      <c r="P43" s="52"/>
      <c r="Q43" s="52"/>
      <c r="R43" s="52"/>
      <c r="S43" s="53"/>
      <c r="T43" s="102"/>
      <c r="U43" s="102"/>
      <c r="V43" s="7"/>
      <c r="W43" s="7"/>
      <c r="X43" s="53"/>
      <c r="Y43" s="31" t="str">
        <f aca="false">IF(Tasks[[#This Row],[Task Name]]="","",IF(Tasks[[#This Row],[_IsSummary]],MIN(INDEX(Tasks[_ShownFcstStart],Tasks[[#This Row],[_Row]]+1):INDEX(Tasks[_ShownFcstStart],Tasks[[#This Row],[_Row]]+Tasks[[#This Row],[_Descendants]])),Tasks[[#This Row],[_ShownFcstStart]]))</f>
        <v/>
      </c>
      <c r="Z43" s="31" t="str">
        <f aca="false">IF(Tasks[[#This Row],[Task Name]]="","",IF(Tasks[[#This Row],[_IsSummary]],MAX(INDEX(Tasks[_ShownFcstFinish],Tasks[[#This Row],[_Row]]+1):INDEX(Tasks[_ShownFcstFinish],Tasks[[#This Row],[_Row]]+Tasks[[#This Row],[_Descendants]])),Tasks[[#This Row],[_ShownFcstFinish]]))</f>
        <v/>
      </c>
      <c r="AA43" s="51" t="str">
        <f aca="false">IF(Tasks[[#This Row],[Task Name]]="","",IF(Tasks[[#This Row],[Progress]]&gt;=1,"Complete",IF(OR(N(Tasks[[#This Row],[Actual Start]])&gt;0,Tasks[[#This Row],[Progress]]&gt;0),IF(Tasks[[#This Row],[Finish Var]]&gt;0,"Behind","In Progress"),IF(Tasks[[#This Row],[Planned Start]]&lt;StatusDate,"Late Start","Not Started"))))</f>
        <v/>
      </c>
      <c r="AB43" s="51" t="str">
        <f aca="false">IF(Tasks[[#This Row],[Task Name]]="","",IF(IF(Tasks[[#This Row],[_IsSummary]],COUNTIF(INDEX(Tasks[_LeafCritical],Tasks[[#This Row],[_Row]]+1):INDEX(Tasks[_LeafCritical],Tasks[[#This Row],[_Row]]+Tasks[[#This Row],[_Descendants]]),TRUE())&gt;0,Tasks[[#This Row],[_LeafCritical]]),"Yes",""))</f>
        <v/>
      </c>
      <c r="AC4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3" s="51" t="str">
        <f aca="false">IF(Tasks[[#This Row],[Task Name]]="","",IF(Tasks[[#This Row],[_Level]]&lt;=OutlineShowLevel,"Yes","No"))</f>
        <v/>
      </c>
      <c r="AE43" s="7"/>
      <c r="AF43" s="52"/>
      <c r="AG43" s="53"/>
      <c r="AH43" s="7"/>
      <c r="AI4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3" s="31" t="str">
        <f aca="false">IF(Tasks[[#This Row],[Task Name]]="","",IF(N(Tasks[[#This Row],[Baseline Start]])&gt;0,Tasks[[#This Row],[Baseline Start]],Tasks[[#This Row],[_CalcStart]]))</f>
        <v/>
      </c>
      <c r="AK43" s="31" t="str">
        <f aca="false">IF(Tasks[[#This Row],[Task Name]]="","",IF(N(Tasks[[#This Row],[Baseline Finish]])&gt;0,Tasks[[#This Row],[Baseline Finish]],Tasks[[#This Row],[_CalcFinish]]))</f>
        <v/>
      </c>
      <c r="AL4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3" s="31" t="str">
        <f aca="false">IF(Tasks[[#This Row],[Task Name]]="","",IF(Tasks[[#This Row],[_IsSummary]],MIN(INDEX(Tasks[_LeafLateStart],Tasks[[#This Row],[_Row]]+1):INDEX(Tasks[_LeafLateStart],Tasks[[#This Row],[_Row]]+Tasks[[#This Row],[_Descendants]])),Tasks[[#This Row],[_LeafLateStart]]))</f>
        <v/>
      </c>
      <c r="AN43" s="31" t="str">
        <f aca="false">IF(Tasks[[#This Row],[Task Name]]="","",IF(Tasks[[#This Row],[_IsSummary]],MAX(INDEX(Tasks[_LeafLateFinish],Tasks[[#This Row],[_Row]]+1):INDEX(Tasks[_LeafLateFinish],Tasks[[#This Row],[_Row]]+Tasks[[#This Row],[_Descendants]])),Tasks[[#This Row],[_LeafLateFinish]]))</f>
        <v/>
      </c>
      <c r="AO43" s="51" t="str">
        <f aca="false">IF(Tasks[[#This Row],[Task Name]]="","",IF(Tasks[[#This Row],[_IsSummary]],MIN(INDEX(Tasks[_LeafTotalSlack],Tasks[[#This Row],[_Row]]+1):INDEX(Tasks[_LeafTotalSlack],Tasks[[#This Row],[_Row]]+Tasks[[#This Row],[_Descendants]])),Tasks[[#This Row],[_LeafTotalSlack]]))</f>
        <v/>
      </c>
      <c r="AP4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3" s="110" t="str">
        <f aca="false">IF(Tasks[[#This Row],[Task Name]]="","",IF(Tasks[[#This Row],[_IsSummary]],SUM(INDEX(Tasks[_LeafTotalWork],Tasks[[#This Row],[_Row]]+1):INDEX(Tasks[_LeafTotalWork],Tasks[[#This Row],[_Row]]+Tasks[[#This Row],[_Descendants]])),Tasks[[#This Row],[_LeafTotalWork]]))</f>
        <v/>
      </c>
      <c r="AV4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3" s="111" t="str">
        <f aca="false">IF(Tasks[[#This Row],[Task Name]]="","",IF(Tasks[[#This Row],[_IsSummary]],SUM(INDEX(Tasks[_LeafTotalCost],Tasks[[#This Row],[_Row]]+1):INDEX(Tasks[_LeafTotalCost],Tasks[[#This Row],[_Row]]+Tasks[[#This Row],[_Descendants]])),Tasks[[#This Row],[_LeafTotalCost]]))</f>
        <v/>
      </c>
      <c r="AY43" s="112"/>
      <c r="AZ4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3" s="52"/>
      <c r="BB43" s="98"/>
      <c r="BC43" s="51" t="str">
        <f aca="false">IF(OR(Tasks[[#This Row],[Task Name]]="",Tasks[[#This Row],[Baseline Duration]]=""),"",Tasks[[#This Row],[BL Source Duration]]-N(Tasks[[#This Row],[Baseline Duration]]))</f>
        <v/>
      </c>
      <c r="BD43" s="110" t="str">
        <f aca="false">IF(OR(Tasks[[#This Row],[Task Name]]="",Tasks[[#This Row],[Baseline Work]]=""),"",Tasks[[#This Row],[Work]]-N(Tasks[[#This Row],[Baseline Work]]))</f>
        <v/>
      </c>
      <c r="BE43" s="111" t="str">
        <f aca="false">IF(OR(Tasks[[#This Row],[Task Name]]="",Tasks[[#This Row],[Baseline Cost]]=""),"",Tasks[[#This Row],[Cost]]-N(Tasks[[#This Row],[Baseline Cost]]))</f>
        <v/>
      </c>
      <c r="BF43" s="31" t="str">
        <f aca="false">IF(Tasks[[#This Row],[Task Name]]="","",Tasks[[#This Row],[Forecast Start]])</f>
        <v/>
      </c>
      <c r="BG43" s="31" t="str">
        <f aca="false">IF(Tasks[[#This Row],[Task Name]]="","",Tasks[[#This Row],[Forecast Finish]])</f>
        <v/>
      </c>
      <c r="BH43" s="51" t="str">
        <f aca="false">IF(Tasks[[#This Row],[Task Name]]="","",IF(Tasks[[#This Row],[_IsSummary]],NETWORKDAYS.INTL(Tasks[[#This Row],[Forecast Start]],Tasks[[#This Row],[Forecast Finish]],WorkWeek,Holidays),N(Tasks[[#This Row],[Duration]])))</f>
        <v/>
      </c>
      <c r="BI43" s="110" t="str">
        <f aca="false">IF(Tasks[[#This Row],[Task Name]]="","",Tasks[[#This Row],[Work]])</f>
        <v/>
      </c>
      <c r="BJ43" s="111" t="str">
        <f aca="false">IF(Tasks[[#This Row],[Task Name]]="","",Tasks[[#This Row],[Cost]])</f>
        <v/>
      </c>
      <c r="BK43" s="7"/>
      <c r="BL43" s="7"/>
      <c r="BM43" s="52"/>
      <c r="BN43" s="113"/>
      <c r="BO43" s="112"/>
      <c r="BP43" s="111" t="str">
        <f aca="false">IF(Tasks[[#This Row],[Task Name]]="","",IF(Tasks[[#This Row],[_IsSummary]],SUM(INDEX(Tasks[_LeafEV],Tasks[[#This Row],[_Row]]+1):INDEX(Tasks[_LeafEV],Tasks[[#This Row],[_Row]]+Tasks[[#This Row],[_Descendants]])),Tasks[[#This Row],[_LeafEV]]))</f>
        <v/>
      </c>
      <c r="BQ43" s="111" t="str">
        <f aca="false">IF(Tasks[[#This Row],[Task Name]]="","",IF(Tasks[[#This Row],[_IsSummary]],SUM(INDEX(Tasks[_LeafBudget],Tasks[[#This Row],[_Row]]+1):INDEX(Tasks[_LeafBudget],Tasks[[#This Row],[_Row]]+Tasks[[#This Row],[_Descendants]])),Tasks[[#This Row],[_LeafBudget]]))</f>
        <v/>
      </c>
      <c r="BR43" s="111" t="str">
        <f aca="false">IF(Tasks[[#This Row],[Task Name]]="","",IF(Tasks[[#This Row],[_IsSummary]],SUM(INDEX(Tasks[_LeafPV],Tasks[[#This Row],[_Row]]+1):INDEX(Tasks[_LeafPV],Tasks[[#This Row],[_Row]]+Tasks[[#This Row],[_Descendants]])),Tasks[[#This Row],[_LeafPV]]))</f>
        <v/>
      </c>
      <c r="BS43" s="111" t="str">
        <f aca="false">IF(Tasks[[#This Row],[Task Name]]="","",IF(Tasks[[#This Row],[_IsSummary]],SUM(INDEX(Tasks[_LeafAC],Tasks[[#This Row],[_Row]]+1):INDEX(Tasks[_LeafAC],Tasks[[#This Row],[_Row]]+Tasks[[#This Row],[_Descendants]])),Tasks[[#This Row],[_LeafAC]]))</f>
        <v/>
      </c>
      <c r="BT43" s="38" t="str">
        <f aca="false">IF(Tasks[[#This Row],[Task Name]]="","",MAX(1,N(Tasks[[#This Row],[Level]])))</f>
        <v/>
      </c>
      <c r="BU43" s="38" t="n">
        <f aca="false">ROW()-ROW(Tasks[[#Headers],[ID]])</f>
        <v>38</v>
      </c>
      <c r="BV43" s="38" t="n">
        <f aca="false">IF(OR(Tasks[[#This Row],[Task Name]]="",Tasks[[#This Row],[_Level]]&lt;=1),0,IFERROR(LOOKUP(2,1/(Tasks[[#Headers],[_Level]]:Tasks[[#This Row],[_Level]]=Tasks[[#This Row],[_Level]]-1),ROW(Tasks[[#Headers],[_Level]]:Tasks[[#This Row],[_Level]])),0))</f>
        <v>0</v>
      </c>
      <c r="BW43" s="38" t="n">
        <f aca="false">IFERROR(N(INDEX(Tasks[_Level],Tasks[[#This Row],[_Row]]+1)),0)</f>
        <v>0</v>
      </c>
      <c r="BX43" s="114" t="b">
        <f aca="false">AND(Tasks[[#This Row],[Task Name]]&lt;&gt;"",Tasks[[#This Row],[_NextLevel]]&gt;Tasks[[#This Row],[_Level]])</f>
        <v>0</v>
      </c>
      <c r="BY43" s="38" t="n">
        <f aca="false">IF(Tasks[[#This Row],[_IsSummary]],COUNTIF(Tasks[WBS],Tasks[[#This Row],[WBS]]&amp;".*"),0)</f>
        <v>0</v>
      </c>
      <c r="BZ43" s="38" t="n">
        <f aca="false">IF(AND(Tasks[[#This Row],[Task Name]]&lt;&gt;"",NOT(Tasks[[#This Row],[_IsSummary]])),1,0)</f>
        <v>0</v>
      </c>
      <c r="CA43" s="38" t="n">
        <f aca="false">IF(N(Tasks[[#This Row],[Pred1 UID]])=0,0,IFERROR(MATCH(Tasks[[#This Row],[Pred1 UID]],Tasks[UID],0),-1))</f>
        <v>0</v>
      </c>
      <c r="CB43" s="38" t="n">
        <f aca="false">IF(N(Tasks[[#This Row],[Pred2 UID]])=0,0,IFERROR(MATCH(Tasks[[#This Row],[Pred2 UID]],Tasks[UID],0),-1))</f>
        <v>0</v>
      </c>
      <c r="CC43" s="38" t="n">
        <f aca="false">IF(N(Tasks[[#This Row],[Pred3 UID]])=0,0,IFERROR(MATCH(Tasks[[#This Row],[Pred3 UID]],Tasks[UID],0),-1))</f>
        <v>0</v>
      </c>
      <c r="CD43" s="38" t="n">
        <f aca="false">IF(N(Tasks[[#This Row],[Pred4 UID]])=0,0,IFERROR(MATCH(Tasks[[#This Row],[Pred4 UID]],Tasks[UID],0),-1))</f>
        <v>0</v>
      </c>
      <c r="CE4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3" s="115" t="n">
        <f aca="false">IF(OR(Tasks[[#This Row],[_ConstraintCode]]=2,Tasks[[#This Row],[_ConstraintCode]]=3,Tasks[[#This Row],[_ConstraintCode]]=4,Tasks[[#This Row],[_ConstraintCode]]=6),Tasks[[#This Row],[_ConstraintStart]],0)</f>
        <v>0</v>
      </c>
      <c r="CH43" s="115" t="n">
        <f aca="false">IF(OR(Tasks[[#This Row],[_ConstraintCode]]=2,Tasks[[#This Row],[_ConstraintCode]]=3,Tasks[[#This Row],[_ConstraintCode]]=5,Tasks[[#This Row],[_ConstraintCode]]=7),Tasks[[#This Row],[_ConstraintStart]],2958465)</f>
        <v>2958465</v>
      </c>
      <c r="CI4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3" s="115" t="str">
        <f aca="false">IF(NOT(Tasks[[#This Row],[_IsLeaf]]=1),"",IF(N(Tasks[[#This Row],[Duration]])&lt;=0,Tasks[[#This Row],[_LeafCalcStart]],WORKDAY.INTL(Tasks[[#This Row],[_LeafCalcStart]],Tasks[[#This Row],[Duration]]-1,WorkWeek,Holidays)))</f>
        <v/>
      </c>
      <c r="CK4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3" s="38" t="n">
        <f aca="false">IF(NOT(Tasks[[#This Row],[_IsLeaf]]=1),0,IF(N(Tasks[[#This Row],[Actual Finish]])&gt;0,1,MIN(1,N(Tasks[[#This Row],[% Complete]]))))</f>
        <v>0</v>
      </c>
      <c r="CN43" s="38" t="n">
        <f aca="false">IF(OR(NOT(Tasks[[#This Row],[_IsLeaf]]=1),Tasks[[#This Row],[Resource]]=""),0,N(Tasks[[#This Row],[Duration]])*HoursPerDay*IF(Tasks[[#This Row],[Units]]="",DefaultUnits,Tasks[[#This Row],[Units]]))</f>
        <v>0</v>
      </c>
      <c r="CO43" s="38" t="n">
        <f aca="false">IF(Tasks[[#This Row],[_LeafWork]]=0,0,Tasks[[#This Row],[_LeafWork]]*IFERROR(INDEX(res_Rate,MATCH(Tasks[[#This Row],[Resource]],res_Name,0)),0))</f>
        <v>0</v>
      </c>
      <c r="CP43" s="38" t="n">
        <f aca="false">Tasks[[#This Row],[_LeafWork]]+IF(Tasks[[#This Row],[_IsLeaf]]=1,SUMIFS(asg_Work,asg_TaskUID,Tasks[[#This Row],[UID]],asg_Valid,1),0)</f>
        <v>0</v>
      </c>
      <c r="CQ43" s="38" t="n">
        <f aca="false">Tasks[[#This Row],[_LeafCost]]+IF(Tasks[[#This Row],[_IsLeaf]]=1,SUMIFS(asg_Cost,asg_TaskUID,Tasks[[#This Row],[UID]],asg_Valid,1),0)</f>
        <v>0</v>
      </c>
      <c r="CR43" s="38" t="n">
        <f aca="false">IF(Tasks[[#This Row],[_LeafTotalCost]]=0,Tasks[[#This Row],[_LeafAC]],Tasks[[#This Row],[_LeafAC]]*Tasks[[#This Row],[_LeafCost]]/Tasks[[#This Row],[_LeafTotalCost]])</f>
        <v>0</v>
      </c>
      <c r="CS4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3" s="38" t="n">
        <f aca="false">IF(NOT(Tasks[[#This Row],[_IsLeaf]]=1),0,MAX(_xlfn.MAXIFS(Tasks[_Row],Tasks[Pred1 UID],Tasks[[#This Row],[UID]]),_xlfn.MAXIFS(Tasks[_Row],Tasks[Pred2 UID],Tasks[[#This Row],[UID]]),_xlfn.MAXIFS(Tasks[_Row],Tasks[Pred3 UID],Tasks[[#This Row],[UID]]),_xlfn.MAXIFS(Tasks[_Row],Tasks[Pred4 UID],Tasks[[#This Row],[UID]])))</f>
        <v>0</v>
      </c>
      <c r="DB4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3" s="115" t="str">
        <f aca="false">IF(NOT(Tasks[[#This Row],[_IsLeaf]]=1),"",IF(N(Tasks[[#This Row],[Duration]])&lt;=0,Tasks[[#This Row],[_LeafLateFinish]],WORKDAY.INTL(Tasks[[#This Row],[_LeafLateFinish]],-(Tasks[[#This Row],[Duration]]-1),WorkWeek,Holidays)))</f>
        <v/>
      </c>
      <c r="DE4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3" s="114" t="b">
        <f aca="false">AND(Tasks[[#This Row],[_IsLeaf]]=1,Tasks[[#This Row],[_LeafProgress]]&lt;1,N(Tasks[[#This Row],[_LeafTotalSlack]])&lt;=CriticalSlackDays)</f>
        <v>0</v>
      </c>
      <c r="DG43" s="38" t="n">
        <f aca="false">IF(AND(Tasks[[#This Row],[_IsLeaf]]=1,Tasks[[#This Row],[_ConstraintCode]]=1,Tasks[[#This Row],[Mode]]&lt;&gt;"Manual",N(Tasks[[#This Row],[Actual Start]])=0),MAX(0,N(Tasks[[#This Row],[Free Slack]])),0)</f>
        <v>0</v>
      </c>
      <c r="DH43" s="115" t="str">
        <f aca="false">IF(NOT(Tasks[[#This Row],[_IsLeaf]]=1),"",IF(Tasks[[#This Row],[_AlapShift]]=0,Tasks[[#This Row],[_LeafCalcStart]],WORKDAY.INTL(Tasks[[#This Row],[_LeafCalcStart]],Tasks[[#This Row],[_AlapShift]],WorkWeek,Holidays)))</f>
        <v/>
      </c>
      <c r="DI43" s="115" t="str">
        <f aca="false">IF(NOT(Tasks[[#This Row],[_IsLeaf]]=1),"",IF(Tasks[[#This Row],[_AlapShift]]=0,Tasks[[#This Row],[_LeafCalcFinish]],WORKDAY.INTL(Tasks[[#This Row],[_LeafCalcFinish]],Tasks[[#This Row],[_AlapShift]],WorkWeek,Holidays)))</f>
        <v/>
      </c>
      <c r="DJ43" s="115" t="str">
        <f aca="false">IF(NOT(Tasks[[#This Row],[_IsLeaf]]=1),"",IF(Tasks[[#This Row],[_AlapShift]]=0,Tasks[[#This Row],[_LeafFcstStart]],WORKDAY.INTL(Tasks[[#This Row],[_LeafFcstStart]],Tasks[[#This Row],[_AlapShift]],WorkWeek,Holidays)))</f>
        <v/>
      </c>
      <c r="DK43" s="115" t="str">
        <f aca="false">IF(NOT(Tasks[[#This Row],[_IsLeaf]]=1),"",IF(Tasks[[#This Row],[_AlapShift]]=0,Tasks[[#This Row],[_LeafFcstFinish]],WORKDAY.INTL(Tasks[[#This Row],[_LeafFcstFinish]],Tasks[[#This Row],[_AlapShift]],WorkWeek,Holidays)))</f>
        <v/>
      </c>
      <c r="DL43" s="115" t="str">
        <f aca="false">IF(Tasks[[#This Row],[Task Name]]="","",IF(Tasks[[#This Row],[_IsSummary]],MIN(INDEX(Tasks[_ShownCalcStart],Tasks[[#This Row],[_Row]]+1):INDEX(Tasks[_ShownCalcStart],Tasks[[#This Row],[_Row]]+Tasks[[#This Row],[_Descendants]])),Tasks[[#This Row],[_ShownCalcStart]]))</f>
        <v/>
      </c>
      <c r="DM43" s="115" t="str">
        <f aca="false">IF(Tasks[[#This Row],[Task Name]]="","",IF(Tasks[[#This Row],[_IsSummary]],MAX(INDEX(Tasks[_ShownCalcFinish],Tasks[[#This Row],[_Row]]+1):INDEX(Tasks[_ShownCalcFinish],Tasks[[#This Row],[_Row]]+Tasks[[#This Row],[_Descendants]])),Tasks[[#This Row],[_ShownCalcFinish]]))</f>
        <v/>
      </c>
      <c r="DN4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3" s="38" t="n">
        <f aca="false">IF(AND(Tasks[[#This Row],[_IsLeaf]]=1,Tasks[[#This Row],[_LeafTotalWork]]&gt;0),NETWORKDAYS.INTL(ProjectStart,Tasks[[#This Row],[_ShownFcstStart]],WorkWeek,Holidays),0)</f>
        <v>0</v>
      </c>
      <c r="EA43" s="38" t="n">
        <f aca="false">IF(AND(Tasks[[#This Row],[_IsLeaf]]=1,Tasks[[#This Row],[_LeafTotalWork]]&gt;0),MAX(Tasks[[#This Row],[_StartWorkday]],NETWORKDAYS.INTL(ProjectStart,Tasks[[#This Row],[_ShownFcstFinish]],WorkWeek,Holidays)),0)</f>
        <v>0</v>
      </c>
      <c r="EB43" s="38" t="n">
        <f aca="false">IF(AND(Tasks[[#This Row],[_IsLeaf]]=1,Tasks[[#This Row],[_LeafTotalWork]]&gt;0),Tasks[[#This Row],[_LeafWork]]/(Tasks[[#This Row],[_FinishWorkday]]-Tasks[[#This Row],[_StartWorkday]]+1),0)</f>
        <v>0</v>
      </c>
      <c r="EC43" s="38" t="n">
        <f aca="false">Tasks[[#This Row],[_WorkPerWorkday]]*(Tasks[[#This Row],[_StartWorkday]]-1)</f>
        <v>-0</v>
      </c>
      <c r="ED43" s="38" t="n">
        <f aca="false">IF(Tasks[[#This Row],[_IsLeaf]]=1,MAX(N(Tasks[[#This Row],[Duration]]),0.1),0)</f>
        <v>0</v>
      </c>
      <c r="EE43" s="38" t="n">
        <f aca="false">Tasks[[#This Row],[_WeightDur]]*Tasks[[#This Row],[_LeafProgress]]</f>
        <v>0</v>
      </c>
      <c r="EF4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3" s="38" t="str">
        <f aca="false">IF(AND(Tasks[[#This Row],[_IsLeaf]]=1,N(Tasks[[#This Row],[Duration]])=0,Tasks[[#This Row],[_LeafProgress]]&lt;1),Tasks[[#This Row],[_ShownFcstFinish]]+Tasks[[#This Row],[_Row]]/100000,"")</f>
        <v/>
      </c>
      <c r="EH4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3" s="38" t="n">
        <f aca="false">IF(NOT(Tasks[[#This Row],[_IsLeaf]]=1),0,IF(Tasks[[#This Row],[Baseline Cost]]="",Tasks[[#This Row],[_LeafTotalCost]],N(Tasks[[#This Row],[Baseline Cost]])))</f>
        <v>0</v>
      </c>
      <c r="EJ43" s="38" t="n">
        <f aca="false">Tasks[[#This Row],[_LeafBudget]]*Tasks[[#This Row],[_PlannedPct]]</f>
        <v>0</v>
      </c>
      <c r="EK43" s="38" t="n">
        <f aca="false">Tasks[[#This Row],[_LeafBudget]]*Tasks[[#This Row],[_LeafProgress]]</f>
        <v>0</v>
      </c>
      <c r="EL43" s="38" t="n">
        <f aca="false">IF(NOT(Tasks[[#This Row],[_IsLeaf]]=1),0,IF(Tasks[[#This Row],[Actual Cost]]="",Tasks[[#This Row],[_LeafTotalCost]]*Tasks[[#This Row],[_LeafProgress]],N(Tasks[[#This Row],[Actual Cost]])))</f>
        <v>0</v>
      </c>
      <c r="EM43" s="38" t="str">
        <f aca="false">IF(Tasks[[#This Row],[Task Name]]="","",LEFT(Tasks[[#This Row],[WBS]],FIND(".",Tasks[[#This Row],[WBS]]&amp;".")-1))</f>
        <v/>
      </c>
      <c r="EN43" s="38" t="str">
        <f aca="false">IF(AND(Tasks[[#This Row],[Task Name]]&lt;&gt;"",Tasks[[#This Row],[_Level]]=1),Tasks[[#This Row],[_Row]],"")</f>
        <v/>
      </c>
      <c r="EO43" s="38" t="str">
        <f aca="false">IF(AND(Tasks[[#This Row],[_IsLeaf]]=1,N(Tasks[[#This Row],[Duration]])=0),Tasks[[#This Row],[Planned Finish]]+Tasks[[#This Row],[_Row]]/100000,"")</f>
        <v/>
      </c>
      <c r="EP43" s="38" t="str">
        <f aca="false">IF(AND(Tasks[[#This Row],[_IsLeaf]]=1,Tasks[[#This Row],[_LeafProgress]]&lt;1,OR(N(Tasks[[#This Row],[Finish Var]])&gt;0,Tasks[[#This Row],[Status]]="Late Start")),MAX(0,Tasks[[#This Row],[Finish Var]])+1-Tasks[[#This Row],[_Row]]/1000000,"")</f>
        <v/>
      </c>
      <c r="EQ43" s="38" t="str">
        <f aca="false">IF(AND(Tasks[[#This Row],[_IsLeaf]]=1,N(Tasks[[#This Row],[Actual Start]])=0,Tasks[[#This Row],[_ShownFcstStart]]&gt;=StatusDate,Tasks[[#This Row],[_ShownFcstStart]]&lt;=LookaheadEnd),Tasks[[#This Row],[_ShownFcstStart]]+Tasks[[#This Row],[_Row]]/100000,"")</f>
        <v/>
      </c>
      <c r="ER43" s="38" t="str">
        <f aca="false">IF(AND(Tasks[[#This Row],[_IsLeaf]]=1,Tasks[[#This Row],[_LeafProgress]]&lt;1,Tasks[[#This Row],[_ShownFcstFinish]]&gt;=StatusDate,Tasks[[#This Row],[_ShownFcstFinish]]&lt;=LookaheadEnd),Tasks[[#This Row],[_ShownFcstFinish]]+Tasks[[#This Row],[_Row]]/100000,"")</f>
        <v/>
      </c>
      <c r="ES43" s="38" t="str">
        <f aca="false">IF(Tasks[[#This Row],[_LeafCritical]],Tasks[[#This Row],[_ShownFcstStart]]+Tasks[[#This Row],[_Row]]/100000,"")</f>
        <v/>
      </c>
      <c r="ET43" s="38" t="n">
        <f aca="false">Tasks[[#This Row],[_LeafWork]]*Tasks[[#This Row],[_LeafProgress]]</f>
        <v>0</v>
      </c>
      <c r="EU43" s="115" t="str">
        <f aca="false">IF(AND(Tasks[[#This Row],[_IsLeaf]]=1,Tasks[[#This Row],[_LeafProgress]]&gt;=1),IF(N(Tasks[[#This Row],[Actual Finish]])&gt;0,Tasks[[#This Row],[Actual Finish]],Tasks[[#This Row],[_ShownFcstFinish]]),"")</f>
        <v/>
      </c>
      <c r="EV43" s="38" t="n">
        <f aca="false">IF(Tasks[[#This Row],[_IsLeaf]]=1,N(Tasks[[#This Row],[Story Points]]),0)</f>
        <v>0</v>
      </c>
      <c r="EW43" s="38" t="str">
        <f aca="false">IF(AND(Tasks[[#This Row],[_IsLeaf]]=1,CurrentSprint&lt;&gt;"",Tasks[[#This Row],[Sprint]]=CurrentSprint),Tasks[[#This Row],[_Row]],"")</f>
        <v/>
      </c>
    </row>
    <row r="44" customFormat="false" ht="15" hidden="false" customHeight="false" outlineLevel="0" collapsed="false">
      <c r="A44" s="51" t="str">
        <f aca="false">IF(Tasks[[#This Row],[Task Name]]="","",COUNTA(Tasks[[#Headers],[Task Name]]:Tasks[[#This Row],[Task Name]])-1)</f>
        <v/>
      </c>
      <c r="B44" s="52" t="n">
        <v>39</v>
      </c>
      <c r="C4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52"/>
      <c r="E44" s="53"/>
      <c r="F44" s="52"/>
      <c r="G44" s="52"/>
      <c r="H44" s="52"/>
      <c r="I44" s="52"/>
      <c r="J44" s="52"/>
      <c r="K44" s="52"/>
      <c r="L44" s="52"/>
      <c r="M44" s="52"/>
      <c r="N44" s="52"/>
      <c r="O44" s="52"/>
      <c r="P44" s="52"/>
      <c r="Q44" s="52"/>
      <c r="R44" s="52"/>
      <c r="S44" s="53"/>
      <c r="T44" s="102"/>
      <c r="U44" s="102"/>
      <c r="V44" s="7"/>
      <c r="W44" s="7"/>
      <c r="X44" s="53"/>
      <c r="Y44" s="31" t="str">
        <f aca="false">IF(Tasks[[#This Row],[Task Name]]="","",IF(Tasks[[#This Row],[_IsSummary]],MIN(INDEX(Tasks[_ShownFcstStart],Tasks[[#This Row],[_Row]]+1):INDEX(Tasks[_ShownFcstStart],Tasks[[#This Row],[_Row]]+Tasks[[#This Row],[_Descendants]])),Tasks[[#This Row],[_ShownFcstStart]]))</f>
        <v/>
      </c>
      <c r="Z44" s="31" t="str">
        <f aca="false">IF(Tasks[[#This Row],[Task Name]]="","",IF(Tasks[[#This Row],[_IsSummary]],MAX(INDEX(Tasks[_ShownFcstFinish],Tasks[[#This Row],[_Row]]+1):INDEX(Tasks[_ShownFcstFinish],Tasks[[#This Row],[_Row]]+Tasks[[#This Row],[_Descendants]])),Tasks[[#This Row],[_ShownFcstFinish]]))</f>
        <v/>
      </c>
      <c r="AA44" s="51" t="str">
        <f aca="false">IF(Tasks[[#This Row],[Task Name]]="","",IF(Tasks[[#This Row],[Progress]]&gt;=1,"Complete",IF(OR(N(Tasks[[#This Row],[Actual Start]])&gt;0,Tasks[[#This Row],[Progress]]&gt;0),IF(Tasks[[#This Row],[Finish Var]]&gt;0,"Behind","In Progress"),IF(Tasks[[#This Row],[Planned Start]]&lt;StatusDate,"Late Start","Not Started"))))</f>
        <v/>
      </c>
      <c r="AB44" s="51" t="str">
        <f aca="false">IF(Tasks[[#This Row],[Task Name]]="","",IF(IF(Tasks[[#This Row],[_IsSummary]],COUNTIF(INDEX(Tasks[_LeafCritical],Tasks[[#This Row],[_Row]]+1):INDEX(Tasks[_LeafCritical],Tasks[[#This Row],[_Row]]+Tasks[[#This Row],[_Descendants]]),TRUE())&gt;0,Tasks[[#This Row],[_LeafCritical]]),"Yes",""))</f>
        <v/>
      </c>
      <c r="AC4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4" s="51" t="str">
        <f aca="false">IF(Tasks[[#This Row],[Task Name]]="","",IF(Tasks[[#This Row],[_Level]]&lt;=OutlineShowLevel,"Yes","No"))</f>
        <v/>
      </c>
      <c r="AE44" s="7"/>
      <c r="AF44" s="52"/>
      <c r="AG44" s="53"/>
      <c r="AH44" s="7"/>
      <c r="AI4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4" s="31" t="str">
        <f aca="false">IF(Tasks[[#This Row],[Task Name]]="","",IF(N(Tasks[[#This Row],[Baseline Start]])&gt;0,Tasks[[#This Row],[Baseline Start]],Tasks[[#This Row],[_CalcStart]]))</f>
        <v/>
      </c>
      <c r="AK44" s="31" t="str">
        <f aca="false">IF(Tasks[[#This Row],[Task Name]]="","",IF(N(Tasks[[#This Row],[Baseline Finish]])&gt;0,Tasks[[#This Row],[Baseline Finish]],Tasks[[#This Row],[_CalcFinish]]))</f>
        <v/>
      </c>
      <c r="AL4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4" s="31" t="str">
        <f aca="false">IF(Tasks[[#This Row],[Task Name]]="","",IF(Tasks[[#This Row],[_IsSummary]],MIN(INDEX(Tasks[_LeafLateStart],Tasks[[#This Row],[_Row]]+1):INDEX(Tasks[_LeafLateStart],Tasks[[#This Row],[_Row]]+Tasks[[#This Row],[_Descendants]])),Tasks[[#This Row],[_LeafLateStart]]))</f>
        <v/>
      </c>
      <c r="AN44" s="31" t="str">
        <f aca="false">IF(Tasks[[#This Row],[Task Name]]="","",IF(Tasks[[#This Row],[_IsSummary]],MAX(INDEX(Tasks[_LeafLateFinish],Tasks[[#This Row],[_Row]]+1):INDEX(Tasks[_LeafLateFinish],Tasks[[#This Row],[_Row]]+Tasks[[#This Row],[_Descendants]])),Tasks[[#This Row],[_LeafLateFinish]]))</f>
        <v/>
      </c>
      <c r="AO44" s="51" t="str">
        <f aca="false">IF(Tasks[[#This Row],[Task Name]]="","",IF(Tasks[[#This Row],[_IsSummary]],MIN(INDEX(Tasks[_LeafTotalSlack],Tasks[[#This Row],[_Row]]+1):INDEX(Tasks[_LeafTotalSlack],Tasks[[#This Row],[_Row]]+Tasks[[#This Row],[_Descendants]])),Tasks[[#This Row],[_LeafTotalSlack]]))</f>
        <v/>
      </c>
      <c r="AP4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4" s="110" t="str">
        <f aca="false">IF(Tasks[[#This Row],[Task Name]]="","",IF(Tasks[[#This Row],[_IsSummary]],SUM(INDEX(Tasks[_LeafTotalWork],Tasks[[#This Row],[_Row]]+1):INDEX(Tasks[_LeafTotalWork],Tasks[[#This Row],[_Row]]+Tasks[[#This Row],[_Descendants]])),Tasks[[#This Row],[_LeafTotalWork]]))</f>
        <v/>
      </c>
      <c r="AV4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4" s="111" t="str">
        <f aca="false">IF(Tasks[[#This Row],[Task Name]]="","",IF(Tasks[[#This Row],[_IsSummary]],SUM(INDEX(Tasks[_LeafTotalCost],Tasks[[#This Row],[_Row]]+1):INDEX(Tasks[_LeafTotalCost],Tasks[[#This Row],[_Row]]+Tasks[[#This Row],[_Descendants]])),Tasks[[#This Row],[_LeafTotalCost]]))</f>
        <v/>
      </c>
      <c r="AY44" s="112"/>
      <c r="AZ4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4" s="52"/>
      <c r="BB44" s="98"/>
      <c r="BC44" s="51" t="str">
        <f aca="false">IF(OR(Tasks[[#This Row],[Task Name]]="",Tasks[[#This Row],[Baseline Duration]]=""),"",Tasks[[#This Row],[BL Source Duration]]-N(Tasks[[#This Row],[Baseline Duration]]))</f>
        <v/>
      </c>
      <c r="BD44" s="110" t="str">
        <f aca="false">IF(OR(Tasks[[#This Row],[Task Name]]="",Tasks[[#This Row],[Baseline Work]]=""),"",Tasks[[#This Row],[Work]]-N(Tasks[[#This Row],[Baseline Work]]))</f>
        <v/>
      </c>
      <c r="BE44" s="111" t="str">
        <f aca="false">IF(OR(Tasks[[#This Row],[Task Name]]="",Tasks[[#This Row],[Baseline Cost]]=""),"",Tasks[[#This Row],[Cost]]-N(Tasks[[#This Row],[Baseline Cost]]))</f>
        <v/>
      </c>
      <c r="BF44" s="31" t="str">
        <f aca="false">IF(Tasks[[#This Row],[Task Name]]="","",Tasks[[#This Row],[Forecast Start]])</f>
        <v/>
      </c>
      <c r="BG44" s="31" t="str">
        <f aca="false">IF(Tasks[[#This Row],[Task Name]]="","",Tasks[[#This Row],[Forecast Finish]])</f>
        <v/>
      </c>
      <c r="BH44" s="51" t="str">
        <f aca="false">IF(Tasks[[#This Row],[Task Name]]="","",IF(Tasks[[#This Row],[_IsSummary]],NETWORKDAYS.INTL(Tasks[[#This Row],[Forecast Start]],Tasks[[#This Row],[Forecast Finish]],WorkWeek,Holidays),N(Tasks[[#This Row],[Duration]])))</f>
        <v/>
      </c>
      <c r="BI44" s="110" t="str">
        <f aca="false">IF(Tasks[[#This Row],[Task Name]]="","",Tasks[[#This Row],[Work]])</f>
        <v/>
      </c>
      <c r="BJ44" s="111" t="str">
        <f aca="false">IF(Tasks[[#This Row],[Task Name]]="","",Tasks[[#This Row],[Cost]])</f>
        <v/>
      </c>
      <c r="BK44" s="7"/>
      <c r="BL44" s="7"/>
      <c r="BM44" s="52"/>
      <c r="BN44" s="113"/>
      <c r="BO44" s="112"/>
      <c r="BP44" s="111" t="str">
        <f aca="false">IF(Tasks[[#This Row],[Task Name]]="","",IF(Tasks[[#This Row],[_IsSummary]],SUM(INDEX(Tasks[_LeafEV],Tasks[[#This Row],[_Row]]+1):INDEX(Tasks[_LeafEV],Tasks[[#This Row],[_Row]]+Tasks[[#This Row],[_Descendants]])),Tasks[[#This Row],[_LeafEV]]))</f>
        <v/>
      </c>
      <c r="BQ44" s="111" t="str">
        <f aca="false">IF(Tasks[[#This Row],[Task Name]]="","",IF(Tasks[[#This Row],[_IsSummary]],SUM(INDEX(Tasks[_LeafBudget],Tasks[[#This Row],[_Row]]+1):INDEX(Tasks[_LeafBudget],Tasks[[#This Row],[_Row]]+Tasks[[#This Row],[_Descendants]])),Tasks[[#This Row],[_LeafBudget]]))</f>
        <v/>
      </c>
      <c r="BR44" s="111" t="str">
        <f aca="false">IF(Tasks[[#This Row],[Task Name]]="","",IF(Tasks[[#This Row],[_IsSummary]],SUM(INDEX(Tasks[_LeafPV],Tasks[[#This Row],[_Row]]+1):INDEX(Tasks[_LeafPV],Tasks[[#This Row],[_Row]]+Tasks[[#This Row],[_Descendants]])),Tasks[[#This Row],[_LeafPV]]))</f>
        <v/>
      </c>
      <c r="BS44" s="111" t="str">
        <f aca="false">IF(Tasks[[#This Row],[Task Name]]="","",IF(Tasks[[#This Row],[_IsSummary]],SUM(INDEX(Tasks[_LeafAC],Tasks[[#This Row],[_Row]]+1):INDEX(Tasks[_LeafAC],Tasks[[#This Row],[_Row]]+Tasks[[#This Row],[_Descendants]])),Tasks[[#This Row],[_LeafAC]]))</f>
        <v/>
      </c>
      <c r="BT44" s="38" t="str">
        <f aca="false">IF(Tasks[[#This Row],[Task Name]]="","",MAX(1,N(Tasks[[#This Row],[Level]])))</f>
        <v/>
      </c>
      <c r="BU44" s="38" t="n">
        <f aca="false">ROW()-ROW(Tasks[[#Headers],[ID]])</f>
        <v>39</v>
      </c>
      <c r="BV44" s="38" t="n">
        <f aca="false">IF(OR(Tasks[[#This Row],[Task Name]]="",Tasks[[#This Row],[_Level]]&lt;=1),0,IFERROR(LOOKUP(2,1/(Tasks[[#Headers],[_Level]]:Tasks[[#This Row],[_Level]]=Tasks[[#This Row],[_Level]]-1),ROW(Tasks[[#Headers],[_Level]]:Tasks[[#This Row],[_Level]])),0))</f>
        <v>0</v>
      </c>
      <c r="BW44" s="38" t="n">
        <f aca="false">IFERROR(N(INDEX(Tasks[_Level],Tasks[[#This Row],[_Row]]+1)),0)</f>
        <v>0</v>
      </c>
      <c r="BX44" s="114" t="b">
        <f aca="false">AND(Tasks[[#This Row],[Task Name]]&lt;&gt;"",Tasks[[#This Row],[_NextLevel]]&gt;Tasks[[#This Row],[_Level]])</f>
        <v>0</v>
      </c>
      <c r="BY44" s="38" t="n">
        <f aca="false">IF(Tasks[[#This Row],[_IsSummary]],COUNTIF(Tasks[WBS],Tasks[[#This Row],[WBS]]&amp;".*"),0)</f>
        <v>0</v>
      </c>
      <c r="BZ44" s="38" t="n">
        <f aca="false">IF(AND(Tasks[[#This Row],[Task Name]]&lt;&gt;"",NOT(Tasks[[#This Row],[_IsSummary]])),1,0)</f>
        <v>0</v>
      </c>
      <c r="CA44" s="38" t="n">
        <f aca="false">IF(N(Tasks[[#This Row],[Pred1 UID]])=0,0,IFERROR(MATCH(Tasks[[#This Row],[Pred1 UID]],Tasks[UID],0),-1))</f>
        <v>0</v>
      </c>
      <c r="CB44" s="38" t="n">
        <f aca="false">IF(N(Tasks[[#This Row],[Pred2 UID]])=0,0,IFERROR(MATCH(Tasks[[#This Row],[Pred2 UID]],Tasks[UID],0),-1))</f>
        <v>0</v>
      </c>
      <c r="CC44" s="38" t="n">
        <f aca="false">IF(N(Tasks[[#This Row],[Pred3 UID]])=0,0,IFERROR(MATCH(Tasks[[#This Row],[Pred3 UID]],Tasks[UID],0),-1))</f>
        <v>0</v>
      </c>
      <c r="CD44" s="38" t="n">
        <f aca="false">IF(N(Tasks[[#This Row],[Pred4 UID]])=0,0,IFERROR(MATCH(Tasks[[#This Row],[Pred4 UID]],Tasks[UID],0),-1))</f>
        <v>0</v>
      </c>
      <c r="CE4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4" s="115" t="n">
        <f aca="false">IF(OR(Tasks[[#This Row],[_ConstraintCode]]=2,Tasks[[#This Row],[_ConstraintCode]]=3,Tasks[[#This Row],[_ConstraintCode]]=4,Tasks[[#This Row],[_ConstraintCode]]=6),Tasks[[#This Row],[_ConstraintStart]],0)</f>
        <v>0</v>
      </c>
      <c r="CH44" s="115" t="n">
        <f aca="false">IF(OR(Tasks[[#This Row],[_ConstraintCode]]=2,Tasks[[#This Row],[_ConstraintCode]]=3,Tasks[[#This Row],[_ConstraintCode]]=5,Tasks[[#This Row],[_ConstraintCode]]=7),Tasks[[#This Row],[_ConstraintStart]],2958465)</f>
        <v>2958465</v>
      </c>
      <c r="CI4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4" s="115" t="str">
        <f aca="false">IF(NOT(Tasks[[#This Row],[_IsLeaf]]=1),"",IF(N(Tasks[[#This Row],[Duration]])&lt;=0,Tasks[[#This Row],[_LeafCalcStart]],WORKDAY.INTL(Tasks[[#This Row],[_LeafCalcStart]],Tasks[[#This Row],[Duration]]-1,WorkWeek,Holidays)))</f>
        <v/>
      </c>
      <c r="CK4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4" s="38" t="n">
        <f aca="false">IF(NOT(Tasks[[#This Row],[_IsLeaf]]=1),0,IF(N(Tasks[[#This Row],[Actual Finish]])&gt;0,1,MIN(1,N(Tasks[[#This Row],[% Complete]]))))</f>
        <v>0</v>
      </c>
      <c r="CN44" s="38" t="n">
        <f aca="false">IF(OR(NOT(Tasks[[#This Row],[_IsLeaf]]=1),Tasks[[#This Row],[Resource]]=""),0,N(Tasks[[#This Row],[Duration]])*HoursPerDay*IF(Tasks[[#This Row],[Units]]="",DefaultUnits,Tasks[[#This Row],[Units]]))</f>
        <v>0</v>
      </c>
      <c r="CO44" s="38" t="n">
        <f aca="false">IF(Tasks[[#This Row],[_LeafWork]]=0,0,Tasks[[#This Row],[_LeafWork]]*IFERROR(INDEX(res_Rate,MATCH(Tasks[[#This Row],[Resource]],res_Name,0)),0))</f>
        <v>0</v>
      </c>
      <c r="CP44" s="38" t="n">
        <f aca="false">Tasks[[#This Row],[_LeafWork]]+IF(Tasks[[#This Row],[_IsLeaf]]=1,SUMIFS(asg_Work,asg_TaskUID,Tasks[[#This Row],[UID]],asg_Valid,1),0)</f>
        <v>0</v>
      </c>
      <c r="CQ44" s="38" t="n">
        <f aca="false">Tasks[[#This Row],[_LeafCost]]+IF(Tasks[[#This Row],[_IsLeaf]]=1,SUMIFS(asg_Cost,asg_TaskUID,Tasks[[#This Row],[UID]],asg_Valid,1),0)</f>
        <v>0</v>
      </c>
      <c r="CR44" s="38" t="n">
        <f aca="false">IF(Tasks[[#This Row],[_LeafTotalCost]]=0,Tasks[[#This Row],[_LeafAC]],Tasks[[#This Row],[_LeafAC]]*Tasks[[#This Row],[_LeafCost]]/Tasks[[#This Row],[_LeafTotalCost]])</f>
        <v>0</v>
      </c>
      <c r="CS4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4" s="38" t="n">
        <f aca="false">IF(NOT(Tasks[[#This Row],[_IsLeaf]]=1),0,MAX(_xlfn.MAXIFS(Tasks[_Row],Tasks[Pred1 UID],Tasks[[#This Row],[UID]]),_xlfn.MAXIFS(Tasks[_Row],Tasks[Pred2 UID],Tasks[[#This Row],[UID]]),_xlfn.MAXIFS(Tasks[_Row],Tasks[Pred3 UID],Tasks[[#This Row],[UID]]),_xlfn.MAXIFS(Tasks[_Row],Tasks[Pred4 UID],Tasks[[#This Row],[UID]])))</f>
        <v>0</v>
      </c>
      <c r="DB4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4" s="115" t="str">
        <f aca="false">IF(NOT(Tasks[[#This Row],[_IsLeaf]]=1),"",IF(N(Tasks[[#This Row],[Duration]])&lt;=0,Tasks[[#This Row],[_LeafLateFinish]],WORKDAY.INTL(Tasks[[#This Row],[_LeafLateFinish]],-(Tasks[[#This Row],[Duration]]-1),WorkWeek,Holidays)))</f>
        <v/>
      </c>
      <c r="DE4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4" s="114" t="b">
        <f aca="false">AND(Tasks[[#This Row],[_IsLeaf]]=1,Tasks[[#This Row],[_LeafProgress]]&lt;1,N(Tasks[[#This Row],[_LeafTotalSlack]])&lt;=CriticalSlackDays)</f>
        <v>0</v>
      </c>
      <c r="DG44" s="38" t="n">
        <f aca="false">IF(AND(Tasks[[#This Row],[_IsLeaf]]=1,Tasks[[#This Row],[_ConstraintCode]]=1,Tasks[[#This Row],[Mode]]&lt;&gt;"Manual",N(Tasks[[#This Row],[Actual Start]])=0),MAX(0,N(Tasks[[#This Row],[Free Slack]])),0)</f>
        <v>0</v>
      </c>
      <c r="DH44" s="115" t="str">
        <f aca="false">IF(NOT(Tasks[[#This Row],[_IsLeaf]]=1),"",IF(Tasks[[#This Row],[_AlapShift]]=0,Tasks[[#This Row],[_LeafCalcStart]],WORKDAY.INTL(Tasks[[#This Row],[_LeafCalcStart]],Tasks[[#This Row],[_AlapShift]],WorkWeek,Holidays)))</f>
        <v/>
      </c>
      <c r="DI44" s="115" t="str">
        <f aca="false">IF(NOT(Tasks[[#This Row],[_IsLeaf]]=1),"",IF(Tasks[[#This Row],[_AlapShift]]=0,Tasks[[#This Row],[_LeafCalcFinish]],WORKDAY.INTL(Tasks[[#This Row],[_LeafCalcFinish]],Tasks[[#This Row],[_AlapShift]],WorkWeek,Holidays)))</f>
        <v/>
      </c>
      <c r="DJ44" s="115" t="str">
        <f aca="false">IF(NOT(Tasks[[#This Row],[_IsLeaf]]=1),"",IF(Tasks[[#This Row],[_AlapShift]]=0,Tasks[[#This Row],[_LeafFcstStart]],WORKDAY.INTL(Tasks[[#This Row],[_LeafFcstStart]],Tasks[[#This Row],[_AlapShift]],WorkWeek,Holidays)))</f>
        <v/>
      </c>
      <c r="DK44" s="115" t="str">
        <f aca="false">IF(NOT(Tasks[[#This Row],[_IsLeaf]]=1),"",IF(Tasks[[#This Row],[_AlapShift]]=0,Tasks[[#This Row],[_LeafFcstFinish]],WORKDAY.INTL(Tasks[[#This Row],[_LeafFcstFinish]],Tasks[[#This Row],[_AlapShift]],WorkWeek,Holidays)))</f>
        <v/>
      </c>
      <c r="DL44" s="115" t="str">
        <f aca="false">IF(Tasks[[#This Row],[Task Name]]="","",IF(Tasks[[#This Row],[_IsSummary]],MIN(INDEX(Tasks[_ShownCalcStart],Tasks[[#This Row],[_Row]]+1):INDEX(Tasks[_ShownCalcStart],Tasks[[#This Row],[_Row]]+Tasks[[#This Row],[_Descendants]])),Tasks[[#This Row],[_ShownCalcStart]]))</f>
        <v/>
      </c>
      <c r="DM44" s="115" t="str">
        <f aca="false">IF(Tasks[[#This Row],[Task Name]]="","",IF(Tasks[[#This Row],[_IsSummary]],MAX(INDEX(Tasks[_ShownCalcFinish],Tasks[[#This Row],[_Row]]+1):INDEX(Tasks[_ShownCalcFinish],Tasks[[#This Row],[_Row]]+Tasks[[#This Row],[_Descendants]])),Tasks[[#This Row],[_ShownCalcFinish]]))</f>
        <v/>
      </c>
      <c r="DN4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4" s="38" t="n">
        <f aca="false">IF(AND(Tasks[[#This Row],[_IsLeaf]]=1,Tasks[[#This Row],[_LeafTotalWork]]&gt;0),NETWORKDAYS.INTL(ProjectStart,Tasks[[#This Row],[_ShownFcstStart]],WorkWeek,Holidays),0)</f>
        <v>0</v>
      </c>
      <c r="EA44" s="38" t="n">
        <f aca="false">IF(AND(Tasks[[#This Row],[_IsLeaf]]=1,Tasks[[#This Row],[_LeafTotalWork]]&gt;0),MAX(Tasks[[#This Row],[_StartWorkday]],NETWORKDAYS.INTL(ProjectStart,Tasks[[#This Row],[_ShownFcstFinish]],WorkWeek,Holidays)),0)</f>
        <v>0</v>
      </c>
      <c r="EB44" s="38" t="n">
        <f aca="false">IF(AND(Tasks[[#This Row],[_IsLeaf]]=1,Tasks[[#This Row],[_LeafTotalWork]]&gt;0),Tasks[[#This Row],[_LeafWork]]/(Tasks[[#This Row],[_FinishWorkday]]-Tasks[[#This Row],[_StartWorkday]]+1),0)</f>
        <v>0</v>
      </c>
      <c r="EC44" s="38" t="n">
        <f aca="false">Tasks[[#This Row],[_WorkPerWorkday]]*(Tasks[[#This Row],[_StartWorkday]]-1)</f>
        <v>-0</v>
      </c>
      <c r="ED44" s="38" t="n">
        <f aca="false">IF(Tasks[[#This Row],[_IsLeaf]]=1,MAX(N(Tasks[[#This Row],[Duration]]),0.1),0)</f>
        <v>0</v>
      </c>
      <c r="EE44" s="38" t="n">
        <f aca="false">Tasks[[#This Row],[_WeightDur]]*Tasks[[#This Row],[_LeafProgress]]</f>
        <v>0</v>
      </c>
      <c r="EF4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4" s="38" t="str">
        <f aca="false">IF(AND(Tasks[[#This Row],[_IsLeaf]]=1,N(Tasks[[#This Row],[Duration]])=0,Tasks[[#This Row],[_LeafProgress]]&lt;1),Tasks[[#This Row],[_ShownFcstFinish]]+Tasks[[#This Row],[_Row]]/100000,"")</f>
        <v/>
      </c>
      <c r="EH4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4" s="38" t="n">
        <f aca="false">IF(NOT(Tasks[[#This Row],[_IsLeaf]]=1),0,IF(Tasks[[#This Row],[Baseline Cost]]="",Tasks[[#This Row],[_LeafTotalCost]],N(Tasks[[#This Row],[Baseline Cost]])))</f>
        <v>0</v>
      </c>
      <c r="EJ44" s="38" t="n">
        <f aca="false">Tasks[[#This Row],[_LeafBudget]]*Tasks[[#This Row],[_PlannedPct]]</f>
        <v>0</v>
      </c>
      <c r="EK44" s="38" t="n">
        <f aca="false">Tasks[[#This Row],[_LeafBudget]]*Tasks[[#This Row],[_LeafProgress]]</f>
        <v>0</v>
      </c>
      <c r="EL44" s="38" t="n">
        <f aca="false">IF(NOT(Tasks[[#This Row],[_IsLeaf]]=1),0,IF(Tasks[[#This Row],[Actual Cost]]="",Tasks[[#This Row],[_LeafTotalCost]]*Tasks[[#This Row],[_LeafProgress]],N(Tasks[[#This Row],[Actual Cost]])))</f>
        <v>0</v>
      </c>
      <c r="EM44" s="38" t="str">
        <f aca="false">IF(Tasks[[#This Row],[Task Name]]="","",LEFT(Tasks[[#This Row],[WBS]],FIND(".",Tasks[[#This Row],[WBS]]&amp;".")-1))</f>
        <v/>
      </c>
      <c r="EN44" s="38" t="str">
        <f aca="false">IF(AND(Tasks[[#This Row],[Task Name]]&lt;&gt;"",Tasks[[#This Row],[_Level]]=1),Tasks[[#This Row],[_Row]],"")</f>
        <v/>
      </c>
      <c r="EO44" s="38" t="str">
        <f aca="false">IF(AND(Tasks[[#This Row],[_IsLeaf]]=1,N(Tasks[[#This Row],[Duration]])=0),Tasks[[#This Row],[Planned Finish]]+Tasks[[#This Row],[_Row]]/100000,"")</f>
        <v/>
      </c>
      <c r="EP44" s="38" t="str">
        <f aca="false">IF(AND(Tasks[[#This Row],[_IsLeaf]]=1,Tasks[[#This Row],[_LeafProgress]]&lt;1,OR(N(Tasks[[#This Row],[Finish Var]])&gt;0,Tasks[[#This Row],[Status]]="Late Start")),MAX(0,Tasks[[#This Row],[Finish Var]])+1-Tasks[[#This Row],[_Row]]/1000000,"")</f>
        <v/>
      </c>
      <c r="EQ44" s="38" t="str">
        <f aca="false">IF(AND(Tasks[[#This Row],[_IsLeaf]]=1,N(Tasks[[#This Row],[Actual Start]])=0,Tasks[[#This Row],[_ShownFcstStart]]&gt;=StatusDate,Tasks[[#This Row],[_ShownFcstStart]]&lt;=LookaheadEnd),Tasks[[#This Row],[_ShownFcstStart]]+Tasks[[#This Row],[_Row]]/100000,"")</f>
        <v/>
      </c>
      <c r="ER44" s="38" t="str">
        <f aca="false">IF(AND(Tasks[[#This Row],[_IsLeaf]]=1,Tasks[[#This Row],[_LeafProgress]]&lt;1,Tasks[[#This Row],[_ShownFcstFinish]]&gt;=StatusDate,Tasks[[#This Row],[_ShownFcstFinish]]&lt;=LookaheadEnd),Tasks[[#This Row],[_ShownFcstFinish]]+Tasks[[#This Row],[_Row]]/100000,"")</f>
        <v/>
      </c>
      <c r="ES44" s="38" t="str">
        <f aca="false">IF(Tasks[[#This Row],[_LeafCritical]],Tasks[[#This Row],[_ShownFcstStart]]+Tasks[[#This Row],[_Row]]/100000,"")</f>
        <v/>
      </c>
      <c r="ET44" s="38" t="n">
        <f aca="false">Tasks[[#This Row],[_LeafWork]]*Tasks[[#This Row],[_LeafProgress]]</f>
        <v>0</v>
      </c>
      <c r="EU44" s="115" t="str">
        <f aca="false">IF(AND(Tasks[[#This Row],[_IsLeaf]]=1,Tasks[[#This Row],[_LeafProgress]]&gt;=1),IF(N(Tasks[[#This Row],[Actual Finish]])&gt;0,Tasks[[#This Row],[Actual Finish]],Tasks[[#This Row],[_ShownFcstFinish]]),"")</f>
        <v/>
      </c>
      <c r="EV44" s="38" t="n">
        <f aca="false">IF(Tasks[[#This Row],[_IsLeaf]]=1,N(Tasks[[#This Row],[Story Points]]),0)</f>
        <v>0</v>
      </c>
      <c r="EW44" s="38" t="str">
        <f aca="false">IF(AND(Tasks[[#This Row],[_IsLeaf]]=1,CurrentSprint&lt;&gt;"",Tasks[[#This Row],[Sprint]]=CurrentSprint),Tasks[[#This Row],[_Row]],"")</f>
        <v/>
      </c>
    </row>
    <row r="45" customFormat="false" ht="15" hidden="false" customHeight="false" outlineLevel="0" collapsed="false">
      <c r="A45" s="51" t="str">
        <f aca="false">IF(Tasks[[#This Row],[Task Name]]="","",COUNTA(Tasks[[#Headers],[Task Name]]:Tasks[[#This Row],[Task Name]])-1)</f>
        <v/>
      </c>
      <c r="B45" s="52" t="n">
        <v>40</v>
      </c>
      <c r="C4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52"/>
      <c r="E45" s="53"/>
      <c r="F45" s="52"/>
      <c r="G45" s="52"/>
      <c r="H45" s="52"/>
      <c r="I45" s="52"/>
      <c r="J45" s="52"/>
      <c r="K45" s="52"/>
      <c r="L45" s="52"/>
      <c r="M45" s="52"/>
      <c r="N45" s="52"/>
      <c r="O45" s="52"/>
      <c r="P45" s="52"/>
      <c r="Q45" s="52"/>
      <c r="R45" s="52"/>
      <c r="S45" s="53"/>
      <c r="T45" s="102"/>
      <c r="U45" s="102"/>
      <c r="V45" s="7"/>
      <c r="W45" s="7"/>
      <c r="X45" s="53"/>
      <c r="Y45" s="31" t="str">
        <f aca="false">IF(Tasks[[#This Row],[Task Name]]="","",IF(Tasks[[#This Row],[_IsSummary]],MIN(INDEX(Tasks[_ShownFcstStart],Tasks[[#This Row],[_Row]]+1):INDEX(Tasks[_ShownFcstStart],Tasks[[#This Row],[_Row]]+Tasks[[#This Row],[_Descendants]])),Tasks[[#This Row],[_ShownFcstStart]]))</f>
        <v/>
      </c>
      <c r="Z45" s="31" t="str">
        <f aca="false">IF(Tasks[[#This Row],[Task Name]]="","",IF(Tasks[[#This Row],[_IsSummary]],MAX(INDEX(Tasks[_ShownFcstFinish],Tasks[[#This Row],[_Row]]+1):INDEX(Tasks[_ShownFcstFinish],Tasks[[#This Row],[_Row]]+Tasks[[#This Row],[_Descendants]])),Tasks[[#This Row],[_ShownFcstFinish]]))</f>
        <v/>
      </c>
      <c r="AA45" s="51" t="str">
        <f aca="false">IF(Tasks[[#This Row],[Task Name]]="","",IF(Tasks[[#This Row],[Progress]]&gt;=1,"Complete",IF(OR(N(Tasks[[#This Row],[Actual Start]])&gt;0,Tasks[[#This Row],[Progress]]&gt;0),IF(Tasks[[#This Row],[Finish Var]]&gt;0,"Behind","In Progress"),IF(Tasks[[#This Row],[Planned Start]]&lt;StatusDate,"Late Start","Not Started"))))</f>
        <v/>
      </c>
      <c r="AB45" s="51" t="str">
        <f aca="false">IF(Tasks[[#This Row],[Task Name]]="","",IF(IF(Tasks[[#This Row],[_IsSummary]],COUNTIF(INDEX(Tasks[_LeafCritical],Tasks[[#This Row],[_Row]]+1):INDEX(Tasks[_LeafCritical],Tasks[[#This Row],[_Row]]+Tasks[[#This Row],[_Descendants]]),TRUE())&gt;0,Tasks[[#This Row],[_LeafCritical]]),"Yes",""))</f>
        <v/>
      </c>
      <c r="AC4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5" s="51" t="str">
        <f aca="false">IF(Tasks[[#This Row],[Task Name]]="","",IF(Tasks[[#This Row],[_Level]]&lt;=OutlineShowLevel,"Yes","No"))</f>
        <v/>
      </c>
      <c r="AE45" s="7"/>
      <c r="AF45" s="52"/>
      <c r="AG45" s="53"/>
      <c r="AH45" s="7"/>
      <c r="AI4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5" s="31" t="str">
        <f aca="false">IF(Tasks[[#This Row],[Task Name]]="","",IF(N(Tasks[[#This Row],[Baseline Start]])&gt;0,Tasks[[#This Row],[Baseline Start]],Tasks[[#This Row],[_CalcStart]]))</f>
        <v/>
      </c>
      <c r="AK45" s="31" t="str">
        <f aca="false">IF(Tasks[[#This Row],[Task Name]]="","",IF(N(Tasks[[#This Row],[Baseline Finish]])&gt;0,Tasks[[#This Row],[Baseline Finish]],Tasks[[#This Row],[_CalcFinish]]))</f>
        <v/>
      </c>
      <c r="AL4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5" s="31" t="str">
        <f aca="false">IF(Tasks[[#This Row],[Task Name]]="","",IF(Tasks[[#This Row],[_IsSummary]],MIN(INDEX(Tasks[_LeafLateStart],Tasks[[#This Row],[_Row]]+1):INDEX(Tasks[_LeafLateStart],Tasks[[#This Row],[_Row]]+Tasks[[#This Row],[_Descendants]])),Tasks[[#This Row],[_LeafLateStart]]))</f>
        <v/>
      </c>
      <c r="AN45" s="31" t="str">
        <f aca="false">IF(Tasks[[#This Row],[Task Name]]="","",IF(Tasks[[#This Row],[_IsSummary]],MAX(INDEX(Tasks[_LeafLateFinish],Tasks[[#This Row],[_Row]]+1):INDEX(Tasks[_LeafLateFinish],Tasks[[#This Row],[_Row]]+Tasks[[#This Row],[_Descendants]])),Tasks[[#This Row],[_LeafLateFinish]]))</f>
        <v/>
      </c>
      <c r="AO45" s="51" t="str">
        <f aca="false">IF(Tasks[[#This Row],[Task Name]]="","",IF(Tasks[[#This Row],[_IsSummary]],MIN(INDEX(Tasks[_LeafTotalSlack],Tasks[[#This Row],[_Row]]+1):INDEX(Tasks[_LeafTotalSlack],Tasks[[#This Row],[_Row]]+Tasks[[#This Row],[_Descendants]])),Tasks[[#This Row],[_LeafTotalSlack]]))</f>
        <v/>
      </c>
      <c r="AP4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5" s="110" t="str">
        <f aca="false">IF(Tasks[[#This Row],[Task Name]]="","",IF(Tasks[[#This Row],[_IsSummary]],SUM(INDEX(Tasks[_LeafTotalWork],Tasks[[#This Row],[_Row]]+1):INDEX(Tasks[_LeafTotalWork],Tasks[[#This Row],[_Row]]+Tasks[[#This Row],[_Descendants]])),Tasks[[#This Row],[_LeafTotalWork]]))</f>
        <v/>
      </c>
      <c r="AV4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5" s="111" t="str">
        <f aca="false">IF(Tasks[[#This Row],[Task Name]]="","",IF(Tasks[[#This Row],[_IsSummary]],SUM(INDEX(Tasks[_LeafTotalCost],Tasks[[#This Row],[_Row]]+1):INDEX(Tasks[_LeafTotalCost],Tasks[[#This Row],[_Row]]+Tasks[[#This Row],[_Descendants]])),Tasks[[#This Row],[_LeafTotalCost]]))</f>
        <v/>
      </c>
      <c r="AY45" s="112"/>
      <c r="AZ4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5" s="52"/>
      <c r="BB45" s="98"/>
      <c r="BC45" s="51" t="str">
        <f aca="false">IF(OR(Tasks[[#This Row],[Task Name]]="",Tasks[[#This Row],[Baseline Duration]]=""),"",Tasks[[#This Row],[BL Source Duration]]-N(Tasks[[#This Row],[Baseline Duration]]))</f>
        <v/>
      </c>
      <c r="BD45" s="110" t="str">
        <f aca="false">IF(OR(Tasks[[#This Row],[Task Name]]="",Tasks[[#This Row],[Baseline Work]]=""),"",Tasks[[#This Row],[Work]]-N(Tasks[[#This Row],[Baseline Work]]))</f>
        <v/>
      </c>
      <c r="BE45" s="111" t="str">
        <f aca="false">IF(OR(Tasks[[#This Row],[Task Name]]="",Tasks[[#This Row],[Baseline Cost]]=""),"",Tasks[[#This Row],[Cost]]-N(Tasks[[#This Row],[Baseline Cost]]))</f>
        <v/>
      </c>
      <c r="BF45" s="31" t="str">
        <f aca="false">IF(Tasks[[#This Row],[Task Name]]="","",Tasks[[#This Row],[Forecast Start]])</f>
        <v/>
      </c>
      <c r="BG45" s="31" t="str">
        <f aca="false">IF(Tasks[[#This Row],[Task Name]]="","",Tasks[[#This Row],[Forecast Finish]])</f>
        <v/>
      </c>
      <c r="BH45" s="51" t="str">
        <f aca="false">IF(Tasks[[#This Row],[Task Name]]="","",IF(Tasks[[#This Row],[_IsSummary]],NETWORKDAYS.INTL(Tasks[[#This Row],[Forecast Start]],Tasks[[#This Row],[Forecast Finish]],WorkWeek,Holidays),N(Tasks[[#This Row],[Duration]])))</f>
        <v/>
      </c>
      <c r="BI45" s="110" t="str">
        <f aca="false">IF(Tasks[[#This Row],[Task Name]]="","",Tasks[[#This Row],[Work]])</f>
        <v/>
      </c>
      <c r="BJ45" s="111" t="str">
        <f aca="false">IF(Tasks[[#This Row],[Task Name]]="","",Tasks[[#This Row],[Cost]])</f>
        <v/>
      </c>
      <c r="BK45" s="7"/>
      <c r="BL45" s="7"/>
      <c r="BM45" s="52"/>
      <c r="BN45" s="113"/>
      <c r="BO45" s="112"/>
      <c r="BP45" s="111" t="str">
        <f aca="false">IF(Tasks[[#This Row],[Task Name]]="","",IF(Tasks[[#This Row],[_IsSummary]],SUM(INDEX(Tasks[_LeafEV],Tasks[[#This Row],[_Row]]+1):INDEX(Tasks[_LeafEV],Tasks[[#This Row],[_Row]]+Tasks[[#This Row],[_Descendants]])),Tasks[[#This Row],[_LeafEV]]))</f>
        <v/>
      </c>
      <c r="BQ45" s="111" t="str">
        <f aca="false">IF(Tasks[[#This Row],[Task Name]]="","",IF(Tasks[[#This Row],[_IsSummary]],SUM(INDEX(Tasks[_LeafBudget],Tasks[[#This Row],[_Row]]+1):INDEX(Tasks[_LeafBudget],Tasks[[#This Row],[_Row]]+Tasks[[#This Row],[_Descendants]])),Tasks[[#This Row],[_LeafBudget]]))</f>
        <v/>
      </c>
      <c r="BR45" s="111" t="str">
        <f aca="false">IF(Tasks[[#This Row],[Task Name]]="","",IF(Tasks[[#This Row],[_IsSummary]],SUM(INDEX(Tasks[_LeafPV],Tasks[[#This Row],[_Row]]+1):INDEX(Tasks[_LeafPV],Tasks[[#This Row],[_Row]]+Tasks[[#This Row],[_Descendants]])),Tasks[[#This Row],[_LeafPV]]))</f>
        <v/>
      </c>
      <c r="BS45" s="111" t="str">
        <f aca="false">IF(Tasks[[#This Row],[Task Name]]="","",IF(Tasks[[#This Row],[_IsSummary]],SUM(INDEX(Tasks[_LeafAC],Tasks[[#This Row],[_Row]]+1):INDEX(Tasks[_LeafAC],Tasks[[#This Row],[_Row]]+Tasks[[#This Row],[_Descendants]])),Tasks[[#This Row],[_LeafAC]]))</f>
        <v/>
      </c>
      <c r="BT45" s="38" t="str">
        <f aca="false">IF(Tasks[[#This Row],[Task Name]]="","",MAX(1,N(Tasks[[#This Row],[Level]])))</f>
        <v/>
      </c>
      <c r="BU45" s="38" t="n">
        <f aca="false">ROW()-ROW(Tasks[[#Headers],[ID]])</f>
        <v>40</v>
      </c>
      <c r="BV45" s="38" t="n">
        <f aca="false">IF(OR(Tasks[[#This Row],[Task Name]]="",Tasks[[#This Row],[_Level]]&lt;=1),0,IFERROR(LOOKUP(2,1/(Tasks[[#Headers],[_Level]]:Tasks[[#This Row],[_Level]]=Tasks[[#This Row],[_Level]]-1),ROW(Tasks[[#Headers],[_Level]]:Tasks[[#This Row],[_Level]])),0))</f>
        <v>0</v>
      </c>
      <c r="BW45" s="38" t="n">
        <f aca="false">IFERROR(N(INDEX(Tasks[_Level],Tasks[[#This Row],[_Row]]+1)),0)</f>
        <v>0</v>
      </c>
      <c r="BX45" s="114" t="b">
        <f aca="false">AND(Tasks[[#This Row],[Task Name]]&lt;&gt;"",Tasks[[#This Row],[_NextLevel]]&gt;Tasks[[#This Row],[_Level]])</f>
        <v>0</v>
      </c>
      <c r="BY45" s="38" t="n">
        <f aca="false">IF(Tasks[[#This Row],[_IsSummary]],COUNTIF(Tasks[WBS],Tasks[[#This Row],[WBS]]&amp;".*"),0)</f>
        <v>0</v>
      </c>
      <c r="BZ45" s="38" t="n">
        <f aca="false">IF(AND(Tasks[[#This Row],[Task Name]]&lt;&gt;"",NOT(Tasks[[#This Row],[_IsSummary]])),1,0)</f>
        <v>0</v>
      </c>
      <c r="CA45" s="38" t="n">
        <f aca="false">IF(N(Tasks[[#This Row],[Pred1 UID]])=0,0,IFERROR(MATCH(Tasks[[#This Row],[Pred1 UID]],Tasks[UID],0),-1))</f>
        <v>0</v>
      </c>
      <c r="CB45" s="38" t="n">
        <f aca="false">IF(N(Tasks[[#This Row],[Pred2 UID]])=0,0,IFERROR(MATCH(Tasks[[#This Row],[Pred2 UID]],Tasks[UID],0),-1))</f>
        <v>0</v>
      </c>
      <c r="CC45" s="38" t="n">
        <f aca="false">IF(N(Tasks[[#This Row],[Pred3 UID]])=0,0,IFERROR(MATCH(Tasks[[#This Row],[Pred3 UID]],Tasks[UID],0),-1))</f>
        <v>0</v>
      </c>
      <c r="CD45" s="38" t="n">
        <f aca="false">IF(N(Tasks[[#This Row],[Pred4 UID]])=0,0,IFERROR(MATCH(Tasks[[#This Row],[Pred4 UID]],Tasks[UID],0),-1))</f>
        <v>0</v>
      </c>
      <c r="CE4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5" s="115" t="n">
        <f aca="false">IF(OR(Tasks[[#This Row],[_ConstraintCode]]=2,Tasks[[#This Row],[_ConstraintCode]]=3,Tasks[[#This Row],[_ConstraintCode]]=4,Tasks[[#This Row],[_ConstraintCode]]=6),Tasks[[#This Row],[_ConstraintStart]],0)</f>
        <v>0</v>
      </c>
      <c r="CH45" s="115" t="n">
        <f aca="false">IF(OR(Tasks[[#This Row],[_ConstraintCode]]=2,Tasks[[#This Row],[_ConstraintCode]]=3,Tasks[[#This Row],[_ConstraintCode]]=5,Tasks[[#This Row],[_ConstraintCode]]=7),Tasks[[#This Row],[_ConstraintStart]],2958465)</f>
        <v>2958465</v>
      </c>
      <c r="CI4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5" s="115" t="str">
        <f aca="false">IF(NOT(Tasks[[#This Row],[_IsLeaf]]=1),"",IF(N(Tasks[[#This Row],[Duration]])&lt;=0,Tasks[[#This Row],[_LeafCalcStart]],WORKDAY.INTL(Tasks[[#This Row],[_LeafCalcStart]],Tasks[[#This Row],[Duration]]-1,WorkWeek,Holidays)))</f>
        <v/>
      </c>
      <c r="CK4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5" s="38" t="n">
        <f aca="false">IF(NOT(Tasks[[#This Row],[_IsLeaf]]=1),0,IF(N(Tasks[[#This Row],[Actual Finish]])&gt;0,1,MIN(1,N(Tasks[[#This Row],[% Complete]]))))</f>
        <v>0</v>
      </c>
      <c r="CN45" s="38" t="n">
        <f aca="false">IF(OR(NOT(Tasks[[#This Row],[_IsLeaf]]=1),Tasks[[#This Row],[Resource]]=""),0,N(Tasks[[#This Row],[Duration]])*HoursPerDay*IF(Tasks[[#This Row],[Units]]="",DefaultUnits,Tasks[[#This Row],[Units]]))</f>
        <v>0</v>
      </c>
      <c r="CO45" s="38" t="n">
        <f aca="false">IF(Tasks[[#This Row],[_LeafWork]]=0,0,Tasks[[#This Row],[_LeafWork]]*IFERROR(INDEX(res_Rate,MATCH(Tasks[[#This Row],[Resource]],res_Name,0)),0))</f>
        <v>0</v>
      </c>
      <c r="CP45" s="38" t="n">
        <f aca="false">Tasks[[#This Row],[_LeafWork]]+IF(Tasks[[#This Row],[_IsLeaf]]=1,SUMIFS(asg_Work,asg_TaskUID,Tasks[[#This Row],[UID]],asg_Valid,1),0)</f>
        <v>0</v>
      </c>
      <c r="CQ45" s="38" t="n">
        <f aca="false">Tasks[[#This Row],[_LeafCost]]+IF(Tasks[[#This Row],[_IsLeaf]]=1,SUMIFS(asg_Cost,asg_TaskUID,Tasks[[#This Row],[UID]],asg_Valid,1),0)</f>
        <v>0</v>
      </c>
      <c r="CR45" s="38" t="n">
        <f aca="false">IF(Tasks[[#This Row],[_LeafTotalCost]]=0,Tasks[[#This Row],[_LeafAC]],Tasks[[#This Row],[_LeafAC]]*Tasks[[#This Row],[_LeafCost]]/Tasks[[#This Row],[_LeafTotalCost]])</f>
        <v>0</v>
      </c>
      <c r="CS4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5" s="38" t="n">
        <f aca="false">IF(NOT(Tasks[[#This Row],[_IsLeaf]]=1),0,MAX(_xlfn.MAXIFS(Tasks[_Row],Tasks[Pred1 UID],Tasks[[#This Row],[UID]]),_xlfn.MAXIFS(Tasks[_Row],Tasks[Pred2 UID],Tasks[[#This Row],[UID]]),_xlfn.MAXIFS(Tasks[_Row],Tasks[Pred3 UID],Tasks[[#This Row],[UID]]),_xlfn.MAXIFS(Tasks[_Row],Tasks[Pred4 UID],Tasks[[#This Row],[UID]])))</f>
        <v>0</v>
      </c>
      <c r="DB4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5" s="115" t="str">
        <f aca="false">IF(NOT(Tasks[[#This Row],[_IsLeaf]]=1),"",IF(N(Tasks[[#This Row],[Duration]])&lt;=0,Tasks[[#This Row],[_LeafLateFinish]],WORKDAY.INTL(Tasks[[#This Row],[_LeafLateFinish]],-(Tasks[[#This Row],[Duration]]-1),WorkWeek,Holidays)))</f>
        <v/>
      </c>
      <c r="DE4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5" s="114" t="b">
        <f aca="false">AND(Tasks[[#This Row],[_IsLeaf]]=1,Tasks[[#This Row],[_LeafProgress]]&lt;1,N(Tasks[[#This Row],[_LeafTotalSlack]])&lt;=CriticalSlackDays)</f>
        <v>0</v>
      </c>
      <c r="DG45" s="38" t="n">
        <f aca="false">IF(AND(Tasks[[#This Row],[_IsLeaf]]=1,Tasks[[#This Row],[_ConstraintCode]]=1,Tasks[[#This Row],[Mode]]&lt;&gt;"Manual",N(Tasks[[#This Row],[Actual Start]])=0),MAX(0,N(Tasks[[#This Row],[Free Slack]])),0)</f>
        <v>0</v>
      </c>
      <c r="DH45" s="115" t="str">
        <f aca="false">IF(NOT(Tasks[[#This Row],[_IsLeaf]]=1),"",IF(Tasks[[#This Row],[_AlapShift]]=0,Tasks[[#This Row],[_LeafCalcStart]],WORKDAY.INTL(Tasks[[#This Row],[_LeafCalcStart]],Tasks[[#This Row],[_AlapShift]],WorkWeek,Holidays)))</f>
        <v/>
      </c>
      <c r="DI45" s="115" t="str">
        <f aca="false">IF(NOT(Tasks[[#This Row],[_IsLeaf]]=1),"",IF(Tasks[[#This Row],[_AlapShift]]=0,Tasks[[#This Row],[_LeafCalcFinish]],WORKDAY.INTL(Tasks[[#This Row],[_LeafCalcFinish]],Tasks[[#This Row],[_AlapShift]],WorkWeek,Holidays)))</f>
        <v/>
      </c>
      <c r="DJ45" s="115" t="str">
        <f aca="false">IF(NOT(Tasks[[#This Row],[_IsLeaf]]=1),"",IF(Tasks[[#This Row],[_AlapShift]]=0,Tasks[[#This Row],[_LeafFcstStart]],WORKDAY.INTL(Tasks[[#This Row],[_LeafFcstStart]],Tasks[[#This Row],[_AlapShift]],WorkWeek,Holidays)))</f>
        <v/>
      </c>
      <c r="DK45" s="115" t="str">
        <f aca="false">IF(NOT(Tasks[[#This Row],[_IsLeaf]]=1),"",IF(Tasks[[#This Row],[_AlapShift]]=0,Tasks[[#This Row],[_LeafFcstFinish]],WORKDAY.INTL(Tasks[[#This Row],[_LeafFcstFinish]],Tasks[[#This Row],[_AlapShift]],WorkWeek,Holidays)))</f>
        <v/>
      </c>
      <c r="DL45" s="115" t="str">
        <f aca="false">IF(Tasks[[#This Row],[Task Name]]="","",IF(Tasks[[#This Row],[_IsSummary]],MIN(INDEX(Tasks[_ShownCalcStart],Tasks[[#This Row],[_Row]]+1):INDEX(Tasks[_ShownCalcStart],Tasks[[#This Row],[_Row]]+Tasks[[#This Row],[_Descendants]])),Tasks[[#This Row],[_ShownCalcStart]]))</f>
        <v/>
      </c>
      <c r="DM45" s="115" t="str">
        <f aca="false">IF(Tasks[[#This Row],[Task Name]]="","",IF(Tasks[[#This Row],[_IsSummary]],MAX(INDEX(Tasks[_ShownCalcFinish],Tasks[[#This Row],[_Row]]+1):INDEX(Tasks[_ShownCalcFinish],Tasks[[#This Row],[_Row]]+Tasks[[#This Row],[_Descendants]])),Tasks[[#This Row],[_ShownCalcFinish]]))</f>
        <v/>
      </c>
      <c r="DN4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5" s="38" t="n">
        <f aca="false">IF(AND(Tasks[[#This Row],[_IsLeaf]]=1,Tasks[[#This Row],[_LeafTotalWork]]&gt;0),NETWORKDAYS.INTL(ProjectStart,Tasks[[#This Row],[_ShownFcstStart]],WorkWeek,Holidays),0)</f>
        <v>0</v>
      </c>
      <c r="EA45" s="38" t="n">
        <f aca="false">IF(AND(Tasks[[#This Row],[_IsLeaf]]=1,Tasks[[#This Row],[_LeafTotalWork]]&gt;0),MAX(Tasks[[#This Row],[_StartWorkday]],NETWORKDAYS.INTL(ProjectStart,Tasks[[#This Row],[_ShownFcstFinish]],WorkWeek,Holidays)),0)</f>
        <v>0</v>
      </c>
      <c r="EB45" s="38" t="n">
        <f aca="false">IF(AND(Tasks[[#This Row],[_IsLeaf]]=1,Tasks[[#This Row],[_LeafTotalWork]]&gt;0),Tasks[[#This Row],[_LeafWork]]/(Tasks[[#This Row],[_FinishWorkday]]-Tasks[[#This Row],[_StartWorkday]]+1),0)</f>
        <v>0</v>
      </c>
      <c r="EC45" s="38" t="n">
        <f aca="false">Tasks[[#This Row],[_WorkPerWorkday]]*(Tasks[[#This Row],[_StartWorkday]]-1)</f>
        <v>-0</v>
      </c>
      <c r="ED45" s="38" t="n">
        <f aca="false">IF(Tasks[[#This Row],[_IsLeaf]]=1,MAX(N(Tasks[[#This Row],[Duration]]),0.1),0)</f>
        <v>0</v>
      </c>
      <c r="EE45" s="38" t="n">
        <f aca="false">Tasks[[#This Row],[_WeightDur]]*Tasks[[#This Row],[_LeafProgress]]</f>
        <v>0</v>
      </c>
      <c r="EF4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5" s="38" t="str">
        <f aca="false">IF(AND(Tasks[[#This Row],[_IsLeaf]]=1,N(Tasks[[#This Row],[Duration]])=0,Tasks[[#This Row],[_LeafProgress]]&lt;1),Tasks[[#This Row],[_ShownFcstFinish]]+Tasks[[#This Row],[_Row]]/100000,"")</f>
        <v/>
      </c>
      <c r="EH4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5" s="38" t="n">
        <f aca="false">IF(NOT(Tasks[[#This Row],[_IsLeaf]]=1),0,IF(Tasks[[#This Row],[Baseline Cost]]="",Tasks[[#This Row],[_LeafTotalCost]],N(Tasks[[#This Row],[Baseline Cost]])))</f>
        <v>0</v>
      </c>
      <c r="EJ45" s="38" t="n">
        <f aca="false">Tasks[[#This Row],[_LeafBudget]]*Tasks[[#This Row],[_PlannedPct]]</f>
        <v>0</v>
      </c>
      <c r="EK45" s="38" t="n">
        <f aca="false">Tasks[[#This Row],[_LeafBudget]]*Tasks[[#This Row],[_LeafProgress]]</f>
        <v>0</v>
      </c>
      <c r="EL45" s="38" t="n">
        <f aca="false">IF(NOT(Tasks[[#This Row],[_IsLeaf]]=1),0,IF(Tasks[[#This Row],[Actual Cost]]="",Tasks[[#This Row],[_LeafTotalCost]]*Tasks[[#This Row],[_LeafProgress]],N(Tasks[[#This Row],[Actual Cost]])))</f>
        <v>0</v>
      </c>
      <c r="EM45" s="38" t="str">
        <f aca="false">IF(Tasks[[#This Row],[Task Name]]="","",LEFT(Tasks[[#This Row],[WBS]],FIND(".",Tasks[[#This Row],[WBS]]&amp;".")-1))</f>
        <v/>
      </c>
      <c r="EN45" s="38" t="str">
        <f aca="false">IF(AND(Tasks[[#This Row],[Task Name]]&lt;&gt;"",Tasks[[#This Row],[_Level]]=1),Tasks[[#This Row],[_Row]],"")</f>
        <v/>
      </c>
      <c r="EO45" s="38" t="str">
        <f aca="false">IF(AND(Tasks[[#This Row],[_IsLeaf]]=1,N(Tasks[[#This Row],[Duration]])=0),Tasks[[#This Row],[Planned Finish]]+Tasks[[#This Row],[_Row]]/100000,"")</f>
        <v/>
      </c>
      <c r="EP45" s="38" t="str">
        <f aca="false">IF(AND(Tasks[[#This Row],[_IsLeaf]]=1,Tasks[[#This Row],[_LeafProgress]]&lt;1,OR(N(Tasks[[#This Row],[Finish Var]])&gt;0,Tasks[[#This Row],[Status]]="Late Start")),MAX(0,Tasks[[#This Row],[Finish Var]])+1-Tasks[[#This Row],[_Row]]/1000000,"")</f>
        <v/>
      </c>
      <c r="EQ45" s="38" t="str">
        <f aca="false">IF(AND(Tasks[[#This Row],[_IsLeaf]]=1,N(Tasks[[#This Row],[Actual Start]])=0,Tasks[[#This Row],[_ShownFcstStart]]&gt;=StatusDate,Tasks[[#This Row],[_ShownFcstStart]]&lt;=LookaheadEnd),Tasks[[#This Row],[_ShownFcstStart]]+Tasks[[#This Row],[_Row]]/100000,"")</f>
        <v/>
      </c>
      <c r="ER45" s="38" t="str">
        <f aca="false">IF(AND(Tasks[[#This Row],[_IsLeaf]]=1,Tasks[[#This Row],[_LeafProgress]]&lt;1,Tasks[[#This Row],[_ShownFcstFinish]]&gt;=StatusDate,Tasks[[#This Row],[_ShownFcstFinish]]&lt;=LookaheadEnd),Tasks[[#This Row],[_ShownFcstFinish]]+Tasks[[#This Row],[_Row]]/100000,"")</f>
        <v/>
      </c>
      <c r="ES45" s="38" t="str">
        <f aca="false">IF(Tasks[[#This Row],[_LeafCritical]],Tasks[[#This Row],[_ShownFcstStart]]+Tasks[[#This Row],[_Row]]/100000,"")</f>
        <v/>
      </c>
      <c r="ET45" s="38" t="n">
        <f aca="false">Tasks[[#This Row],[_LeafWork]]*Tasks[[#This Row],[_LeafProgress]]</f>
        <v>0</v>
      </c>
      <c r="EU45" s="115" t="str">
        <f aca="false">IF(AND(Tasks[[#This Row],[_IsLeaf]]=1,Tasks[[#This Row],[_LeafProgress]]&gt;=1),IF(N(Tasks[[#This Row],[Actual Finish]])&gt;0,Tasks[[#This Row],[Actual Finish]],Tasks[[#This Row],[_ShownFcstFinish]]),"")</f>
        <v/>
      </c>
      <c r="EV45" s="38" t="n">
        <f aca="false">IF(Tasks[[#This Row],[_IsLeaf]]=1,N(Tasks[[#This Row],[Story Points]]),0)</f>
        <v>0</v>
      </c>
      <c r="EW45" s="38" t="str">
        <f aca="false">IF(AND(Tasks[[#This Row],[_IsLeaf]]=1,CurrentSprint&lt;&gt;"",Tasks[[#This Row],[Sprint]]=CurrentSprint),Tasks[[#This Row],[_Row]],"")</f>
        <v/>
      </c>
    </row>
    <row r="46" customFormat="false" ht="15" hidden="false" customHeight="false" outlineLevel="0" collapsed="false">
      <c r="A46" s="51" t="str">
        <f aca="false">IF(Tasks[[#This Row],[Task Name]]="","",COUNTA(Tasks[[#Headers],[Task Name]]:Tasks[[#This Row],[Task Name]])-1)</f>
        <v/>
      </c>
      <c r="B46" s="52" t="n">
        <v>41</v>
      </c>
      <c r="C4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52"/>
      <c r="E46" s="53"/>
      <c r="F46" s="52"/>
      <c r="G46" s="52"/>
      <c r="H46" s="52"/>
      <c r="I46" s="52"/>
      <c r="J46" s="52"/>
      <c r="K46" s="52"/>
      <c r="L46" s="52"/>
      <c r="M46" s="52"/>
      <c r="N46" s="52"/>
      <c r="O46" s="52"/>
      <c r="P46" s="52"/>
      <c r="Q46" s="52"/>
      <c r="R46" s="52"/>
      <c r="S46" s="53"/>
      <c r="T46" s="102"/>
      <c r="U46" s="102"/>
      <c r="V46" s="7"/>
      <c r="W46" s="7"/>
      <c r="X46" s="53"/>
      <c r="Y46" s="31" t="str">
        <f aca="false">IF(Tasks[[#This Row],[Task Name]]="","",IF(Tasks[[#This Row],[_IsSummary]],MIN(INDEX(Tasks[_ShownFcstStart],Tasks[[#This Row],[_Row]]+1):INDEX(Tasks[_ShownFcstStart],Tasks[[#This Row],[_Row]]+Tasks[[#This Row],[_Descendants]])),Tasks[[#This Row],[_ShownFcstStart]]))</f>
        <v/>
      </c>
      <c r="Z46" s="31" t="str">
        <f aca="false">IF(Tasks[[#This Row],[Task Name]]="","",IF(Tasks[[#This Row],[_IsSummary]],MAX(INDEX(Tasks[_ShownFcstFinish],Tasks[[#This Row],[_Row]]+1):INDEX(Tasks[_ShownFcstFinish],Tasks[[#This Row],[_Row]]+Tasks[[#This Row],[_Descendants]])),Tasks[[#This Row],[_ShownFcstFinish]]))</f>
        <v/>
      </c>
      <c r="AA46" s="51" t="str">
        <f aca="false">IF(Tasks[[#This Row],[Task Name]]="","",IF(Tasks[[#This Row],[Progress]]&gt;=1,"Complete",IF(OR(N(Tasks[[#This Row],[Actual Start]])&gt;0,Tasks[[#This Row],[Progress]]&gt;0),IF(Tasks[[#This Row],[Finish Var]]&gt;0,"Behind","In Progress"),IF(Tasks[[#This Row],[Planned Start]]&lt;StatusDate,"Late Start","Not Started"))))</f>
        <v/>
      </c>
      <c r="AB46" s="51" t="str">
        <f aca="false">IF(Tasks[[#This Row],[Task Name]]="","",IF(IF(Tasks[[#This Row],[_IsSummary]],COUNTIF(INDEX(Tasks[_LeafCritical],Tasks[[#This Row],[_Row]]+1):INDEX(Tasks[_LeafCritical],Tasks[[#This Row],[_Row]]+Tasks[[#This Row],[_Descendants]]),TRUE())&gt;0,Tasks[[#This Row],[_LeafCritical]]),"Yes",""))</f>
        <v/>
      </c>
      <c r="AC4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6" s="51" t="str">
        <f aca="false">IF(Tasks[[#This Row],[Task Name]]="","",IF(Tasks[[#This Row],[_Level]]&lt;=OutlineShowLevel,"Yes","No"))</f>
        <v/>
      </c>
      <c r="AE46" s="7"/>
      <c r="AF46" s="52"/>
      <c r="AG46" s="53"/>
      <c r="AH46" s="7"/>
      <c r="AI4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6" s="31" t="str">
        <f aca="false">IF(Tasks[[#This Row],[Task Name]]="","",IF(N(Tasks[[#This Row],[Baseline Start]])&gt;0,Tasks[[#This Row],[Baseline Start]],Tasks[[#This Row],[_CalcStart]]))</f>
        <v/>
      </c>
      <c r="AK46" s="31" t="str">
        <f aca="false">IF(Tasks[[#This Row],[Task Name]]="","",IF(N(Tasks[[#This Row],[Baseline Finish]])&gt;0,Tasks[[#This Row],[Baseline Finish]],Tasks[[#This Row],[_CalcFinish]]))</f>
        <v/>
      </c>
      <c r="AL4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6" s="31" t="str">
        <f aca="false">IF(Tasks[[#This Row],[Task Name]]="","",IF(Tasks[[#This Row],[_IsSummary]],MIN(INDEX(Tasks[_LeafLateStart],Tasks[[#This Row],[_Row]]+1):INDEX(Tasks[_LeafLateStart],Tasks[[#This Row],[_Row]]+Tasks[[#This Row],[_Descendants]])),Tasks[[#This Row],[_LeafLateStart]]))</f>
        <v/>
      </c>
      <c r="AN46" s="31" t="str">
        <f aca="false">IF(Tasks[[#This Row],[Task Name]]="","",IF(Tasks[[#This Row],[_IsSummary]],MAX(INDEX(Tasks[_LeafLateFinish],Tasks[[#This Row],[_Row]]+1):INDEX(Tasks[_LeafLateFinish],Tasks[[#This Row],[_Row]]+Tasks[[#This Row],[_Descendants]])),Tasks[[#This Row],[_LeafLateFinish]]))</f>
        <v/>
      </c>
      <c r="AO46" s="51" t="str">
        <f aca="false">IF(Tasks[[#This Row],[Task Name]]="","",IF(Tasks[[#This Row],[_IsSummary]],MIN(INDEX(Tasks[_LeafTotalSlack],Tasks[[#This Row],[_Row]]+1):INDEX(Tasks[_LeafTotalSlack],Tasks[[#This Row],[_Row]]+Tasks[[#This Row],[_Descendants]])),Tasks[[#This Row],[_LeafTotalSlack]]))</f>
        <v/>
      </c>
      <c r="AP4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6" s="110" t="str">
        <f aca="false">IF(Tasks[[#This Row],[Task Name]]="","",IF(Tasks[[#This Row],[_IsSummary]],SUM(INDEX(Tasks[_LeafTotalWork],Tasks[[#This Row],[_Row]]+1):INDEX(Tasks[_LeafTotalWork],Tasks[[#This Row],[_Row]]+Tasks[[#This Row],[_Descendants]])),Tasks[[#This Row],[_LeafTotalWork]]))</f>
        <v/>
      </c>
      <c r="AV4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6" s="111" t="str">
        <f aca="false">IF(Tasks[[#This Row],[Task Name]]="","",IF(Tasks[[#This Row],[_IsSummary]],SUM(INDEX(Tasks[_LeafTotalCost],Tasks[[#This Row],[_Row]]+1):INDEX(Tasks[_LeafTotalCost],Tasks[[#This Row],[_Row]]+Tasks[[#This Row],[_Descendants]])),Tasks[[#This Row],[_LeafTotalCost]]))</f>
        <v/>
      </c>
      <c r="AY46" s="112"/>
      <c r="AZ4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6" s="52"/>
      <c r="BB46" s="98"/>
      <c r="BC46" s="51" t="str">
        <f aca="false">IF(OR(Tasks[[#This Row],[Task Name]]="",Tasks[[#This Row],[Baseline Duration]]=""),"",Tasks[[#This Row],[BL Source Duration]]-N(Tasks[[#This Row],[Baseline Duration]]))</f>
        <v/>
      </c>
      <c r="BD46" s="110" t="str">
        <f aca="false">IF(OR(Tasks[[#This Row],[Task Name]]="",Tasks[[#This Row],[Baseline Work]]=""),"",Tasks[[#This Row],[Work]]-N(Tasks[[#This Row],[Baseline Work]]))</f>
        <v/>
      </c>
      <c r="BE46" s="111" t="str">
        <f aca="false">IF(OR(Tasks[[#This Row],[Task Name]]="",Tasks[[#This Row],[Baseline Cost]]=""),"",Tasks[[#This Row],[Cost]]-N(Tasks[[#This Row],[Baseline Cost]]))</f>
        <v/>
      </c>
      <c r="BF46" s="31" t="str">
        <f aca="false">IF(Tasks[[#This Row],[Task Name]]="","",Tasks[[#This Row],[Forecast Start]])</f>
        <v/>
      </c>
      <c r="BG46" s="31" t="str">
        <f aca="false">IF(Tasks[[#This Row],[Task Name]]="","",Tasks[[#This Row],[Forecast Finish]])</f>
        <v/>
      </c>
      <c r="BH46" s="51" t="str">
        <f aca="false">IF(Tasks[[#This Row],[Task Name]]="","",IF(Tasks[[#This Row],[_IsSummary]],NETWORKDAYS.INTL(Tasks[[#This Row],[Forecast Start]],Tasks[[#This Row],[Forecast Finish]],WorkWeek,Holidays),N(Tasks[[#This Row],[Duration]])))</f>
        <v/>
      </c>
      <c r="BI46" s="110" t="str">
        <f aca="false">IF(Tasks[[#This Row],[Task Name]]="","",Tasks[[#This Row],[Work]])</f>
        <v/>
      </c>
      <c r="BJ46" s="111" t="str">
        <f aca="false">IF(Tasks[[#This Row],[Task Name]]="","",Tasks[[#This Row],[Cost]])</f>
        <v/>
      </c>
      <c r="BK46" s="7"/>
      <c r="BL46" s="7"/>
      <c r="BM46" s="52"/>
      <c r="BN46" s="113"/>
      <c r="BO46" s="112"/>
      <c r="BP46" s="111" t="str">
        <f aca="false">IF(Tasks[[#This Row],[Task Name]]="","",IF(Tasks[[#This Row],[_IsSummary]],SUM(INDEX(Tasks[_LeafEV],Tasks[[#This Row],[_Row]]+1):INDEX(Tasks[_LeafEV],Tasks[[#This Row],[_Row]]+Tasks[[#This Row],[_Descendants]])),Tasks[[#This Row],[_LeafEV]]))</f>
        <v/>
      </c>
      <c r="BQ46" s="111" t="str">
        <f aca="false">IF(Tasks[[#This Row],[Task Name]]="","",IF(Tasks[[#This Row],[_IsSummary]],SUM(INDEX(Tasks[_LeafBudget],Tasks[[#This Row],[_Row]]+1):INDEX(Tasks[_LeafBudget],Tasks[[#This Row],[_Row]]+Tasks[[#This Row],[_Descendants]])),Tasks[[#This Row],[_LeafBudget]]))</f>
        <v/>
      </c>
      <c r="BR46" s="111" t="str">
        <f aca="false">IF(Tasks[[#This Row],[Task Name]]="","",IF(Tasks[[#This Row],[_IsSummary]],SUM(INDEX(Tasks[_LeafPV],Tasks[[#This Row],[_Row]]+1):INDEX(Tasks[_LeafPV],Tasks[[#This Row],[_Row]]+Tasks[[#This Row],[_Descendants]])),Tasks[[#This Row],[_LeafPV]]))</f>
        <v/>
      </c>
      <c r="BS46" s="111" t="str">
        <f aca="false">IF(Tasks[[#This Row],[Task Name]]="","",IF(Tasks[[#This Row],[_IsSummary]],SUM(INDEX(Tasks[_LeafAC],Tasks[[#This Row],[_Row]]+1):INDEX(Tasks[_LeafAC],Tasks[[#This Row],[_Row]]+Tasks[[#This Row],[_Descendants]])),Tasks[[#This Row],[_LeafAC]]))</f>
        <v/>
      </c>
      <c r="BT46" s="38" t="str">
        <f aca="false">IF(Tasks[[#This Row],[Task Name]]="","",MAX(1,N(Tasks[[#This Row],[Level]])))</f>
        <v/>
      </c>
      <c r="BU46" s="38" t="n">
        <f aca="false">ROW()-ROW(Tasks[[#Headers],[ID]])</f>
        <v>41</v>
      </c>
      <c r="BV46" s="38" t="n">
        <f aca="false">IF(OR(Tasks[[#This Row],[Task Name]]="",Tasks[[#This Row],[_Level]]&lt;=1),0,IFERROR(LOOKUP(2,1/(Tasks[[#Headers],[_Level]]:Tasks[[#This Row],[_Level]]=Tasks[[#This Row],[_Level]]-1),ROW(Tasks[[#Headers],[_Level]]:Tasks[[#This Row],[_Level]])),0))</f>
        <v>0</v>
      </c>
      <c r="BW46" s="38" t="n">
        <f aca="false">IFERROR(N(INDEX(Tasks[_Level],Tasks[[#This Row],[_Row]]+1)),0)</f>
        <v>0</v>
      </c>
      <c r="BX46" s="114" t="b">
        <f aca="false">AND(Tasks[[#This Row],[Task Name]]&lt;&gt;"",Tasks[[#This Row],[_NextLevel]]&gt;Tasks[[#This Row],[_Level]])</f>
        <v>0</v>
      </c>
      <c r="BY46" s="38" t="n">
        <f aca="false">IF(Tasks[[#This Row],[_IsSummary]],COUNTIF(Tasks[WBS],Tasks[[#This Row],[WBS]]&amp;".*"),0)</f>
        <v>0</v>
      </c>
      <c r="BZ46" s="38" t="n">
        <f aca="false">IF(AND(Tasks[[#This Row],[Task Name]]&lt;&gt;"",NOT(Tasks[[#This Row],[_IsSummary]])),1,0)</f>
        <v>0</v>
      </c>
      <c r="CA46" s="38" t="n">
        <f aca="false">IF(N(Tasks[[#This Row],[Pred1 UID]])=0,0,IFERROR(MATCH(Tasks[[#This Row],[Pred1 UID]],Tasks[UID],0),-1))</f>
        <v>0</v>
      </c>
      <c r="CB46" s="38" t="n">
        <f aca="false">IF(N(Tasks[[#This Row],[Pred2 UID]])=0,0,IFERROR(MATCH(Tasks[[#This Row],[Pred2 UID]],Tasks[UID],0),-1))</f>
        <v>0</v>
      </c>
      <c r="CC46" s="38" t="n">
        <f aca="false">IF(N(Tasks[[#This Row],[Pred3 UID]])=0,0,IFERROR(MATCH(Tasks[[#This Row],[Pred3 UID]],Tasks[UID],0),-1))</f>
        <v>0</v>
      </c>
      <c r="CD46" s="38" t="n">
        <f aca="false">IF(N(Tasks[[#This Row],[Pred4 UID]])=0,0,IFERROR(MATCH(Tasks[[#This Row],[Pred4 UID]],Tasks[UID],0),-1))</f>
        <v>0</v>
      </c>
      <c r="CE4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6" s="115" t="n">
        <f aca="false">IF(OR(Tasks[[#This Row],[_ConstraintCode]]=2,Tasks[[#This Row],[_ConstraintCode]]=3,Tasks[[#This Row],[_ConstraintCode]]=4,Tasks[[#This Row],[_ConstraintCode]]=6),Tasks[[#This Row],[_ConstraintStart]],0)</f>
        <v>0</v>
      </c>
      <c r="CH46" s="115" t="n">
        <f aca="false">IF(OR(Tasks[[#This Row],[_ConstraintCode]]=2,Tasks[[#This Row],[_ConstraintCode]]=3,Tasks[[#This Row],[_ConstraintCode]]=5,Tasks[[#This Row],[_ConstraintCode]]=7),Tasks[[#This Row],[_ConstraintStart]],2958465)</f>
        <v>2958465</v>
      </c>
      <c r="CI4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6" s="115" t="str">
        <f aca="false">IF(NOT(Tasks[[#This Row],[_IsLeaf]]=1),"",IF(N(Tasks[[#This Row],[Duration]])&lt;=0,Tasks[[#This Row],[_LeafCalcStart]],WORKDAY.INTL(Tasks[[#This Row],[_LeafCalcStart]],Tasks[[#This Row],[Duration]]-1,WorkWeek,Holidays)))</f>
        <v/>
      </c>
      <c r="CK4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6" s="38" t="n">
        <f aca="false">IF(NOT(Tasks[[#This Row],[_IsLeaf]]=1),0,IF(N(Tasks[[#This Row],[Actual Finish]])&gt;0,1,MIN(1,N(Tasks[[#This Row],[% Complete]]))))</f>
        <v>0</v>
      </c>
      <c r="CN46" s="38" t="n">
        <f aca="false">IF(OR(NOT(Tasks[[#This Row],[_IsLeaf]]=1),Tasks[[#This Row],[Resource]]=""),0,N(Tasks[[#This Row],[Duration]])*HoursPerDay*IF(Tasks[[#This Row],[Units]]="",DefaultUnits,Tasks[[#This Row],[Units]]))</f>
        <v>0</v>
      </c>
      <c r="CO46" s="38" t="n">
        <f aca="false">IF(Tasks[[#This Row],[_LeafWork]]=0,0,Tasks[[#This Row],[_LeafWork]]*IFERROR(INDEX(res_Rate,MATCH(Tasks[[#This Row],[Resource]],res_Name,0)),0))</f>
        <v>0</v>
      </c>
      <c r="CP46" s="38" t="n">
        <f aca="false">Tasks[[#This Row],[_LeafWork]]+IF(Tasks[[#This Row],[_IsLeaf]]=1,SUMIFS(asg_Work,asg_TaskUID,Tasks[[#This Row],[UID]],asg_Valid,1),0)</f>
        <v>0</v>
      </c>
      <c r="CQ46" s="38" t="n">
        <f aca="false">Tasks[[#This Row],[_LeafCost]]+IF(Tasks[[#This Row],[_IsLeaf]]=1,SUMIFS(asg_Cost,asg_TaskUID,Tasks[[#This Row],[UID]],asg_Valid,1),0)</f>
        <v>0</v>
      </c>
      <c r="CR46" s="38" t="n">
        <f aca="false">IF(Tasks[[#This Row],[_LeafTotalCost]]=0,Tasks[[#This Row],[_LeafAC]],Tasks[[#This Row],[_LeafAC]]*Tasks[[#This Row],[_LeafCost]]/Tasks[[#This Row],[_LeafTotalCost]])</f>
        <v>0</v>
      </c>
      <c r="CS4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6" s="38" t="n">
        <f aca="false">IF(NOT(Tasks[[#This Row],[_IsLeaf]]=1),0,MAX(_xlfn.MAXIFS(Tasks[_Row],Tasks[Pred1 UID],Tasks[[#This Row],[UID]]),_xlfn.MAXIFS(Tasks[_Row],Tasks[Pred2 UID],Tasks[[#This Row],[UID]]),_xlfn.MAXIFS(Tasks[_Row],Tasks[Pred3 UID],Tasks[[#This Row],[UID]]),_xlfn.MAXIFS(Tasks[_Row],Tasks[Pred4 UID],Tasks[[#This Row],[UID]])))</f>
        <v>0</v>
      </c>
      <c r="DB4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6" s="115" t="str">
        <f aca="false">IF(NOT(Tasks[[#This Row],[_IsLeaf]]=1),"",IF(N(Tasks[[#This Row],[Duration]])&lt;=0,Tasks[[#This Row],[_LeafLateFinish]],WORKDAY.INTL(Tasks[[#This Row],[_LeafLateFinish]],-(Tasks[[#This Row],[Duration]]-1),WorkWeek,Holidays)))</f>
        <v/>
      </c>
      <c r="DE4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6" s="114" t="b">
        <f aca="false">AND(Tasks[[#This Row],[_IsLeaf]]=1,Tasks[[#This Row],[_LeafProgress]]&lt;1,N(Tasks[[#This Row],[_LeafTotalSlack]])&lt;=CriticalSlackDays)</f>
        <v>0</v>
      </c>
      <c r="DG46" s="38" t="n">
        <f aca="false">IF(AND(Tasks[[#This Row],[_IsLeaf]]=1,Tasks[[#This Row],[_ConstraintCode]]=1,Tasks[[#This Row],[Mode]]&lt;&gt;"Manual",N(Tasks[[#This Row],[Actual Start]])=0),MAX(0,N(Tasks[[#This Row],[Free Slack]])),0)</f>
        <v>0</v>
      </c>
      <c r="DH46" s="115" t="str">
        <f aca="false">IF(NOT(Tasks[[#This Row],[_IsLeaf]]=1),"",IF(Tasks[[#This Row],[_AlapShift]]=0,Tasks[[#This Row],[_LeafCalcStart]],WORKDAY.INTL(Tasks[[#This Row],[_LeafCalcStart]],Tasks[[#This Row],[_AlapShift]],WorkWeek,Holidays)))</f>
        <v/>
      </c>
      <c r="DI46" s="115" t="str">
        <f aca="false">IF(NOT(Tasks[[#This Row],[_IsLeaf]]=1),"",IF(Tasks[[#This Row],[_AlapShift]]=0,Tasks[[#This Row],[_LeafCalcFinish]],WORKDAY.INTL(Tasks[[#This Row],[_LeafCalcFinish]],Tasks[[#This Row],[_AlapShift]],WorkWeek,Holidays)))</f>
        <v/>
      </c>
      <c r="DJ46" s="115" t="str">
        <f aca="false">IF(NOT(Tasks[[#This Row],[_IsLeaf]]=1),"",IF(Tasks[[#This Row],[_AlapShift]]=0,Tasks[[#This Row],[_LeafFcstStart]],WORKDAY.INTL(Tasks[[#This Row],[_LeafFcstStart]],Tasks[[#This Row],[_AlapShift]],WorkWeek,Holidays)))</f>
        <v/>
      </c>
      <c r="DK46" s="115" t="str">
        <f aca="false">IF(NOT(Tasks[[#This Row],[_IsLeaf]]=1),"",IF(Tasks[[#This Row],[_AlapShift]]=0,Tasks[[#This Row],[_LeafFcstFinish]],WORKDAY.INTL(Tasks[[#This Row],[_LeafFcstFinish]],Tasks[[#This Row],[_AlapShift]],WorkWeek,Holidays)))</f>
        <v/>
      </c>
      <c r="DL46" s="115" t="str">
        <f aca="false">IF(Tasks[[#This Row],[Task Name]]="","",IF(Tasks[[#This Row],[_IsSummary]],MIN(INDEX(Tasks[_ShownCalcStart],Tasks[[#This Row],[_Row]]+1):INDEX(Tasks[_ShownCalcStart],Tasks[[#This Row],[_Row]]+Tasks[[#This Row],[_Descendants]])),Tasks[[#This Row],[_ShownCalcStart]]))</f>
        <v/>
      </c>
      <c r="DM46" s="115" t="str">
        <f aca="false">IF(Tasks[[#This Row],[Task Name]]="","",IF(Tasks[[#This Row],[_IsSummary]],MAX(INDEX(Tasks[_ShownCalcFinish],Tasks[[#This Row],[_Row]]+1):INDEX(Tasks[_ShownCalcFinish],Tasks[[#This Row],[_Row]]+Tasks[[#This Row],[_Descendants]])),Tasks[[#This Row],[_ShownCalcFinish]]))</f>
        <v/>
      </c>
      <c r="DN4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6" s="38" t="n">
        <f aca="false">IF(AND(Tasks[[#This Row],[_IsLeaf]]=1,Tasks[[#This Row],[_LeafTotalWork]]&gt;0),NETWORKDAYS.INTL(ProjectStart,Tasks[[#This Row],[_ShownFcstStart]],WorkWeek,Holidays),0)</f>
        <v>0</v>
      </c>
      <c r="EA46" s="38" t="n">
        <f aca="false">IF(AND(Tasks[[#This Row],[_IsLeaf]]=1,Tasks[[#This Row],[_LeafTotalWork]]&gt;0),MAX(Tasks[[#This Row],[_StartWorkday]],NETWORKDAYS.INTL(ProjectStart,Tasks[[#This Row],[_ShownFcstFinish]],WorkWeek,Holidays)),0)</f>
        <v>0</v>
      </c>
      <c r="EB46" s="38" t="n">
        <f aca="false">IF(AND(Tasks[[#This Row],[_IsLeaf]]=1,Tasks[[#This Row],[_LeafTotalWork]]&gt;0),Tasks[[#This Row],[_LeafWork]]/(Tasks[[#This Row],[_FinishWorkday]]-Tasks[[#This Row],[_StartWorkday]]+1),0)</f>
        <v>0</v>
      </c>
      <c r="EC46" s="38" t="n">
        <f aca="false">Tasks[[#This Row],[_WorkPerWorkday]]*(Tasks[[#This Row],[_StartWorkday]]-1)</f>
        <v>-0</v>
      </c>
      <c r="ED46" s="38" t="n">
        <f aca="false">IF(Tasks[[#This Row],[_IsLeaf]]=1,MAX(N(Tasks[[#This Row],[Duration]]),0.1),0)</f>
        <v>0</v>
      </c>
      <c r="EE46" s="38" t="n">
        <f aca="false">Tasks[[#This Row],[_WeightDur]]*Tasks[[#This Row],[_LeafProgress]]</f>
        <v>0</v>
      </c>
      <c r="EF4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6" s="38" t="str">
        <f aca="false">IF(AND(Tasks[[#This Row],[_IsLeaf]]=1,N(Tasks[[#This Row],[Duration]])=0,Tasks[[#This Row],[_LeafProgress]]&lt;1),Tasks[[#This Row],[_ShownFcstFinish]]+Tasks[[#This Row],[_Row]]/100000,"")</f>
        <v/>
      </c>
      <c r="EH4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6" s="38" t="n">
        <f aca="false">IF(NOT(Tasks[[#This Row],[_IsLeaf]]=1),0,IF(Tasks[[#This Row],[Baseline Cost]]="",Tasks[[#This Row],[_LeafTotalCost]],N(Tasks[[#This Row],[Baseline Cost]])))</f>
        <v>0</v>
      </c>
      <c r="EJ46" s="38" t="n">
        <f aca="false">Tasks[[#This Row],[_LeafBudget]]*Tasks[[#This Row],[_PlannedPct]]</f>
        <v>0</v>
      </c>
      <c r="EK46" s="38" t="n">
        <f aca="false">Tasks[[#This Row],[_LeafBudget]]*Tasks[[#This Row],[_LeafProgress]]</f>
        <v>0</v>
      </c>
      <c r="EL46" s="38" t="n">
        <f aca="false">IF(NOT(Tasks[[#This Row],[_IsLeaf]]=1),0,IF(Tasks[[#This Row],[Actual Cost]]="",Tasks[[#This Row],[_LeafTotalCost]]*Tasks[[#This Row],[_LeafProgress]],N(Tasks[[#This Row],[Actual Cost]])))</f>
        <v>0</v>
      </c>
      <c r="EM46" s="38" t="str">
        <f aca="false">IF(Tasks[[#This Row],[Task Name]]="","",LEFT(Tasks[[#This Row],[WBS]],FIND(".",Tasks[[#This Row],[WBS]]&amp;".")-1))</f>
        <v/>
      </c>
      <c r="EN46" s="38" t="str">
        <f aca="false">IF(AND(Tasks[[#This Row],[Task Name]]&lt;&gt;"",Tasks[[#This Row],[_Level]]=1),Tasks[[#This Row],[_Row]],"")</f>
        <v/>
      </c>
      <c r="EO46" s="38" t="str">
        <f aca="false">IF(AND(Tasks[[#This Row],[_IsLeaf]]=1,N(Tasks[[#This Row],[Duration]])=0),Tasks[[#This Row],[Planned Finish]]+Tasks[[#This Row],[_Row]]/100000,"")</f>
        <v/>
      </c>
      <c r="EP46" s="38" t="str">
        <f aca="false">IF(AND(Tasks[[#This Row],[_IsLeaf]]=1,Tasks[[#This Row],[_LeafProgress]]&lt;1,OR(N(Tasks[[#This Row],[Finish Var]])&gt;0,Tasks[[#This Row],[Status]]="Late Start")),MAX(0,Tasks[[#This Row],[Finish Var]])+1-Tasks[[#This Row],[_Row]]/1000000,"")</f>
        <v/>
      </c>
      <c r="EQ46" s="38" t="str">
        <f aca="false">IF(AND(Tasks[[#This Row],[_IsLeaf]]=1,N(Tasks[[#This Row],[Actual Start]])=0,Tasks[[#This Row],[_ShownFcstStart]]&gt;=StatusDate,Tasks[[#This Row],[_ShownFcstStart]]&lt;=LookaheadEnd),Tasks[[#This Row],[_ShownFcstStart]]+Tasks[[#This Row],[_Row]]/100000,"")</f>
        <v/>
      </c>
      <c r="ER46" s="38" t="str">
        <f aca="false">IF(AND(Tasks[[#This Row],[_IsLeaf]]=1,Tasks[[#This Row],[_LeafProgress]]&lt;1,Tasks[[#This Row],[_ShownFcstFinish]]&gt;=StatusDate,Tasks[[#This Row],[_ShownFcstFinish]]&lt;=LookaheadEnd),Tasks[[#This Row],[_ShownFcstFinish]]+Tasks[[#This Row],[_Row]]/100000,"")</f>
        <v/>
      </c>
      <c r="ES46" s="38" t="str">
        <f aca="false">IF(Tasks[[#This Row],[_LeafCritical]],Tasks[[#This Row],[_ShownFcstStart]]+Tasks[[#This Row],[_Row]]/100000,"")</f>
        <v/>
      </c>
      <c r="ET46" s="38" t="n">
        <f aca="false">Tasks[[#This Row],[_LeafWork]]*Tasks[[#This Row],[_LeafProgress]]</f>
        <v>0</v>
      </c>
      <c r="EU46" s="115" t="str">
        <f aca="false">IF(AND(Tasks[[#This Row],[_IsLeaf]]=1,Tasks[[#This Row],[_LeafProgress]]&gt;=1),IF(N(Tasks[[#This Row],[Actual Finish]])&gt;0,Tasks[[#This Row],[Actual Finish]],Tasks[[#This Row],[_ShownFcstFinish]]),"")</f>
        <v/>
      </c>
      <c r="EV46" s="38" t="n">
        <f aca="false">IF(Tasks[[#This Row],[_IsLeaf]]=1,N(Tasks[[#This Row],[Story Points]]),0)</f>
        <v>0</v>
      </c>
      <c r="EW46" s="38" t="str">
        <f aca="false">IF(AND(Tasks[[#This Row],[_IsLeaf]]=1,CurrentSprint&lt;&gt;"",Tasks[[#This Row],[Sprint]]=CurrentSprint),Tasks[[#This Row],[_Row]],"")</f>
        <v/>
      </c>
    </row>
    <row r="47" customFormat="false" ht="15" hidden="false" customHeight="false" outlineLevel="0" collapsed="false">
      <c r="A47" s="51" t="str">
        <f aca="false">IF(Tasks[[#This Row],[Task Name]]="","",COUNTA(Tasks[[#Headers],[Task Name]]:Tasks[[#This Row],[Task Name]])-1)</f>
        <v/>
      </c>
      <c r="B47" s="52" t="n">
        <v>42</v>
      </c>
      <c r="C4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52"/>
      <c r="E47" s="53"/>
      <c r="F47" s="52"/>
      <c r="G47" s="52"/>
      <c r="H47" s="52"/>
      <c r="I47" s="52"/>
      <c r="J47" s="52"/>
      <c r="K47" s="52"/>
      <c r="L47" s="52"/>
      <c r="M47" s="52"/>
      <c r="N47" s="52"/>
      <c r="O47" s="52"/>
      <c r="P47" s="52"/>
      <c r="Q47" s="52"/>
      <c r="R47" s="52"/>
      <c r="S47" s="53"/>
      <c r="T47" s="102"/>
      <c r="U47" s="102"/>
      <c r="V47" s="7"/>
      <c r="W47" s="7"/>
      <c r="X47" s="53"/>
      <c r="Y47" s="31" t="str">
        <f aca="false">IF(Tasks[[#This Row],[Task Name]]="","",IF(Tasks[[#This Row],[_IsSummary]],MIN(INDEX(Tasks[_ShownFcstStart],Tasks[[#This Row],[_Row]]+1):INDEX(Tasks[_ShownFcstStart],Tasks[[#This Row],[_Row]]+Tasks[[#This Row],[_Descendants]])),Tasks[[#This Row],[_ShownFcstStart]]))</f>
        <v/>
      </c>
      <c r="Z47" s="31" t="str">
        <f aca="false">IF(Tasks[[#This Row],[Task Name]]="","",IF(Tasks[[#This Row],[_IsSummary]],MAX(INDEX(Tasks[_ShownFcstFinish],Tasks[[#This Row],[_Row]]+1):INDEX(Tasks[_ShownFcstFinish],Tasks[[#This Row],[_Row]]+Tasks[[#This Row],[_Descendants]])),Tasks[[#This Row],[_ShownFcstFinish]]))</f>
        <v/>
      </c>
      <c r="AA47" s="51" t="str">
        <f aca="false">IF(Tasks[[#This Row],[Task Name]]="","",IF(Tasks[[#This Row],[Progress]]&gt;=1,"Complete",IF(OR(N(Tasks[[#This Row],[Actual Start]])&gt;0,Tasks[[#This Row],[Progress]]&gt;0),IF(Tasks[[#This Row],[Finish Var]]&gt;0,"Behind","In Progress"),IF(Tasks[[#This Row],[Planned Start]]&lt;StatusDate,"Late Start","Not Started"))))</f>
        <v/>
      </c>
      <c r="AB47" s="51" t="str">
        <f aca="false">IF(Tasks[[#This Row],[Task Name]]="","",IF(IF(Tasks[[#This Row],[_IsSummary]],COUNTIF(INDEX(Tasks[_LeafCritical],Tasks[[#This Row],[_Row]]+1):INDEX(Tasks[_LeafCritical],Tasks[[#This Row],[_Row]]+Tasks[[#This Row],[_Descendants]]),TRUE())&gt;0,Tasks[[#This Row],[_LeafCritical]]),"Yes",""))</f>
        <v/>
      </c>
      <c r="AC4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7" s="51" t="str">
        <f aca="false">IF(Tasks[[#This Row],[Task Name]]="","",IF(Tasks[[#This Row],[_Level]]&lt;=OutlineShowLevel,"Yes","No"))</f>
        <v/>
      </c>
      <c r="AE47" s="7"/>
      <c r="AF47" s="52"/>
      <c r="AG47" s="53"/>
      <c r="AH47" s="7"/>
      <c r="AI4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7" s="31" t="str">
        <f aca="false">IF(Tasks[[#This Row],[Task Name]]="","",IF(N(Tasks[[#This Row],[Baseline Start]])&gt;0,Tasks[[#This Row],[Baseline Start]],Tasks[[#This Row],[_CalcStart]]))</f>
        <v/>
      </c>
      <c r="AK47" s="31" t="str">
        <f aca="false">IF(Tasks[[#This Row],[Task Name]]="","",IF(N(Tasks[[#This Row],[Baseline Finish]])&gt;0,Tasks[[#This Row],[Baseline Finish]],Tasks[[#This Row],[_CalcFinish]]))</f>
        <v/>
      </c>
      <c r="AL4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7" s="31" t="str">
        <f aca="false">IF(Tasks[[#This Row],[Task Name]]="","",IF(Tasks[[#This Row],[_IsSummary]],MIN(INDEX(Tasks[_LeafLateStart],Tasks[[#This Row],[_Row]]+1):INDEX(Tasks[_LeafLateStart],Tasks[[#This Row],[_Row]]+Tasks[[#This Row],[_Descendants]])),Tasks[[#This Row],[_LeafLateStart]]))</f>
        <v/>
      </c>
      <c r="AN47" s="31" t="str">
        <f aca="false">IF(Tasks[[#This Row],[Task Name]]="","",IF(Tasks[[#This Row],[_IsSummary]],MAX(INDEX(Tasks[_LeafLateFinish],Tasks[[#This Row],[_Row]]+1):INDEX(Tasks[_LeafLateFinish],Tasks[[#This Row],[_Row]]+Tasks[[#This Row],[_Descendants]])),Tasks[[#This Row],[_LeafLateFinish]]))</f>
        <v/>
      </c>
      <c r="AO47" s="51" t="str">
        <f aca="false">IF(Tasks[[#This Row],[Task Name]]="","",IF(Tasks[[#This Row],[_IsSummary]],MIN(INDEX(Tasks[_LeafTotalSlack],Tasks[[#This Row],[_Row]]+1):INDEX(Tasks[_LeafTotalSlack],Tasks[[#This Row],[_Row]]+Tasks[[#This Row],[_Descendants]])),Tasks[[#This Row],[_LeafTotalSlack]]))</f>
        <v/>
      </c>
      <c r="AP4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7" s="110" t="str">
        <f aca="false">IF(Tasks[[#This Row],[Task Name]]="","",IF(Tasks[[#This Row],[_IsSummary]],SUM(INDEX(Tasks[_LeafTotalWork],Tasks[[#This Row],[_Row]]+1):INDEX(Tasks[_LeafTotalWork],Tasks[[#This Row],[_Row]]+Tasks[[#This Row],[_Descendants]])),Tasks[[#This Row],[_LeafTotalWork]]))</f>
        <v/>
      </c>
      <c r="AV4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7" s="111" t="str">
        <f aca="false">IF(Tasks[[#This Row],[Task Name]]="","",IF(Tasks[[#This Row],[_IsSummary]],SUM(INDEX(Tasks[_LeafTotalCost],Tasks[[#This Row],[_Row]]+1):INDEX(Tasks[_LeafTotalCost],Tasks[[#This Row],[_Row]]+Tasks[[#This Row],[_Descendants]])),Tasks[[#This Row],[_LeafTotalCost]]))</f>
        <v/>
      </c>
      <c r="AY47" s="112"/>
      <c r="AZ4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7" s="52"/>
      <c r="BB47" s="98"/>
      <c r="BC47" s="51" t="str">
        <f aca="false">IF(OR(Tasks[[#This Row],[Task Name]]="",Tasks[[#This Row],[Baseline Duration]]=""),"",Tasks[[#This Row],[BL Source Duration]]-N(Tasks[[#This Row],[Baseline Duration]]))</f>
        <v/>
      </c>
      <c r="BD47" s="110" t="str">
        <f aca="false">IF(OR(Tasks[[#This Row],[Task Name]]="",Tasks[[#This Row],[Baseline Work]]=""),"",Tasks[[#This Row],[Work]]-N(Tasks[[#This Row],[Baseline Work]]))</f>
        <v/>
      </c>
      <c r="BE47" s="111" t="str">
        <f aca="false">IF(OR(Tasks[[#This Row],[Task Name]]="",Tasks[[#This Row],[Baseline Cost]]=""),"",Tasks[[#This Row],[Cost]]-N(Tasks[[#This Row],[Baseline Cost]]))</f>
        <v/>
      </c>
      <c r="BF47" s="31" t="str">
        <f aca="false">IF(Tasks[[#This Row],[Task Name]]="","",Tasks[[#This Row],[Forecast Start]])</f>
        <v/>
      </c>
      <c r="BG47" s="31" t="str">
        <f aca="false">IF(Tasks[[#This Row],[Task Name]]="","",Tasks[[#This Row],[Forecast Finish]])</f>
        <v/>
      </c>
      <c r="BH47" s="51" t="str">
        <f aca="false">IF(Tasks[[#This Row],[Task Name]]="","",IF(Tasks[[#This Row],[_IsSummary]],NETWORKDAYS.INTL(Tasks[[#This Row],[Forecast Start]],Tasks[[#This Row],[Forecast Finish]],WorkWeek,Holidays),N(Tasks[[#This Row],[Duration]])))</f>
        <v/>
      </c>
      <c r="BI47" s="110" t="str">
        <f aca="false">IF(Tasks[[#This Row],[Task Name]]="","",Tasks[[#This Row],[Work]])</f>
        <v/>
      </c>
      <c r="BJ47" s="111" t="str">
        <f aca="false">IF(Tasks[[#This Row],[Task Name]]="","",Tasks[[#This Row],[Cost]])</f>
        <v/>
      </c>
      <c r="BK47" s="7"/>
      <c r="BL47" s="7"/>
      <c r="BM47" s="52"/>
      <c r="BN47" s="113"/>
      <c r="BO47" s="112"/>
      <c r="BP47" s="111" t="str">
        <f aca="false">IF(Tasks[[#This Row],[Task Name]]="","",IF(Tasks[[#This Row],[_IsSummary]],SUM(INDEX(Tasks[_LeafEV],Tasks[[#This Row],[_Row]]+1):INDEX(Tasks[_LeafEV],Tasks[[#This Row],[_Row]]+Tasks[[#This Row],[_Descendants]])),Tasks[[#This Row],[_LeafEV]]))</f>
        <v/>
      </c>
      <c r="BQ47" s="111" t="str">
        <f aca="false">IF(Tasks[[#This Row],[Task Name]]="","",IF(Tasks[[#This Row],[_IsSummary]],SUM(INDEX(Tasks[_LeafBudget],Tasks[[#This Row],[_Row]]+1):INDEX(Tasks[_LeafBudget],Tasks[[#This Row],[_Row]]+Tasks[[#This Row],[_Descendants]])),Tasks[[#This Row],[_LeafBudget]]))</f>
        <v/>
      </c>
      <c r="BR47" s="111" t="str">
        <f aca="false">IF(Tasks[[#This Row],[Task Name]]="","",IF(Tasks[[#This Row],[_IsSummary]],SUM(INDEX(Tasks[_LeafPV],Tasks[[#This Row],[_Row]]+1):INDEX(Tasks[_LeafPV],Tasks[[#This Row],[_Row]]+Tasks[[#This Row],[_Descendants]])),Tasks[[#This Row],[_LeafPV]]))</f>
        <v/>
      </c>
      <c r="BS47" s="111" t="str">
        <f aca="false">IF(Tasks[[#This Row],[Task Name]]="","",IF(Tasks[[#This Row],[_IsSummary]],SUM(INDEX(Tasks[_LeafAC],Tasks[[#This Row],[_Row]]+1):INDEX(Tasks[_LeafAC],Tasks[[#This Row],[_Row]]+Tasks[[#This Row],[_Descendants]])),Tasks[[#This Row],[_LeafAC]]))</f>
        <v/>
      </c>
      <c r="BT47" s="38" t="str">
        <f aca="false">IF(Tasks[[#This Row],[Task Name]]="","",MAX(1,N(Tasks[[#This Row],[Level]])))</f>
        <v/>
      </c>
      <c r="BU47" s="38" t="n">
        <f aca="false">ROW()-ROW(Tasks[[#Headers],[ID]])</f>
        <v>42</v>
      </c>
      <c r="BV47" s="38" t="n">
        <f aca="false">IF(OR(Tasks[[#This Row],[Task Name]]="",Tasks[[#This Row],[_Level]]&lt;=1),0,IFERROR(LOOKUP(2,1/(Tasks[[#Headers],[_Level]]:Tasks[[#This Row],[_Level]]=Tasks[[#This Row],[_Level]]-1),ROW(Tasks[[#Headers],[_Level]]:Tasks[[#This Row],[_Level]])),0))</f>
        <v>0</v>
      </c>
      <c r="BW47" s="38" t="n">
        <f aca="false">IFERROR(N(INDEX(Tasks[_Level],Tasks[[#This Row],[_Row]]+1)),0)</f>
        <v>0</v>
      </c>
      <c r="BX47" s="114" t="b">
        <f aca="false">AND(Tasks[[#This Row],[Task Name]]&lt;&gt;"",Tasks[[#This Row],[_NextLevel]]&gt;Tasks[[#This Row],[_Level]])</f>
        <v>0</v>
      </c>
      <c r="BY47" s="38" t="n">
        <f aca="false">IF(Tasks[[#This Row],[_IsSummary]],COUNTIF(Tasks[WBS],Tasks[[#This Row],[WBS]]&amp;".*"),0)</f>
        <v>0</v>
      </c>
      <c r="BZ47" s="38" t="n">
        <f aca="false">IF(AND(Tasks[[#This Row],[Task Name]]&lt;&gt;"",NOT(Tasks[[#This Row],[_IsSummary]])),1,0)</f>
        <v>0</v>
      </c>
      <c r="CA47" s="38" t="n">
        <f aca="false">IF(N(Tasks[[#This Row],[Pred1 UID]])=0,0,IFERROR(MATCH(Tasks[[#This Row],[Pred1 UID]],Tasks[UID],0),-1))</f>
        <v>0</v>
      </c>
      <c r="CB47" s="38" t="n">
        <f aca="false">IF(N(Tasks[[#This Row],[Pred2 UID]])=0,0,IFERROR(MATCH(Tasks[[#This Row],[Pred2 UID]],Tasks[UID],0),-1))</f>
        <v>0</v>
      </c>
      <c r="CC47" s="38" t="n">
        <f aca="false">IF(N(Tasks[[#This Row],[Pred3 UID]])=0,0,IFERROR(MATCH(Tasks[[#This Row],[Pred3 UID]],Tasks[UID],0),-1))</f>
        <v>0</v>
      </c>
      <c r="CD47" s="38" t="n">
        <f aca="false">IF(N(Tasks[[#This Row],[Pred4 UID]])=0,0,IFERROR(MATCH(Tasks[[#This Row],[Pred4 UID]],Tasks[UID],0),-1))</f>
        <v>0</v>
      </c>
      <c r="CE4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7" s="115" t="n">
        <f aca="false">IF(OR(Tasks[[#This Row],[_ConstraintCode]]=2,Tasks[[#This Row],[_ConstraintCode]]=3,Tasks[[#This Row],[_ConstraintCode]]=4,Tasks[[#This Row],[_ConstraintCode]]=6),Tasks[[#This Row],[_ConstraintStart]],0)</f>
        <v>0</v>
      </c>
      <c r="CH47" s="115" t="n">
        <f aca="false">IF(OR(Tasks[[#This Row],[_ConstraintCode]]=2,Tasks[[#This Row],[_ConstraintCode]]=3,Tasks[[#This Row],[_ConstraintCode]]=5,Tasks[[#This Row],[_ConstraintCode]]=7),Tasks[[#This Row],[_ConstraintStart]],2958465)</f>
        <v>2958465</v>
      </c>
      <c r="CI4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7" s="115" t="str">
        <f aca="false">IF(NOT(Tasks[[#This Row],[_IsLeaf]]=1),"",IF(N(Tasks[[#This Row],[Duration]])&lt;=0,Tasks[[#This Row],[_LeafCalcStart]],WORKDAY.INTL(Tasks[[#This Row],[_LeafCalcStart]],Tasks[[#This Row],[Duration]]-1,WorkWeek,Holidays)))</f>
        <v/>
      </c>
      <c r="CK4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7" s="38" t="n">
        <f aca="false">IF(NOT(Tasks[[#This Row],[_IsLeaf]]=1),0,IF(N(Tasks[[#This Row],[Actual Finish]])&gt;0,1,MIN(1,N(Tasks[[#This Row],[% Complete]]))))</f>
        <v>0</v>
      </c>
      <c r="CN47" s="38" t="n">
        <f aca="false">IF(OR(NOT(Tasks[[#This Row],[_IsLeaf]]=1),Tasks[[#This Row],[Resource]]=""),0,N(Tasks[[#This Row],[Duration]])*HoursPerDay*IF(Tasks[[#This Row],[Units]]="",DefaultUnits,Tasks[[#This Row],[Units]]))</f>
        <v>0</v>
      </c>
      <c r="CO47" s="38" t="n">
        <f aca="false">IF(Tasks[[#This Row],[_LeafWork]]=0,0,Tasks[[#This Row],[_LeafWork]]*IFERROR(INDEX(res_Rate,MATCH(Tasks[[#This Row],[Resource]],res_Name,0)),0))</f>
        <v>0</v>
      </c>
      <c r="CP47" s="38" t="n">
        <f aca="false">Tasks[[#This Row],[_LeafWork]]+IF(Tasks[[#This Row],[_IsLeaf]]=1,SUMIFS(asg_Work,asg_TaskUID,Tasks[[#This Row],[UID]],asg_Valid,1),0)</f>
        <v>0</v>
      </c>
      <c r="CQ47" s="38" t="n">
        <f aca="false">Tasks[[#This Row],[_LeafCost]]+IF(Tasks[[#This Row],[_IsLeaf]]=1,SUMIFS(asg_Cost,asg_TaskUID,Tasks[[#This Row],[UID]],asg_Valid,1),0)</f>
        <v>0</v>
      </c>
      <c r="CR47" s="38" t="n">
        <f aca="false">IF(Tasks[[#This Row],[_LeafTotalCost]]=0,Tasks[[#This Row],[_LeafAC]],Tasks[[#This Row],[_LeafAC]]*Tasks[[#This Row],[_LeafCost]]/Tasks[[#This Row],[_LeafTotalCost]])</f>
        <v>0</v>
      </c>
      <c r="CS4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7" s="38" t="n">
        <f aca="false">IF(NOT(Tasks[[#This Row],[_IsLeaf]]=1),0,MAX(_xlfn.MAXIFS(Tasks[_Row],Tasks[Pred1 UID],Tasks[[#This Row],[UID]]),_xlfn.MAXIFS(Tasks[_Row],Tasks[Pred2 UID],Tasks[[#This Row],[UID]]),_xlfn.MAXIFS(Tasks[_Row],Tasks[Pred3 UID],Tasks[[#This Row],[UID]]),_xlfn.MAXIFS(Tasks[_Row],Tasks[Pred4 UID],Tasks[[#This Row],[UID]])))</f>
        <v>0</v>
      </c>
      <c r="DB4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7" s="115" t="str">
        <f aca="false">IF(NOT(Tasks[[#This Row],[_IsLeaf]]=1),"",IF(N(Tasks[[#This Row],[Duration]])&lt;=0,Tasks[[#This Row],[_LeafLateFinish]],WORKDAY.INTL(Tasks[[#This Row],[_LeafLateFinish]],-(Tasks[[#This Row],[Duration]]-1),WorkWeek,Holidays)))</f>
        <v/>
      </c>
      <c r="DE4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7" s="114" t="b">
        <f aca="false">AND(Tasks[[#This Row],[_IsLeaf]]=1,Tasks[[#This Row],[_LeafProgress]]&lt;1,N(Tasks[[#This Row],[_LeafTotalSlack]])&lt;=CriticalSlackDays)</f>
        <v>0</v>
      </c>
      <c r="DG47" s="38" t="n">
        <f aca="false">IF(AND(Tasks[[#This Row],[_IsLeaf]]=1,Tasks[[#This Row],[_ConstraintCode]]=1,Tasks[[#This Row],[Mode]]&lt;&gt;"Manual",N(Tasks[[#This Row],[Actual Start]])=0),MAX(0,N(Tasks[[#This Row],[Free Slack]])),0)</f>
        <v>0</v>
      </c>
      <c r="DH47" s="115" t="str">
        <f aca="false">IF(NOT(Tasks[[#This Row],[_IsLeaf]]=1),"",IF(Tasks[[#This Row],[_AlapShift]]=0,Tasks[[#This Row],[_LeafCalcStart]],WORKDAY.INTL(Tasks[[#This Row],[_LeafCalcStart]],Tasks[[#This Row],[_AlapShift]],WorkWeek,Holidays)))</f>
        <v/>
      </c>
      <c r="DI47" s="115" t="str">
        <f aca="false">IF(NOT(Tasks[[#This Row],[_IsLeaf]]=1),"",IF(Tasks[[#This Row],[_AlapShift]]=0,Tasks[[#This Row],[_LeafCalcFinish]],WORKDAY.INTL(Tasks[[#This Row],[_LeafCalcFinish]],Tasks[[#This Row],[_AlapShift]],WorkWeek,Holidays)))</f>
        <v/>
      </c>
      <c r="DJ47" s="115" t="str">
        <f aca="false">IF(NOT(Tasks[[#This Row],[_IsLeaf]]=1),"",IF(Tasks[[#This Row],[_AlapShift]]=0,Tasks[[#This Row],[_LeafFcstStart]],WORKDAY.INTL(Tasks[[#This Row],[_LeafFcstStart]],Tasks[[#This Row],[_AlapShift]],WorkWeek,Holidays)))</f>
        <v/>
      </c>
      <c r="DK47" s="115" t="str">
        <f aca="false">IF(NOT(Tasks[[#This Row],[_IsLeaf]]=1),"",IF(Tasks[[#This Row],[_AlapShift]]=0,Tasks[[#This Row],[_LeafFcstFinish]],WORKDAY.INTL(Tasks[[#This Row],[_LeafFcstFinish]],Tasks[[#This Row],[_AlapShift]],WorkWeek,Holidays)))</f>
        <v/>
      </c>
      <c r="DL47" s="115" t="str">
        <f aca="false">IF(Tasks[[#This Row],[Task Name]]="","",IF(Tasks[[#This Row],[_IsSummary]],MIN(INDEX(Tasks[_ShownCalcStart],Tasks[[#This Row],[_Row]]+1):INDEX(Tasks[_ShownCalcStart],Tasks[[#This Row],[_Row]]+Tasks[[#This Row],[_Descendants]])),Tasks[[#This Row],[_ShownCalcStart]]))</f>
        <v/>
      </c>
      <c r="DM47" s="115" t="str">
        <f aca="false">IF(Tasks[[#This Row],[Task Name]]="","",IF(Tasks[[#This Row],[_IsSummary]],MAX(INDEX(Tasks[_ShownCalcFinish],Tasks[[#This Row],[_Row]]+1):INDEX(Tasks[_ShownCalcFinish],Tasks[[#This Row],[_Row]]+Tasks[[#This Row],[_Descendants]])),Tasks[[#This Row],[_ShownCalcFinish]]))</f>
        <v/>
      </c>
      <c r="DN4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7" s="38" t="n">
        <f aca="false">IF(AND(Tasks[[#This Row],[_IsLeaf]]=1,Tasks[[#This Row],[_LeafTotalWork]]&gt;0),NETWORKDAYS.INTL(ProjectStart,Tasks[[#This Row],[_ShownFcstStart]],WorkWeek,Holidays),0)</f>
        <v>0</v>
      </c>
      <c r="EA47" s="38" t="n">
        <f aca="false">IF(AND(Tasks[[#This Row],[_IsLeaf]]=1,Tasks[[#This Row],[_LeafTotalWork]]&gt;0),MAX(Tasks[[#This Row],[_StartWorkday]],NETWORKDAYS.INTL(ProjectStart,Tasks[[#This Row],[_ShownFcstFinish]],WorkWeek,Holidays)),0)</f>
        <v>0</v>
      </c>
      <c r="EB47" s="38" t="n">
        <f aca="false">IF(AND(Tasks[[#This Row],[_IsLeaf]]=1,Tasks[[#This Row],[_LeafTotalWork]]&gt;0),Tasks[[#This Row],[_LeafWork]]/(Tasks[[#This Row],[_FinishWorkday]]-Tasks[[#This Row],[_StartWorkday]]+1),0)</f>
        <v>0</v>
      </c>
      <c r="EC47" s="38" t="n">
        <f aca="false">Tasks[[#This Row],[_WorkPerWorkday]]*(Tasks[[#This Row],[_StartWorkday]]-1)</f>
        <v>-0</v>
      </c>
      <c r="ED47" s="38" t="n">
        <f aca="false">IF(Tasks[[#This Row],[_IsLeaf]]=1,MAX(N(Tasks[[#This Row],[Duration]]),0.1),0)</f>
        <v>0</v>
      </c>
      <c r="EE47" s="38" t="n">
        <f aca="false">Tasks[[#This Row],[_WeightDur]]*Tasks[[#This Row],[_LeafProgress]]</f>
        <v>0</v>
      </c>
      <c r="EF4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7" s="38" t="str">
        <f aca="false">IF(AND(Tasks[[#This Row],[_IsLeaf]]=1,N(Tasks[[#This Row],[Duration]])=0,Tasks[[#This Row],[_LeafProgress]]&lt;1),Tasks[[#This Row],[_ShownFcstFinish]]+Tasks[[#This Row],[_Row]]/100000,"")</f>
        <v/>
      </c>
      <c r="EH4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7" s="38" t="n">
        <f aca="false">IF(NOT(Tasks[[#This Row],[_IsLeaf]]=1),0,IF(Tasks[[#This Row],[Baseline Cost]]="",Tasks[[#This Row],[_LeafTotalCost]],N(Tasks[[#This Row],[Baseline Cost]])))</f>
        <v>0</v>
      </c>
      <c r="EJ47" s="38" t="n">
        <f aca="false">Tasks[[#This Row],[_LeafBudget]]*Tasks[[#This Row],[_PlannedPct]]</f>
        <v>0</v>
      </c>
      <c r="EK47" s="38" t="n">
        <f aca="false">Tasks[[#This Row],[_LeafBudget]]*Tasks[[#This Row],[_LeafProgress]]</f>
        <v>0</v>
      </c>
      <c r="EL47" s="38" t="n">
        <f aca="false">IF(NOT(Tasks[[#This Row],[_IsLeaf]]=1),0,IF(Tasks[[#This Row],[Actual Cost]]="",Tasks[[#This Row],[_LeafTotalCost]]*Tasks[[#This Row],[_LeafProgress]],N(Tasks[[#This Row],[Actual Cost]])))</f>
        <v>0</v>
      </c>
      <c r="EM47" s="38" t="str">
        <f aca="false">IF(Tasks[[#This Row],[Task Name]]="","",LEFT(Tasks[[#This Row],[WBS]],FIND(".",Tasks[[#This Row],[WBS]]&amp;".")-1))</f>
        <v/>
      </c>
      <c r="EN47" s="38" t="str">
        <f aca="false">IF(AND(Tasks[[#This Row],[Task Name]]&lt;&gt;"",Tasks[[#This Row],[_Level]]=1),Tasks[[#This Row],[_Row]],"")</f>
        <v/>
      </c>
      <c r="EO47" s="38" t="str">
        <f aca="false">IF(AND(Tasks[[#This Row],[_IsLeaf]]=1,N(Tasks[[#This Row],[Duration]])=0),Tasks[[#This Row],[Planned Finish]]+Tasks[[#This Row],[_Row]]/100000,"")</f>
        <v/>
      </c>
      <c r="EP47" s="38" t="str">
        <f aca="false">IF(AND(Tasks[[#This Row],[_IsLeaf]]=1,Tasks[[#This Row],[_LeafProgress]]&lt;1,OR(N(Tasks[[#This Row],[Finish Var]])&gt;0,Tasks[[#This Row],[Status]]="Late Start")),MAX(0,Tasks[[#This Row],[Finish Var]])+1-Tasks[[#This Row],[_Row]]/1000000,"")</f>
        <v/>
      </c>
      <c r="EQ47" s="38" t="str">
        <f aca="false">IF(AND(Tasks[[#This Row],[_IsLeaf]]=1,N(Tasks[[#This Row],[Actual Start]])=0,Tasks[[#This Row],[_ShownFcstStart]]&gt;=StatusDate,Tasks[[#This Row],[_ShownFcstStart]]&lt;=LookaheadEnd),Tasks[[#This Row],[_ShownFcstStart]]+Tasks[[#This Row],[_Row]]/100000,"")</f>
        <v/>
      </c>
      <c r="ER47" s="38" t="str">
        <f aca="false">IF(AND(Tasks[[#This Row],[_IsLeaf]]=1,Tasks[[#This Row],[_LeafProgress]]&lt;1,Tasks[[#This Row],[_ShownFcstFinish]]&gt;=StatusDate,Tasks[[#This Row],[_ShownFcstFinish]]&lt;=LookaheadEnd),Tasks[[#This Row],[_ShownFcstFinish]]+Tasks[[#This Row],[_Row]]/100000,"")</f>
        <v/>
      </c>
      <c r="ES47" s="38" t="str">
        <f aca="false">IF(Tasks[[#This Row],[_LeafCritical]],Tasks[[#This Row],[_ShownFcstStart]]+Tasks[[#This Row],[_Row]]/100000,"")</f>
        <v/>
      </c>
      <c r="ET47" s="38" t="n">
        <f aca="false">Tasks[[#This Row],[_LeafWork]]*Tasks[[#This Row],[_LeafProgress]]</f>
        <v>0</v>
      </c>
      <c r="EU47" s="115" t="str">
        <f aca="false">IF(AND(Tasks[[#This Row],[_IsLeaf]]=1,Tasks[[#This Row],[_LeafProgress]]&gt;=1),IF(N(Tasks[[#This Row],[Actual Finish]])&gt;0,Tasks[[#This Row],[Actual Finish]],Tasks[[#This Row],[_ShownFcstFinish]]),"")</f>
        <v/>
      </c>
      <c r="EV47" s="38" t="n">
        <f aca="false">IF(Tasks[[#This Row],[_IsLeaf]]=1,N(Tasks[[#This Row],[Story Points]]),0)</f>
        <v>0</v>
      </c>
      <c r="EW47" s="38" t="str">
        <f aca="false">IF(AND(Tasks[[#This Row],[_IsLeaf]]=1,CurrentSprint&lt;&gt;"",Tasks[[#This Row],[Sprint]]=CurrentSprint),Tasks[[#This Row],[_Row]],"")</f>
        <v/>
      </c>
    </row>
    <row r="48" customFormat="false" ht="15" hidden="false" customHeight="false" outlineLevel="0" collapsed="false">
      <c r="A48" s="51" t="str">
        <f aca="false">IF(Tasks[[#This Row],[Task Name]]="","",COUNTA(Tasks[[#Headers],[Task Name]]:Tasks[[#This Row],[Task Name]])-1)</f>
        <v/>
      </c>
      <c r="B48" s="52" t="n">
        <v>43</v>
      </c>
      <c r="C4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52"/>
      <c r="E48" s="53"/>
      <c r="F48" s="52"/>
      <c r="G48" s="52"/>
      <c r="H48" s="52"/>
      <c r="I48" s="52"/>
      <c r="J48" s="52"/>
      <c r="K48" s="52"/>
      <c r="L48" s="52"/>
      <c r="M48" s="52"/>
      <c r="N48" s="52"/>
      <c r="O48" s="52"/>
      <c r="P48" s="52"/>
      <c r="Q48" s="52"/>
      <c r="R48" s="52"/>
      <c r="S48" s="53"/>
      <c r="T48" s="102"/>
      <c r="U48" s="102"/>
      <c r="V48" s="7"/>
      <c r="W48" s="7"/>
      <c r="X48" s="53"/>
      <c r="Y48" s="31" t="str">
        <f aca="false">IF(Tasks[[#This Row],[Task Name]]="","",IF(Tasks[[#This Row],[_IsSummary]],MIN(INDEX(Tasks[_ShownFcstStart],Tasks[[#This Row],[_Row]]+1):INDEX(Tasks[_ShownFcstStart],Tasks[[#This Row],[_Row]]+Tasks[[#This Row],[_Descendants]])),Tasks[[#This Row],[_ShownFcstStart]]))</f>
        <v/>
      </c>
      <c r="Z48" s="31" t="str">
        <f aca="false">IF(Tasks[[#This Row],[Task Name]]="","",IF(Tasks[[#This Row],[_IsSummary]],MAX(INDEX(Tasks[_ShownFcstFinish],Tasks[[#This Row],[_Row]]+1):INDEX(Tasks[_ShownFcstFinish],Tasks[[#This Row],[_Row]]+Tasks[[#This Row],[_Descendants]])),Tasks[[#This Row],[_ShownFcstFinish]]))</f>
        <v/>
      </c>
      <c r="AA48" s="51" t="str">
        <f aca="false">IF(Tasks[[#This Row],[Task Name]]="","",IF(Tasks[[#This Row],[Progress]]&gt;=1,"Complete",IF(OR(N(Tasks[[#This Row],[Actual Start]])&gt;0,Tasks[[#This Row],[Progress]]&gt;0),IF(Tasks[[#This Row],[Finish Var]]&gt;0,"Behind","In Progress"),IF(Tasks[[#This Row],[Planned Start]]&lt;StatusDate,"Late Start","Not Started"))))</f>
        <v/>
      </c>
      <c r="AB48" s="51" t="str">
        <f aca="false">IF(Tasks[[#This Row],[Task Name]]="","",IF(IF(Tasks[[#This Row],[_IsSummary]],COUNTIF(INDEX(Tasks[_LeafCritical],Tasks[[#This Row],[_Row]]+1):INDEX(Tasks[_LeafCritical],Tasks[[#This Row],[_Row]]+Tasks[[#This Row],[_Descendants]]),TRUE())&gt;0,Tasks[[#This Row],[_LeafCritical]]),"Yes",""))</f>
        <v/>
      </c>
      <c r="AC4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8" s="51" t="str">
        <f aca="false">IF(Tasks[[#This Row],[Task Name]]="","",IF(Tasks[[#This Row],[_Level]]&lt;=OutlineShowLevel,"Yes","No"))</f>
        <v/>
      </c>
      <c r="AE48" s="7"/>
      <c r="AF48" s="52"/>
      <c r="AG48" s="53"/>
      <c r="AH48" s="7"/>
      <c r="AI4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8" s="31" t="str">
        <f aca="false">IF(Tasks[[#This Row],[Task Name]]="","",IF(N(Tasks[[#This Row],[Baseline Start]])&gt;0,Tasks[[#This Row],[Baseline Start]],Tasks[[#This Row],[_CalcStart]]))</f>
        <v/>
      </c>
      <c r="AK48" s="31" t="str">
        <f aca="false">IF(Tasks[[#This Row],[Task Name]]="","",IF(N(Tasks[[#This Row],[Baseline Finish]])&gt;0,Tasks[[#This Row],[Baseline Finish]],Tasks[[#This Row],[_CalcFinish]]))</f>
        <v/>
      </c>
      <c r="AL4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8" s="31" t="str">
        <f aca="false">IF(Tasks[[#This Row],[Task Name]]="","",IF(Tasks[[#This Row],[_IsSummary]],MIN(INDEX(Tasks[_LeafLateStart],Tasks[[#This Row],[_Row]]+1):INDEX(Tasks[_LeafLateStart],Tasks[[#This Row],[_Row]]+Tasks[[#This Row],[_Descendants]])),Tasks[[#This Row],[_LeafLateStart]]))</f>
        <v/>
      </c>
      <c r="AN48" s="31" t="str">
        <f aca="false">IF(Tasks[[#This Row],[Task Name]]="","",IF(Tasks[[#This Row],[_IsSummary]],MAX(INDEX(Tasks[_LeafLateFinish],Tasks[[#This Row],[_Row]]+1):INDEX(Tasks[_LeafLateFinish],Tasks[[#This Row],[_Row]]+Tasks[[#This Row],[_Descendants]])),Tasks[[#This Row],[_LeafLateFinish]]))</f>
        <v/>
      </c>
      <c r="AO48" s="51" t="str">
        <f aca="false">IF(Tasks[[#This Row],[Task Name]]="","",IF(Tasks[[#This Row],[_IsSummary]],MIN(INDEX(Tasks[_LeafTotalSlack],Tasks[[#This Row],[_Row]]+1):INDEX(Tasks[_LeafTotalSlack],Tasks[[#This Row],[_Row]]+Tasks[[#This Row],[_Descendants]])),Tasks[[#This Row],[_LeafTotalSlack]]))</f>
        <v/>
      </c>
      <c r="AP4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8" s="110" t="str">
        <f aca="false">IF(Tasks[[#This Row],[Task Name]]="","",IF(Tasks[[#This Row],[_IsSummary]],SUM(INDEX(Tasks[_LeafTotalWork],Tasks[[#This Row],[_Row]]+1):INDEX(Tasks[_LeafTotalWork],Tasks[[#This Row],[_Row]]+Tasks[[#This Row],[_Descendants]])),Tasks[[#This Row],[_LeafTotalWork]]))</f>
        <v/>
      </c>
      <c r="AV4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8" s="111" t="str">
        <f aca="false">IF(Tasks[[#This Row],[Task Name]]="","",IF(Tasks[[#This Row],[_IsSummary]],SUM(INDEX(Tasks[_LeafTotalCost],Tasks[[#This Row],[_Row]]+1):INDEX(Tasks[_LeafTotalCost],Tasks[[#This Row],[_Row]]+Tasks[[#This Row],[_Descendants]])),Tasks[[#This Row],[_LeafTotalCost]]))</f>
        <v/>
      </c>
      <c r="AY48" s="112"/>
      <c r="AZ4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8" s="52"/>
      <c r="BB48" s="98"/>
      <c r="BC48" s="51" t="str">
        <f aca="false">IF(OR(Tasks[[#This Row],[Task Name]]="",Tasks[[#This Row],[Baseline Duration]]=""),"",Tasks[[#This Row],[BL Source Duration]]-N(Tasks[[#This Row],[Baseline Duration]]))</f>
        <v/>
      </c>
      <c r="BD48" s="110" t="str">
        <f aca="false">IF(OR(Tasks[[#This Row],[Task Name]]="",Tasks[[#This Row],[Baseline Work]]=""),"",Tasks[[#This Row],[Work]]-N(Tasks[[#This Row],[Baseline Work]]))</f>
        <v/>
      </c>
      <c r="BE48" s="111" t="str">
        <f aca="false">IF(OR(Tasks[[#This Row],[Task Name]]="",Tasks[[#This Row],[Baseline Cost]]=""),"",Tasks[[#This Row],[Cost]]-N(Tasks[[#This Row],[Baseline Cost]]))</f>
        <v/>
      </c>
      <c r="BF48" s="31" t="str">
        <f aca="false">IF(Tasks[[#This Row],[Task Name]]="","",Tasks[[#This Row],[Forecast Start]])</f>
        <v/>
      </c>
      <c r="BG48" s="31" t="str">
        <f aca="false">IF(Tasks[[#This Row],[Task Name]]="","",Tasks[[#This Row],[Forecast Finish]])</f>
        <v/>
      </c>
      <c r="BH48" s="51" t="str">
        <f aca="false">IF(Tasks[[#This Row],[Task Name]]="","",IF(Tasks[[#This Row],[_IsSummary]],NETWORKDAYS.INTL(Tasks[[#This Row],[Forecast Start]],Tasks[[#This Row],[Forecast Finish]],WorkWeek,Holidays),N(Tasks[[#This Row],[Duration]])))</f>
        <v/>
      </c>
      <c r="BI48" s="110" t="str">
        <f aca="false">IF(Tasks[[#This Row],[Task Name]]="","",Tasks[[#This Row],[Work]])</f>
        <v/>
      </c>
      <c r="BJ48" s="111" t="str">
        <f aca="false">IF(Tasks[[#This Row],[Task Name]]="","",Tasks[[#This Row],[Cost]])</f>
        <v/>
      </c>
      <c r="BK48" s="7"/>
      <c r="BL48" s="7"/>
      <c r="BM48" s="52"/>
      <c r="BN48" s="113"/>
      <c r="BO48" s="112"/>
      <c r="BP48" s="111" t="str">
        <f aca="false">IF(Tasks[[#This Row],[Task Name]]="","",IF(Tasks[[#This Row],[_IsSummary]],SUM(INDEX(Tasks[_LeafEV],Tasks[[#This Row],[_Row]]+1):INDEX(Tasks[_LeafEV],Tasks[[#This Row],[_Row]]+Tasks[[#This Row],[_Descendants]])),Tasks[[#This Row],[_LeafEV]]))</f>
        <v/>
      </c>
      <c r="BQ48" s="111" t="str">
        <f aca="false">IF(Tasks[[#This Row],[Task Name]]="","",IF(Tasks[[#This Row],[_IsSummary]],SUM(INDEX(Tasks[_LeafBudget],Tasks[[#This Row],[_Row]]+1):INDEX(Tasks[_LeafBudget],Tasks[[#This Row],[_Row]]+Tasks[[#This Row],[_Descendants]])),Tasks[[#This Row],[_LeafBudget]]))</f>
        <v/>
      </c>
      <c r="BR48" s="111" t="str">
        <f aca="false">IF(Tasks[[#This Row],[Task Name]]="","",IF(Tasks[[#This Row],[_IsSummary]],SUM(INDEX(Tasks[_LeafPV],Tasks[[#This Row],[_Row]]+1):INDEX(Tasks[_LeafPV],Tasks[[#This Row],[_Row]]+Tasks[[#This Row],[_Descendants]])),Tasks[[#This Row],[_LeafPV]]))</f>
        <v/>
      </c>
      <c r="BS48" s="111" t="str">
        <f aca="false">IF(Tasks[[#This Row],[Task Name]]="","",IF(Tasks[[#This Row],[_IsSummary]],SUM(INDEX(Tasks[_LeafAC],Tasks[[#This Row],[_Row]]+1):INDEX(Tasks[_LeafAC],Tasks[[#This Row],[_Row]]+Tasks[[#This Row],[_Descendants]])),Tasks[[#This Row],[_LeafAC]]))</f>
        <v/>
      </c>
      <c r="BT48" s="38" t="str">
        <f aca="false">IF(Tasks[[#This Row],[Task Name]]="","",MAX(1,N(Tasks[[#This Row],[Level]])))</f>
        <v/>
      </c>
      <c r="BU48" s="38" t="n">
        <f aca="false">ROW()-ROW(Tasks[[#Headers],[ID]])</f>
        <v>43</v>
      </c>
      <c r="BV48" s="38" t="n">
        <f aca="false">IF(OR(Tasks[[#This Row],[Task Name]]="",Tasks[[#This Row],[_Level]]&lt;=1),0,IFERROR(LOOKUP(2,1/(Tasks[[#Headers],[_Level]]:Tasks[[#This Row],[_Level]]=Tasks[[#This Row],[_Level]]-1),ROW(Tasks[[#Headers],[_Level]]:Tasks[[#This Row],[_Level]])),0))</f>
        <v>0</v>
      </c>
      <c r="BW48" s="38" t="n">
        <f aca="false">IFERROR(N(INDEX(Tasks[_Level],Tasks[[#This Row],[_Row]]+1)),0)</f>
        <v>0</v>
      </c>
      <c r="BX48" s="114" t="b">
        <f aca="false">AND(Tasks[[#This Row],[Task Name]]&lt;&gt;"",Tasks[[#This Row],[_NextLevel]]&gt;Tasks[[#This Row],[_Level]])</f>
        <v>0</v>
      </c>
      <c r="BY48" s="38" t="n">
        <f aca="false">IF(Tasks[[#This Row],[_IsSummary]],COUNTIF(Tasks[WBS],Tasks[[#This Row],[WBS]]&amp;".*"),0)</f>
        <v>0</v>
      </c>
      <c r="BZ48" s="38" t="n">
        <f aca="false">IF(AND(Tasks[[#This Row],[Task Name]]&lt;&gt;"",NOT(Tasks[[#This Row],[_IsSummary]])),1,0)</f>
        <v>0</v>
      </c>
      <c r="CA48" s="38" t="n">
        <f aca="false">IF(N(Tasks[[#This Row],[Pred1 UID]])=0,0,IFERROR(MATCH(Tasks[[#This Row],[Pred1 UID]],Tasks[UID],0),-1))</f>
        <v>0</v>
      </c>
      <c r="CB48" s="38" t="n">
        <f aca="false">IF(N(Tasks[[#This Row],[Pred2 UID]])=0,0,IFERROR(MATCH(Tasks[[#This Row],[Pred2 UID]],Tasks[UID],0),-1))</f>
        <v>0</v>
      </c>
      <c r="CC48" s="38" t="n">
        <f aca="false">IF(N(Tasks[[#This Row],[Pred3 UID]])=0,0,IFERROR(MATCH(Tasks[[#This Row],[Pred3 UID]],Tasks[UID],0),-1))</f>
        <v>0</v>
      </c>
      <c r="CD48" s="38" t="n">
        <f aca="false">IF(N(Tasks[[#This Row],[Pred4 UID]])=0,0,IFERROR(MATCH(Tasks[[#This Row],[Pred4 UID]],Tasks[UID],0),-1))</f>
        <v>0</v>
      </c>
      <c r="CE4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8" s="115" t="n">
        <f aca="false">IF(OR(Tasks[[#This Row],[_ConstraintCode]]=2,Tasks[[#This Row],[_ConstraintCode]]=3,Tasks[[#This Row],[_ConstraintCode]]=4,Tasks[[#This Row],[_ConstraintCode]]=6),Tasks[[#This Row],[_ConstraintStart]],0)</f>
        <v>0</v>
      </c>
      <c r="CH48" s="115" t="n">
        <f aca="false">IF(OR(Tasks[[#This Row],[_ConstraintCode]]=2,Tasks[[#This Row],[_ConstraintCode]]=3,Tasks[[#This Row],[_ConstraintCode]]=5,Tasks[[#This Row],[_ConstraintCode]]=7),Tasks[[#This Row],[_ConstraintStart]],2958465)</f>
        <v>2958465</v>
      </c>
      <c r="CI4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8" s="115" t="str">
        <f aca="false">IF(NOT(Tasks[[#This Row],[_IsLeaf]]=1),"",IF(N(Tasks[[#This Row],[Duration]])&lt;=0,Tasks[[#This Row],[_LeafCalcStart]],WORKDAY.INTL(Tasks[[#This Row],[_LeafCalcStart]],Tasks[[#This Row],[Duration]]-1,WorkWeek,Holidays)))</f>
        <v/>
      </c>
      <c r="CK4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8" s="38" t="n">
        <f aca="false">IF(NOT(Tasks[[#This Row],[_IsLeaf]]=1),0,IF(N(Tasks[[#This Row],[Actual Finish]])&gt;0,1,MIN(1,N(Tasks[[#This Row],[% Complete]]))))</f>
        <v>0</v>
      </c>
      <c r="CN48" s="38" t="n">
        <f aca="false">IF(OR(NOT(Tasks[[#This Row],[_IsLeaf]]=1),Tasks[[#This Row],[Resource]]=""),0,N(Tasks[[#This Row],[Duration]])*HoursPerDay*IF(Tasks[[#This Row],[Units]]="",DefaultUnits,Tasks[[#This Row],[Units]]))</f>
        <v>0</v>
      </c>
      <c r="CO48" s="38" t="n">
        <f aca="false">IF(Tasks[[#This Row],[_LeafWork]]=0,0,Tasks[[#This Row],[_LeafWork]]*IFERROR(INDEX(res_Rate,MATCH(Tasks[[#This Row],[Resource]],res_Name,0)),0))</f>
        <v>0</v>
      </c>
      <c r="CP48" s="38" t="n">
        <f aca="false">Tasks[[#This Row],[_LeafWork]]+IF(Tasks[[#This Row],[_IsLeaf]]=1,SUMIFS(asg_Work,asg_TaskUID,Tasks[[#This Row],[UID]],asg_Valid,1),0)</f>
        <v>0</v>
      </c>
      <c r="CQ48" s="38" t="n">
        <f aca="false">Tasks[[#This Row],[_LeafCost]]+IF(Tasks[[#This Row],[_IsLeaf]]=1,SUMIFS(asg_Cost,asg_TaskUID,Tasks[[#This Row],[UID]],asg_Valid,1),0)</f>
        <v>0</v>
      </c>
      <c r="CR48" s="38" t="n">
        <f aca="false">IF(Tasks[[#This Row],[_LeafTotalCost]]=0,Tasks[[#This Row],[_LeafAC]],Tasks[[#This Row],[_LeafAC]]*Tasks[[#This Row],[_LeafCost]]/Tasks[[#This Row],[_LeafTotalCost]])</f>
        <v>0</v>
      </c>
      <c r="CS4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8" s="38" t="n">
        <f aca="false">IF(NOT(Tasks[[#This Row],[_IsLeaf]]=1),0,MAX(_xlfn.MAXIFS(Tasks[_Row],Tasks[Pred1 UID],Tasks[[#This Row],[UID]]),_xlfn.MAXIFS(Tasks[_Row],Tasks[Pred2 UID],Tasks[[#This Row],[UID]]),_xlfn.MAXIFS(Tasks[_Row],Tasks[Pred3 UID],Tasks[[#This Row],[UID]]),_xlfn.MAXIFS(Tasks[_Row],Tasks[Pred4 UID],Tasks[[#This Row],[UID]])))</f>
        <v>0</v>
      </c>
      <c r="DB4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8" s="115" t="str">
        <f aca="false">IF(NOT(Tasks[[#This Row],[_IsLeaf]]=1),"",IF(N(Tasks[[#This Row],[Duration]])&lt;=0,Tasks[[#This Row],[_LeafLateFinish]],WORKDAY.INTL(Tasks[[#This Row],[_LeafLateFinish]],-(Tasks[[#This Row],[Duration]]-1),WorkWeek,Holidays)))</f>
        <v/>
      </c>
      <c r="DE4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8" s="114" t="b">
        <f aca="false">AND(Tasks[[#This Row],[_IsLeaf]]=1,Tasks[[#This Row],[_LeafProgress]]&lt;1,N(Tasks[[#This Row],[_LeafTotalSlack]])&lt;=CriticalSlackDays)</f>
        <v>0</v>
      </c>
      <c r="DG48" s="38" t="n">
        <f aca="false">IF(AND(Tasks[[#This Row],[_IsLeaf]]=1,Tasks[[#This Row],[_ConstraintCode]]=1,Tasks[[#This Row],[Mode]]&lt;&gt;"Manual",N(Tasks[[#This Row],[Actual Start]])=0),MAX(0,N(Tasks[[#This Row],[Free Slack]])),0)</f>
        <v>0</v>
      </c>
      <c r="DH48" s="115" t="str">
        <f aca="false">IF(NOT(Tasks[[#This Row],[_IsLeaf]]=1),"",IF(Tasks[[#This Row],[_AlapShift]]=0,Tasks[[#This Row],[_LeafCalcStart]],WORKDAY.INTL(Tasks[[#This Row],[_LeafCalcStart]],Tasks[[#This Row],[_AlapShift]],WorkWeek,Holidays)))</f>
        <v/>
      </c>
      <c r="DI48" s="115" t="str">
        <f aca="false">IF(NOT(Tasks[[#This Row],[_IsLeaf]]=1),"",IF(Tasks[[#This Row],[_AlapShift]]=0,Tasks[[#This Row],[_LeafCalcFinish]],WORKDAY.INTL(Tasks[[#This Row],[_LeafCalcFinish]],Tasks[[#This Row],[_AlapShift]],WorkWeek,Holidays)))</f>
        <v/>
      </c>
      <c r="DJ48" s="115" t="str">
        <f aca="false">IF(NOT(Tasks[[#This Row],[_IsLeaf]]=1),"",IF(Tasks[[#This Row],[_AlapShift]]=0,Tasks[[#This Row],[_LeafFcstStart]],WORKDAY.INTL(Tasks[[#This Row],[_LeafFcstStart]],Tasks[[#This Row],[_AlapShift]],WorkWeek,Holidays)))</f>
        <v/>
      </c>
      <c r="DK48" s="115" t="str">
        <f aca="false">IF(NOT(Tasks[[#This Row],[_IsLeaf]]=1),"",IF(Tasks[[#This Row],[_AlapShift]]=0,Tasks[[#This Row],[_LeafFcstFinish]],WORKDAY.INTL(Tasks[[#This Row],[_LeafFcstFinish]],Tasks[[#This Row],[_AlapShift]],WorkWeek,Holidays)))</f>
        <v/>
      </c>
      <c r="DL48" s="115" t="str">
        <f aca="false">IF(Tasks[[#This Row],[Task Name]]="","",IF(Tasks[[#This Row],[_IsSummary]],MIN(INDEX(Tasks[_ShownCalcStart],Tasks[[#This Row],[_Row]]+1):INDEX(Tasks[_ShownCalcStart],Tasks[[#This Row],[_Row]]+Tasks[[#This Row],[_Descendants]])),Tasks[[#This Row],[_ShownCalcStart]]))</f>
        <v/>
      </c>
      <c r="DM48" s="115" t="str">
        <f aca="false">IF(Tasks[[#This Row],[Task Name]]="","",IF(Tasks[[#This Row],[_IsSummary]],MAX(INDEX(Tasks[_ShownCalcFinish],Tasks[[#This Row],[_Row]]+1):INDEX(Tasks[_ShownCalcFinish],Tasks[[#This Row],[_Row]]+Tasks[[#This Row],[_Descendants]])),Tasks[[#This Row],[_ShownCalcFinish]]))</f>
        <v/>
      </c>
      <c r="DN4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8" s="38" t="n">
        <f aca="false">IF(AND(Tasks[[#This Row],[_IsLeaf]]=1,Tasks[[#This Row],[_LeafTotalWork]]&gt;0),NETWORKDAYS.INTL(ProjectStart,Tasks[[#This Row],[_ShownFcstStart]],WorkWeek,Holidays),0)</f>
        <v>0</v>
      </c>
      <c r="EA48" s="38" t="n">
        <f aca="false">IF(AND(Tasks[[#This Row],[_IsLeaf]]=1,Tasks[[#This Row],[_LeafTotalWork]]&gt;0),MAX(Tasks[[#This Row],[_StartWorkday]],NETWORKDAYS.INTL(ProjectStart,Tasks[[#This Row],[_ShownFcstFinish]],WorkWeek,Holidays)),0)</f>
        <v>0</v>
      </c>
      <c r="EB48" s="38" t="n">
        <f aca="false">IF(AND(Tasks[[#This Row],[_IsLeaf]]=1,Tasks[[#This Row],[_LeafTotalWork]]&gt;0),Tasks[[#This Row],[_LeafWork]]/(Tasks[[#This Row],[_FinishWorkday]]-Tasks[[#This Row],[_StartWorkday]]+1),0)</f>
        <v>0</v>
      </c>
      <c r="EC48" s="38" t="n">
        <f aca="false">Tasks[[#This Row],[_WorkPerWorkday]]*(Tasks[[#This Row],[_StartWorkday]]-1)</f>
        <v>-0</v>
      </c>
      <c r="ED48" s="38" t="n">
        <f aca="false">IF(Tasks[[#This Row],[_IsLeaf]]=1,MAX(N(Tasks[[#This Row],[Duration]]),0.1),0)</f>
        <v>0</v>
      </c>
      <c r="EE48" s="38" t="n">
        <f aca="false">Tasks[[#This Row],[_WeightDur]]*Tasks[[#This Row],[_LeafProgress]]</f>
        <v>0</v>
      </c>
      <c r="EF4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8" s="38" t="str">
        <f aca="false">IF(AND(Tasks[[#This Row],[_IsLeaf]]=1,N(Tasks[[#This Row],[Duration]])=0,Tasks[[#This Row],[_LeafProgress]]&lt;1),Tasks[[#This Row],[_ShownFcstFinish]]+Tasks[[#This Row],[_Row]]/100000,"")</f>
        <v/>
      </c>
      <c r="EH4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8" s="38" t="n">
        <f aca="false">IF(NOT(Tasks[[#This Row],[_IsLeaf]]=1),0,IF(Tasks[[#This Row],[Baseline Cost]]="",Tasks[[#This Row],[_LeafTotalCost]],N(Tasks[[#This Row],[Baseline Cost]])))</f>
        <v>0</v>
      </c>
      <c r="EJ48" s="38" t="n">
        <f aca="false">Tasks[[#This Row],[_LeafBudget]]*Tasks[[#This Row],[_PlannedPct]]</f>
        <v>0</v>
      </c>
      <c r="EK48" s="38" t="n">
        <f aca="false">Tasks[[#This Row],[_LeafBudget]]*Tasks[[#This Row],[_LeafProgress]]</f>
        <v>0</v>
      </c>
      <c r="EL48" s="38" t="n">
        <f aca="false">IF(NOT(Tasks[[#This Row],[_IsLeaf]]=1),0,IF(Tasks[[#This Row],[Actual Cost]]="",Tasks[[#This Row],[_LeafTotalCost]]*Tasks[[#This Row],[_LeafProgress]],N(Tasks[[#This Row],[Actual Cost]])))</f>
        <v>0</v>
      </c>
      <c r="EM48" s="38" t="str">
        <f aca="false">IF(Tasks[[#This Row],[Task Name]]="","",LEFT(Tasks[[#This Row],[WBS]],FIND(".",Tasks[[#This Row],[WBS]]&amp;".")-1))</f>
        <v/>
      </c>
      <c r="EN48" s="38" t="str">
        <f aca="false">IF(AND(Tasks[[#This Row],[Task Name]]&lt;&gt;"",Tasks[[#This Row],[_Level]]=1),Tasks[[#This Row],[_Row]],"")</f>
        <v/>
      </c>
      <c r="EO48" s="38" t="str">
        <f aca="false">IF(AND(Tasks[[#This Row],[_IsLeaf]]=1,N(Tasks[[#This Row],[Duration]])=0),Tasks[[#This Row],[Planned Finish]]+Tasks[[#This Row],[_Row]]/100000,"")</f>
        <v/>
      </c>
      <c r="EP48" s="38" t="str">
        <f aca="false">IF(AND(Tasks[[#This Row],[_IsLeaf]]=1,Tasks[[#This Row],[_LeafProgress]]&lt;1,OR(N(Tasks[[#This Row],[Finish Var]])&gt;0,Tasks[[#This Row],[Status]]="Late Start")),MAX(0,Tasks[[#This Row],[Finish Var]])+1-Tasks[[#This Row],[_Row]]/1000000,"")</f>
        <v/>
      </c>
      <c r="EQ48" s="38" t="str">
        <f aca="false">IF(AND(Tasks[[#This Row],[_IsLeaf]]=1,N(Tasks[[#This Row],[Actual Start]])=0,Tasks[[#This Row],[_ShownFcstStart]]&gt;=StatusDate,Tasks[[#This Row],[_ShownFcstStart]]&lt;=LookaheadEnd),Tasks[[#This Row],[_ShownFcstStart]]+Tasks[[#This Row],[_Row]]/100000,"")</f>
        <v/>
      </c>
      <c r="ER48" s="38" t="str">
        <f aca="false">IF(AND(Tasks[[#This Row],[_IsLeaf]]=1,Tasks[[#This Row],[_LeafProgress]]&lt;1,Tasks[[#This Row],[_ShownFcstFinish]]&gt;=StatusDate,Tasks[[#This Row],[_ShownFcstFinish]]&lt;=LookaheadEnd),Tasks[[#This Row],[_ShownFcstFinish]]+Tasks[[#This Row],[_Row]]/100000,"")</f>
        <v/>
      </c>
      <c r="ES48" s="38" t="str">
        <f aca="false">IF(Tasks[[#This Row],[_LeafCritical]],Tasks[[#This Row],[_ShownFcstStart]]+Tasks[[#This Row],[_Row]]/100000,"")</f>
        <v/>
      </c>
      <c r="ET48" s="38" t="n">
        <f aca="false">Tasks[[#This Row],[_LeafWork]]*Tasks[[#This Row],[_LeafProgress]]</f>
        <v>0</v>
      </c>
      <c r="EU48" s="115" t="str">
        <f aca="false">IF(AND(Tasks[[#This Row],[_IsLeaf]]=1,Tasks[[#This Row],[_LeafProgress]]&gt;=1),IF(N(Tasks[[#This Row],[Actual Finish]])&gt;0,Tasks[[#This Row],[Actual Finish]],Tasks[[#This Row],[_ShownFcstFinish]]),"")</f>
        <v/>
      </c>
      <c r="EV48" s="38" t="n">
        <f aca="false">IF(Tasks[[#This Row],[_IsLeaf]]=1,N(Tasks[[#This Row],[Story Points]]),0)</f>
        <v>0</v>
      </c>
      <c r="EW48" s="38" t="str">
        <f aca="false">IF(AND(Tasks[[#This Row],[_IsLeaf]]=1,CurrentSprint&lt;&gt;"",Tasks[[#This Row],[Sprint]]=CurrentSprint),Tasks[[#This Row],[_Row]],"")</f>
        <v/>
      </c>
    </row>
    <row r="49" customFormat="false" ht="15" hidden="false" customHeight="false" outlineLevel="0" collapsed="false">
      <c r="A49" s="51" t="str">
        <f aca="false">IF(Tasks[[#This Row],[Task Name]]="","",COUNTA(Tasks[[#Headers],[Task Name]]:Tasks[[#This Row],[Task Name]])-1)</f>
        <v/>
      </c>
      <c r="B49" s="52" t="n">
        <v>44</v>
      </c>
      <c r="C4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52"/>
      <c r="E49" s="53"/>
      <c r="F49" s="52"/>
      <c r="G49" s="52"/>
      <c r="H49" s="52"/>
      <c r="I49" s="52"/>
      <c r="J49" s="52"/>
      <c r="K49" s="52"/>
      <c r="L49" s="52"/>
      <c r="M49" s="52"/>
      <c r="N49" s="52"/>
      <c r="O49" s="52"/>
      <c r="P49" s="52"/>
      <c r="Q49" s="52"/>
      <c r="R49" s="52"/>
      <c r="S49" s="53"/>
      <c r="T49" s="102"/>
      <c r="U49" s="102"/>
      <c r="V49" s="7"/>
      <c r="W49" s="7"/>
      <c r="X49" s="53"/>
      <c r="Y49" s="31" t="str">
        <f aca="false">IF(Tasks[[#This Row],[Task Name]]="","",IF(Tasks[[#This Row],[_IsSummary]],MIN(INDEX(Tasks[_ShownFcstStart],Tasks[[#This Row],[_Row]]+1):INDEX(Tasks[_ShownFcstStart],Tasks[[#This Row],[_Row]]+Tasks[[#This Row],[_Descendants]])),Tasks[[#This Row],[_ShownFcstStart]]))</f>
        <v/>
      </c>
      <c r="Z49" s="31" t="str">
        <f aca="false">IF(Tasks[[#This Row],[Task Name]]="","",IF(Tasks[[#This Row],[_IsSummary]],MAX(INDEX(Tasks[_ShownFcstFinish],Tasks[[#This Row],[_Row]]+1):INDEX(Tasks[_ShownFcstFinish],Tasks[[#This Row],[_Row]]+Tasks[[#This Row],[_Descendants]])),Tasks[[#This Row],[_ShownFcstFinish]]))</f>
        <v/>
      </c>
      <c r="AA49" s="51" t="str">
        <f aca="false">IF(Tasks[[#This Row],[Task Name]]="","",IF(Tasks[[#This Row],[Progress]]&gt;=1,"Complete",IF(OR(N(Tasks[[#This Row],[Actual Start]])&gt;0,Tasks[[#This Row],[Progress]]&gt;0),IF(Tasks[[#This Row],[Finish Var]]&gt;0,"Behind","In Progress"),IF(Tasks[[#This Row],[Planned Start]]&lt;StatusDate,"Late Start","Not Started"))))</f>
        <v/>
      </c>
      <c r="AB49" s="51" t="str">
        <f aca="false">IF(Tasks[[#This Row],[Task Name]]="","",IF(IF(Tasks[[#This Row],[_IsSummary]],COUNTIF(INDEX(Tasks[_LeafCritical],Tasks[[#This Row],[_Row]]+1):INDEX(Tasks[_LeafCritical],Tasks[[#This Row],[_Row]]+Tasks[[#This Row],[_Descendants]]),TRUE())&gt;0,Tasks[[#This Row],[_LeafCritical]]),"Yes",""))</f>
        <v/>
      </c>
      <c r="AC4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9" s="51" t="str">
        <f aca="false">IF(Tasks[[#This Row],[Task Name]]="","",IF(Tasks[[#This Row],[_Level]]&lt;=OutlineShowLevel,"Yes","No"))</f>
        <v/>
      </c>
      <c r="AE49" s="7"/>
      <c r="AF49" s="52"/>
      <c r="AG49" s="53"/>
      <c r="AH49" s="7"/>
      <c r="AI4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9" s="31" t="str">
        <f aca="false">IF(Tasks[[#This Row],[Task Name]]="","",IF(N(Tasks[[#This Row],[Baseline Start]])&gt;0,Tasks[[#This Row],[Baseline Start]],Tasks[[#This Row],[_CalcStart]]))</f>
        <v/>
      </c>
      <c r="AK49" s="31" t="str">
        <f aca="false">IF(Tasks[[#This Row],[Task Name]]="","",IF(N(Tasks[[#This Row],[Baseline Finish]])&gt;0,Tasks[[#This Row],[Baseline Finish]],Tasks[[#This Row],[_CalcFinish]]))</f>
        <v/>
      </c>
      <c r="AL4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9" s="31" t="str">
        <f aca="false">IF(Tasks[[#This Row],[Task Name]]="","",IF(Tasks[[#This Row],[_IsSummary]],MIN(INDEX(Tasks[_LeafLateStart],Tasks[[#This Row],[_Row]]+1):INDEX(Tasks[_LeafLateStart],Tasks[[#This Row],[_Row]]+Tasks[[#This Row],[_Descendants]])),Tasks[[#This Row],[_LeafLateStart]]))</f>
        <v/>
      </c>
      <c r="AN49" s="31" t="str">
        <f aca="false">IF(Tasks[[#This Row],[Task Name]]="","",IF(Tasks[[#This Row],[_IsSummary]],MAX(INDEX(Tasks[_LeafLateFinish],Tasks[[#This Row],[_Row]]+1):INDEX(Tasks[_LeafLateFinish],Tasks[[#This Row],[_Row]]+Tasks[[#This Row],[_Descendants]])),Tasks[[#This Row],[_LeafLateFinish]]))</f>
        <v/>
      </c>
      <c r="AO49" s="51" t="str">
        <f aca="false">IF(Tasks[[#This Row],[Task Name]]="","",IF(Tasks[[#This Row],[_IsSummary]],MIN(INDEX(Tasks[_LeafTotalSlack],Tasks[[#This Row],[_Row]]+1):INDEX(Tasks[_LeafTotalSlack],Tasks[[#This Row],[_Row]]+Tasks[[#This Row],[_Descendants]])),Tasks[[#This Row],[_LeafTotalSlack]]))</f>
        <v/>
      </c>
      <c r="AP4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9" s="110" t="str">
        <f aca="false">IF(Tasks[[#This Row],[Task Name]]="","",IF(Tasks[[#This Row],[_IsSummary]],SUM(INDEX(Tasks[_LeafTotalWork],Tasks[[#This Row],[_Row]]+1):INDEX(Tasks[_LeafTotalWork],Tasks[[#This Row],[_Row]]+Tasks[[#This Row],[_Descendants]])),Tasks[[#This Row],[_LeafTotalWork]]))</f>
        <v/>
      </c>
      <c r="AV4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9" s="111" t="str">
        <f aca="false">IF(Tasks[[#This Row],[Task Name]]="","",IF(Tasks[[#This Row],[_IsSummary]],SUM(INDEX(Tasks[_LeafTotalCost],Tasks[[#This Row],[_Row]]+1):INDEX(Tasks[_LeafTotalCost],Tasks[[#This Row],[_Row]]+Tasks[[#This Row],[_Descendants]])),Tasks[[#This Row],[_LeafTotalCost]]))</f>
        <v/>
      </c>
      <c r="AY49" s="112"/>
      <c r="AZ4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9" s="52"/>
      <c r="BB49" s="98"/>
      <c r="BC49" s="51" t="str">
        <f aca="false">IF(OR(Tasks[[#This Row],[Task Name]]="",Tasks[[#This Row],[Baseline Duration]]=""),"",Tasks[[#This Row],[BL Source Duration]]-N(Tasks[[#This Row],[Baseline Duration]]))</f>
        <v/>
      </c>
      <c r="BD49" s="110" t="str">
        <f aca="false">IF(OR(Tasks[[#This Row],[Task Name]]="",Tasks[[#This Row],[Baseline Work]]=""),"",Tasks[[#This Row],[Work]]-N(Tasks[[#This Row],[Baseline Work]]))</f>
        <v/>
      </c>
      <c r="BE49" s="111" t="str">
        <f aca="false">IF(OR(Tasks[[#This Row],[Task Name]]="",Tasks[[#This Row],[Baseline Cost]]=""),"",Tasks[[#This Row],[Cost]]-N(Tasks[[#This Row],[Baseline Cost]]))</f>
        <v/>
      </c>
      <c r="BF49" s="31" t="str">
        <f aca="false">IF(Tasks[[#This Row],[Task Name]]="","",Tasks[[#This Row],[Forecast Start]])</f>
        <v/>
      </c>
      <c r="BG49" s="31" t="str">
        <f aca="false">IF(Tasks[[#This Row],[Task Name]]="","",Tasks[[#This Row],[Forecast Finish]])</f>
        <v/>
      </c>
      <c r="BH49" s="51" t="str">
        <f aca="false">IF(Tasks[[#This Row],[Task Name]]="","",IF(Tasks[[#This Row],[_IsSummary]],NETWORKDAYS.INTL(Tasks[[#This Row],[Forecast Start]],Tasks[[#This Row],[Forecast Finish]],WorkWeek,Holidays),N(Tasks[[#This Row],[Duration]])))</f>
        <v/>
      </c>
      <c r="BI49" s="110" t="str">
        <f aca="false">IF(Tasks[[#This Row],[Task Name]]="","",Tasks[[#This Row],[Work]])</f>
        <v/>
      </c>
      <c r="BJ49" s="111" t="str">
        <f aca="false">IF(Tasks[[#This Row],[Task Name]]="","",Tasks[[#This Row],[Cost]])</f>
        <v/>
      </c>
      <c r="BK49" s="7"/>
      <c r="BL49" s="7"/>
      <c r="BM49" s="52"/>
      <c r="BN49" s="113"/>
      <c r="BO49" s="112"/>
      <c r="BP49" s="111" t="str">
        <f aca="false">IF(Tasks[[#This Row],[Task Name]]="","",IF(Tasks[[#This Row],[_IsSummary]],SUM(INDEX(Tasks[_LeafEV],Tasks[[#This Row],[_Row]]+1):INDEX(Tasks[_LeafEV],Tasks[[#This Row],[_Row]]+Tasks[[#This Row],[_Descendants]])),Tasks[[#This Row],[_LeafEV]]))</f>
        <v/>
      </c>
      <c r="BQ49" s="111" t="str">
        <f aca="false">IF(Tasks[[#This Row],[Task Name]]="","",IF(Tasks[[#This Row],[_IsSummary]],SUM(INDEX(Tasks[_LeafBudget],Tasks[[#This Row],[_Row]]+1):INDEX(Tasks[_LeafBudget],Tasks[[#This Row],[_Row]]+Tasks[[#This Row],[_Descendants]])),Tasks[[#This Row],[_LeafBudget]]))</f>
        <v/>
      </c>
      <c r="BR49" s="111" t="str">
        <f aca="false">IF(Tasks[[#This Row],[Task Name]]="","",IF(Tasks[[#This Row],[_IsSummary]],SUM(INDEX(Tasks[_LeafPV],Tasks[[#This Row],[_Row]]+1):INDEX(Tasks[_LeafPV],Tasks[[#This Row],[_Row]]+Tasks[[#This Row],[_Descendants]])),Tasks[[#This Row],[_LeafPV]]))</f>
        <v/>
      </c>
      <c r="BS49" s="111" t="str">
        <f aca="false">IF(Tasks[[#This Row],[Task Name]]="","",IF(Tasks[[#This Row],[_IsSummary]],SUM(INDEX(Tasks[_LeafAC],Tasks[[#This Row],[_Row]]+1):INDEX(Tasks[_LeafAC],Tasks[[#This Row],[_Row]]+Tasks[[#This Row],[_Descendants]])),Tasks[[#This Row],[_LeafAC]]))</f>
        <v/>
      </c>
      <c r="BT49" s="38" t="str">
        <f aca="false">IF(Tasks[[#This Row],[Task Name]]="","",MAX(1,N(Tasks[[#This Row],[Level]])))</f>
        <v/>
      </c>
      <c r="BU49" s="38" t="n">
        <f aca="false">ROW()-ROW(Tasks[[#Headers],[ID]])</f>
        <v>44</v>
      </c>
      <c r="BV49" s="38" t="n">
        <f aca="false">IF(OR(Tasks[[#This Row],[Task Name]]="",Tasks[[#This Row],[_Level]]&lt;=1),0,IFERROR(LOOKUP(2,1/(Tasks[[#Headers],[_Level]]:Tasks[[#This Row],[_Level]]=Tasks[[#This Row],[_Level]]-1),ROW(Tasks[[#Headers],[_Level]]:Tasks[[#This Row],[_Level]])),0))</f>
        <v>0</v>
      </c>
      <c r="BW49" s="38" t="n">
        <f aca="false">IFERROR(N(INDEX(Tasks[_Level],Tasks[[#This Row],[_Row]]+1)),0)</f>
        <v>0</v>
      </c>
      <c r="BX49" s="114" t="b">
        <f aca="false">AND(Tasks[[#This Row],[Task Name]]&lt;&gt;"",Tasks[[#This Row],[_NextLevel]]&gt;Tasks[[#This Row],[_Level]])</f>
        <v>0</v>
      </c>
      <c r="BY49" s="38" t="n">
        <f aca="false">IF(Tasks[[#This Row],[_IsSummary]],COUNTIF(Tasks[WBS],Tasks[[#This Row],[WBS]]&amp;".*"),0)</f>
        <v>0</v>
      </c>
      <c r="BZ49" s="38" t="n">
        <f aca="false">IF(AND(Tasks[[#This Row],[Task Name]]&lt;&gt;"",NOT(Tasks[[#This Row],[_IsSummary]])),1,0)</f>
        <v>0</v>
      </c>
      <c r="CA49" s="38" t="n">
        <f aca="false">IF(N(Tasks[[#This Row],[Pred1 UID]])=0,0,IFERROR(MATCH(Tasks[[#This Row],[Pred1 UID]],Tasks[UID],0),-1))</f>
        <v>0</v>
      </c>
      <c r="CB49" s="38" t="n">
        <f aca="false">IF(N(Tasks[[#This Row],[Pred2 UID]])=0,0,IFERROR(MATCH(Tasks[[#This Row],[Pred2 UID]],Tasks[UID],0),-1))</f>
        <v>0</v>
      </c>
      <c r="CC49" s="38" t="n">
        <f aca="false">IF(N(Tasks[[#This Row],[Pred3 UID]])=0,0,IFERROR(MATCH(Tasks[[#This Row],[Pred3 UID]],Tasks[UID],0),-1))</f>
        <v>0</v>
      </c>
      <c r="CD49" s="38" t="n">
        <f aca="false">IF(N(Tasks[[#This Row],[Pred4 UID]])=0,0,IFERROR(MATCH(Tasks[[#This Row],[Pred4 UID]],Tasks[UID],0),-1))</f>
        <v>0</v>
      </c>
      <c r="CE4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9" s="115" t="n">
        <f aca="false">IF(OR(Tasks[[#This Row],[_ConstraintCode]]=2,Tasks[[#This Row],[_ConstraintCode]]=3,Tasks[[#This Row],[_ConstraintCode]]=4,Tasks[[#This Row],[_ConstraintCode]]=6),Tasks[[#This Row],[_ConstraintStart]],0)</f>
        <v>0</v>
      </c>
      <c r="CH49" s="115" t="n">
        <f aca="false">IF(OR(Tasks[[#This Row],[_ConstraintCode]]=2,Tasks[[#This Row],[_ConstraintCode]]=3,Tasks[[#This Row],[_ConstraintCode]]=5,Tasks[[#This Row],[_ConstraintCode]]=7),Tasks[[#This Row],[_ConstraintStart]],2958465)</f>
        <v>2958465</v>
      </c>
      <c r="CI4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9" s="115" t="str">
        <f aca="false">IF(NOT(Tasks[[#This Row],[_IsLeaf]]=1),"",IF(N(Tasks[[#This Row],[Duration]])&lt;=0,Tasks[[#This Row],[_LeafCalcStart]],WORKDAY.INTL(Tasks[[#This Row],[_LeafCalcStart]],Tasks[[#This Row],[Duration]]-1,WorkWeek,Holidays)))</f>
        <v/>
      </c>
      <c r="CK4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9" s="38" t="n">
        <f aca="false">IF(NOT(Tasks[[#This Row],[_IsLeaf]]=1),0,IF(N(Tasks[[#This Row],[Actual Finish]])&gt;0,1,MIN(1,N(Tasks[[#This Row],[% Complete]]))))</f>
        <v>0</v>
      </c>
      <c r="CN49" s="38" t="n">
        <f aca="false">IF(OR(NOT(Tasks[[#This Row],[_IsLeaf]]=1),Tasks[[#This Row],[Resource]]=""),0,N(Tasks[[#This Row],[Duration]])*HoursPerDay*IF(Tasks[[#This Row],[Units]]="",DefaultUnits,Tasks[[#This Row],[Units]]))</f>
        <v>0</v>
      </c>
      <c r="CO49" s="38" t="n">
        <f aca="false">IF(Tasks[[#This Row],[_LeafWork]]=0,0,Tasks[[#This Row],[_LeafWork]]*IFERROR(INDEX(res_Rate,MATCH(Tasks[[#This Row],[Resource]],res_Name,0)),0))</f>
        <v>0</v>
      </c>
      <c r="CP49" s="38" t="n">
        <f aca="false">Tasks[[#This Row],[_LeafWork]]+IF(Tasks[[#This Row],[_IsLeaf]]=1,SUMIFS(asg_Work,asg_TaskUID,Tasks[[#This Row],[UID]],asg_Valid,1),0)</f>
        <v>0</v>
      </c>
      <c r="CQ49" s="38" t="n">
        <f aca="false">Tasks[[#This Row],[_LeafCost]]+IF(Tasks[[#This Row],[_IsLeaf]]=1,SUMIFS(asg_Cost,asg_TaskUID,Tasks[[#This Row],[UID]],asg_Valid,1),0)</f>
        <v>0</v>
      </c>
      <c r="CR49" s="38" t="n">
        <f aca="false">IF(Tasks[[#This Row],[_LeafTotalCost]]=0,Tasks[[#This Row],[_LeafAC]],Tasks[[#This Row],[_LeafAC]]*Tasks[[#This Row],[_LeafCost]]/Tasks[[#This Row],[_LeafTotalCost]])</f>
        <v>0</v>
      </c>
      <c r="CS4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9" s="38" t="n">
        <f aca="false">IF(NOT(Tasks[[#This Row],[_IsLeaf]]=1),0,MAX(_xlfn.MAXIFS(Tasks[_Row],Tasks[Pred1 UID],Tasks[[#This Row],[UID]]),_xlfn.MAXIFS(Tasks[_Row],Tasks[Pred2 UID],Tasks[[#This Row],[UID]]),_xlfn.MAXIFS(Tasks[_Row],Tasks[Pred3 UID],Tasks[[#This Row],[UID]]),_xlfn.MAXIFS(Tasks[_Row],Tasks[Pred4 UID],Tasks[[#This Row],[UID]])))</f>
        <v>0</v>
      </c>
      <c r="DB4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9" s="115" t="str">
        <f aca="false">IF(NOT(Tasks[[#This Row],[_IsLeaf]]=1),"",IF(N(Tasks[[#This Row],[Duration]])&lt;=0,Tasks[[#This Row],[_LeafLateFinish]],WORKDAY.INTL(Tasks[[#This Row],[_LeafLateFinish]],-(Tasks[[#This Row],[Duration]]-1),WorkWeek,Holidays)))</f>
        <v/>
      </c>
      <c r="DE4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9" s="114" t="b">
        <f aca="false">AND(Tasks[[#This Row],[_IsLeaf]]=1,Tasks[[#This Row],[_LeafProgress]]&lt;1,N(Tasks[[#This Row],[_LeafTotalSlack]])&lt;=CriticalSlackDays)</f>
        <v>0</v>
      </c>
      <c r="DG49" s="38" t="n">
        <f aca="false">IF(AND(Tasks[[#This Row],[_IsLeaf]]=1,Tasks[[#This Row],[_ConstraintCode]]=1,Tasks[[#This Row],[Mode]]&lt;&gt;"Manual",N(Tasks[[#This Row],[Actual Start]])=0),MAX(0,N(Tasks[[#This Row],[Free Slack]])),0)</f>
        <v>0</v>
      </c>
      <c r="DH49" s="115" t="str">
        <f aca="false">IF(NOT(Tasks[[#This Row],[_IsLeaf]]=1),"",IF(Tasks[[#This Row],[_AlapShift]]=0,Tasks[[#This Row],[_LeafCalcStart]],WORKDAY.INTL(Tasks[[#This Row],[_LeafCalcStart]],Tasks[[#This Row],[_AlapShift]],WorkWeek,Holidays)))</f>
        <v/>
      </c>
      <c r="DI49" s="115" t="str">
        <f aca="false">IF(NOT(Tasks[[#This Row],[_IsLeaf]]=1),"",IF(Tasks[[#This Row],[_AlapShift]]=0,Tasks[[#This Row],[_LeafCalcFinish]],WORKDAY.INTL(Tasks[[#This Row],[_LeafCalcFinish]],Tasks[[#This Row],[_AlapShift]],WorkWeek,Holidays)))</f>
        <v/>
      </c>
      <c r="DJ49" s="115" t="str">
        <f aca="false">IF(NOT(Tasks[[#This Row],[_IsLeaf]]=1),"",IF(Tasks[[#This Row],[_AlapShift]]=0,Tasks[[#This Row],[_LeafFcstStart]],WORKDAY.INTL(Tasks[[#This Row],[_LeafFcstStart]],Tasks[[#This Row],[_AlapShift]],WorkWeek,Holidays)))</f>
        <v/>
      </c>
      <c r="DK49" s="115" t="str">
        <f aca="false">IF(NOT(Tasks[[#This Row],[_IsLeaf]]=1),"",IF(Tasks[[#This Row],[_AlapShift]]=0,Tasks[[#This Row],[_LeafFcstFinish]],WORKDAY.INTL(Tasks[[#This Row],[_LeafFcstFinish]],Tasks[[#This Row],[_AlapShift]],WorkWeek,Holidays)))</f>
        <v/>
      </c>
      <c r="DL49" s="115" t="str">
        <f aca="false">IF(Tasks[[#This Row],[Task Name]]="","",IF(Tasks[[#This Row],[_IsSummary]],MIN(INDEX(Tasks[_ShownCalcStart],Tasks[[#This Row],[_Row]]+1):INDEX(Tasks[_ShownCalcStart],Tasks[[#This Row],[_Row]]+Tasks[[#This Row],[_Descendants]])),Tasks[[#This Row],[_ShownCalcStart]]))</f>
        <v/>
      </c>
      <c r="DM49" s="115" t="str">
        <f aca="false">IF(Tasks[[#This Row],[Task Name]]="","",IF(Tasks[[#This Row],[_IsSummary]],MAX(INDEX(Tasks[_ShownCalcFinish],Tasks[[#This Row],[_Row]]+1):INDEX(Tasks[_ShownCalcFinish],Tasks[[#This Row],[_Row]]+Tasks[[#This Row],[_Descendants]])),Tasks[[#This Row],[_ShownCalcFinish]]))</f>
        <v/>
      </c>
      <c r="DN4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9" s="38" t="n">
        <f aca="false">IF(AND(Tasks[[#This Row],[_IsLeaf]]=1,Tasks[[#This Row],[_LeafTotalWork]]&gt;0),NETWORKDAYS.INTL(ProjectStart,Tasks[[#This Row],[_ShownFcstStart]],WorkWeek,Holidays),0)</f>
        <v>0</v>
      </c>
      <c r="EA49" s="38" t="n">
        <f aca="false">IF(AND(Tasks[[#This Row],[_IsLeaf]]=1,Tasks[[#This Row],[_LeafTotalWork]]&gt;0),MAX(Tasks[[#This Row],[_StartWorkday]],NETWORKDAYS.INTL(ProjectStart,Tasks[[#This Row],[_ShownFcstFinish]],WorkWeek,Holidays)),0)</f>
        <v>0</v>
      </c>
      <c r="EB49" s="38" t="n">
        <f aca="false">IF(AND(Tasks[[#This Row],[_IsLeaf]]=1,Tasks[[#This Row],[_LeafTotalWork]]&gt;0),Tasks[[#This Row],[_LeafWork]]/(Tasks[[#This Row],[_FinishWorkday]]-Tasks[[#This Row],[_StartWorkday]]+1),0)</f>
        <v>0</v>
      </c>
      <c r="EC49" s="38" t="n">
        <f aca="false">Tasks[[#This Row],[_WorkPerWorkday]]*(Tasks[[#This Row],[_StartWorkday]]-1)</f>
        <v>-0</v>
      </c>
      <c r="ED49" s="38" t="n">
        <f aca="false">IF(Tasks[[#This Row],[_IsLeaf]]=1,MAX(N(Tasks[[#This Row],[Duration]]),0.1),0)</f>
        <v>0</v>
      </c>
      <c r="EE49" s="38" t="n">
        <f aca="false">Tasks[[#This Row],[_WeightDur]]*Tasks[[#This Row],[_LeafProgress]]</f>
        <v>0</v>
      </c>
      <c r="EF4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9" s="38" t="str">
        <f aca="false">IF(AND(Tasks[[#This Row],[_IsLeaf]]=1,N(Tasks[[#This Row],[Duration]])=0,Tasks[[#This Row],[_LeafProgress]]&lt;1),Tasks[[#This Row],[_ShownFcstFinish]]+Tasks[[#This Row],[_Row]]/100000,"")</f>
        <v/>
      </c>
      <c r="EH4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9" s="38" t="n">
        <f aca="false">IF(NOT(Tasks[[#This Row],[_IsLeaf]]=1),0,IF(Tasks[[#This Row],[Baseline Cost]]="",Tasks[[#This Row],[_LeafTotalCost]],N(Tasks[[#This Row],[Baseline Cost]])))</f>
        <v>0</v>
      </c>
      <c r="EJ49" s="38" t="n">
        <f aca="false">Tasks[[#This Row],[_LeafBudget]]*Tasks[[#This Row],[_PlannedPct]]</f>
        <v>0</v>
      </c>
      <c r="EK49" s="38" t="n">
        <f aca="false">Tasks[[#This Row],[_LeafBudget]]*Tasks[[#This Row],[_LeafProgress]]</f>
        <v>0</v>
      </c>
      <c r="EL49" s="38" t="n">
        <f aca="false">IF(NOT(Tasks[[#This Row],[_IsLeaf]]=1),0,IF(Tasks[[#This Row],[Actual Cost]]="",Tasks[[#This Row],[_LeafTotalCost]]*Tasks[[#This Row],[_LeafProgress]],N(Tasks[[#This Row],[Actual Cost]])))</f>
        <v>0</v>
      </c>
      <c r="EM49" s="38" t="str">
        <f aca="false">IF(Tasks[[#This Row],[Task Name]]="","",LEFT(Tasks[[#This Row],[WBS]],FIND(".",Tasks[[#This Row],[WBS]]&amp;".")-1))</f>
        <v/>
      </c>
      <c r="EN49" s="38" t="str">
        <f aca="false">IF(AND(Tasks[[#This Row],[Task Name]]&lt;&gt;"",Tasks[[#This Row],[_Level]]=1),Tasks[[#This Row],[_Row]],"")</f>
        <v/>
      </c>
      <c r="EO49" s="38" t="str">
        <f aca="false">IF(AND(Tasks[[#This Row],[_IsLeaf]]=1,N(Tasks[[#This Row],[Duration]])=0),Tasks[[#This Row],[Planned Finish]]+Tasks[[#This Row],[_Row]]/100000,"")</f>
        <v/>
      </c>
      <c r="EP49" s="38" t="str">
        <f aca="false">IF(AND(Tasks[[#This Row],[_IsLeaf]]=1,Tasks[[#This Row],[_LeafProgress]]&lt;1,OR(N(Tasks[[#This Row],[Finish Var]])&gt;0,Tasks[[#This Row],[Status]]="Late Start")),MAX(0,Tasks[[#This Row],[Finish Var]])+1-Tasks[[#This Row],[_Row]]/1000000,"")</f>
        <v/>
      </c>
      <c r="EQ49" s="38" t="str">
        <f aca="false">IF(AND(Tasks[[#This Row],[_IsLeaf]]=1,N(Tasks[[#This Row],[Actual Start]])=0,Tasks[[#This Row],[_ShownFcstStart]]&gt;=StatusDate,Tasks[[#This Row],[_ShownFcstStart]]&lt;=LookaheadEnd),Tasks[[#This Row],[_ShownFcstStart]]+Tasks[[#This Row],[_Row]]/100000,"")</f>
        <v/>
      </c>
      <c r="ER49" s="38" t="str">
        <f aca="false">IF(AND(Tasks[[#This Row],[_IsLeaf]]=1,Tasks[[#This Row],[_LeafProgress]]&lt;1,Tasks[[#This Row],[_ShownFcstFinish]]&gt;=StatusDate,Tasks[[#This Row],[_ShownFcstFinish]]&lt;=LookaheadEnd),Tasks[[#This Row],[_ShownFcstFinish]]+Tasks[[#This Row],[_Row]]/100000,"")</f>
        <v/>
      </c>
      <c r="ES49" s="38" t="str">
        <f aca="false">IF(Tasks[[#This Row],[_LeafCritical]],Tasks[[#This Row],[_ShownFcstStart]]+Tasks[[#This Row],[_Row]]/100000,"")</f>
        <v/>
      </c>
      <c r="ET49" s="38" t="n">
        <f aca="false">Tasks[[#This Row],[_LeafWork]]*Tasks[[#This Row],[_LeafProgress]]</f>
        <v>0</v>
      </c>
      <c r="EU49" s="115" t="str">
        <f aca="false">IF(AND(Tasks[[#This Row],[_IsLeaf]]=1,Tasks[[#This Row],[_LeafProgress]]&gt;=1),IF(N(Tasks[[#This Row],[Actual Finish]])&gt;0,Tasks[[#This Row],[Actual Finish]],Tasks[[#This Row],[_ShownFcstFinish]]),"")</f>
        <v/>
      </c>
      <c r="EV49" s="38" t="n">
        <f aca="false">IF(Tasks[[#This Row],[_IsLeaf]]=1,N(Tasks[[#This Row],[Story Points]]),0)</f>
        <v>0</v>
      </c>
      <c r="EW49" s="38" t="str">
        <f aca="false">IF(AND(Tasks[[#This Row],[_IsLeaf]]=1,CurrentSprint&lt;&gt;"",Tasks[[#This Row],[Sprint]]=CurrentSprint),Tasks[[#This Row],[_Row]],"")</f>
        <v/>
      </c>
    </row>
    <row r="50" customFormat="false" ht="15" hidden="false" customHeight="false" outlineLevel="0" collapsed="false">
      <c r="A50" s="51" t="str">
        <f aca="false">IF(Tasks[[#This Row],[Task Name]]="","",COUNTA(Tasks[[#Headers],[Task Name]]:Tasks[[#This Row],[Task Name]])-1)</f>
        <v/>
      </c>
      <c r="B50" s="52" t="n">
        <v>45</v>
      </c>
      <c r="C5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52"/>
      <c r="E50" s="53"/>
      <c r="F50" s="52"/>
      <c r="G50" s="52"/>
      <c r="H50" s="52"/>
      <c r="I50" s="52"/>
      <c r="J50" s="52"/>
      <c r="K50" s="52"/>
      <c r="L50" s="52"/>
      <c r="M50" s="52"/>
      <c r="N50" s="52"/>
      <c r="O50" s="52"/>
      <c r="P50" s="52"/>
      <c r="Q50" s="52"/>
      <c r="R50" s="52"/>
      <c r="S50" s="53"/>
      <c r="T50" s="102"/>
      <c r="U50" s="102"/>
      <c r="V50" s="7"/>
      <c r="W50" s="7"/>
      <c r="X50" s="53"/>
      <c r="Y50" s="31" t="str">
        <f aca="false">IF(Tasks[[#This Row],[Task Name]]="","",IF(Tasks[[#This Row],[_IsSummary]],MIN(INDEX(Tasks[_ShownFcstStart],Tasks[[#This Row],[_Row]]+1):INDEX(Tasks[_ShownFcstStart],Tasks[[#This Row],[_Row]]+Tasks[[#This Row],[_Descendants]])),Tasks[[#This Row],[_ShownFcstStart]]))</f>
        <v/>
      </c>
      <c r="Z50" s="31" t="str">
        <f aca="false">IF(Tasks[[#This Row],[Task Name]]="","",IF(Tasks[[#This Row],[_IsSummary]],MAX(INDEX(Tasks[_ShownFcstFinish],Tasks[[#This Row],[_Row]]+1):INDEX(Tasks[_ShownFcstFinish],Tasks[[#This Row],[_Row]]+Tasks[[#This Row],[_Descendants]])),Tasks[[#This Row],[_ShownFcstFinish]]))</f>
        <v/>
      </c>
      <c r="AA50" s="51" t="str">
        <f aca="false">IF(Tasks[[#This Row],[Task Name]]="","",IF(Tasks[[#This Row],[Progress]]&gt;=1,"Complete",IF(OR(N(Tasks[[#This Row],[Actual Start]])&gt;0,Tasks[[#This Row],[Progress]]&gt;0),IF(Tasks[[#This Row],[Finish Var]]&gt;0,"Behind","In Progress"),IF(Tasks[[#This Row],[Planned Start]]&lt;StatusDate,"Late Start","Not Started"))))</f>
        <v/>
      </c>
      <c r="AB50" s="51" t="str">
        <f aca="false">IF(Tasks[[#This Row],[Task Name]]="","",IF(IF(Tasks[[#This Row],[_IsSummary]],COUNTIF(INDEX(Tasks[_LeafCritical],Tasks[[#This Row],[_Row]]+1):INDEX(Tasks[_LeafCritical],Tasks[[#This Row],[_Row]]+Tasks[[#This Row],[_Descendants]]),TRUE())&gt;0,Tasks[[#This Row],[_LeafCritical]]),"Yes",""))</f>
        <v/>
      </c>
      <c r="AC5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0" s="51" t="str">
        <f aca="false">IF(Tasks[[#This Row],[Task Name]]="","",IF(Tasks[[#This Row],[_Level]]&lt;=OutlineShowLevel,"Yes","No"))</f>
        <v/>
      </c>
      <c r="AE50" s="7"/>
      <c r="AF50" s="52"/>
      <c r="AG50" s="53"/>
      <c r="AH50" s="7"/>
      <c r="AI5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0" s="31" t="str">
        <f aca="false">IF(Tasks[[#This Row],[Task Name]]="","",IF(N(Tasks[[#This Row],[Baseline Start]])&gt;0,Tasks[[#This Row],[Baseline Start]],Tasks[[#This Row],[_CalcStart]]))</f>
        <v/>
      </c>
      <c r="AK50" s="31" t="str">
        <f aca="false">IF(Tasks[[#This Row],[Task Name]]="","",IF(N(Tasks[[#This Row],[Baseline Finish]])&gt;0,Tasks[[#This Row],[Baseline Finish]],Tasks[[#This Row],[_CalcFinish]]))</f>
        <v/>
      </c>
      <c r="AL5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0" s="31" t="str">
        <f aca="false">IF(Tasks[[#This Row],[Task Name]]="","",IF(Tasks[[#This Row],[_IsSummary]],MIN(INDEX(Tasks[_LeafLateStart],Tasks[[#This Row],[_Row]]+1):INDEX(Tasks[_LeafLateStart],Tasks[[#This Row],[_Row]]+Tasks[[#This Row],[_Descendants]])),Tasks[[#This Row],[_LeafLateStart]]))</f>
        <v/>
      </c>
      <c r="AN50" s="31" t="str">
        <f aca="false">IF(Tasks[[#This Row],[Task Name]]="","",IF(Tasks[[#This Row],[_IsSummary]],MAX(INDEX(Tasks[_LeafLateFinish],Tasks[[#This Row],[_Row]]+1):INDEX(Tasks[_LeafLateFinish],Tasks[[#This Row],[_Row]]+Tasks[[#This Row],[_Descendants]])),Tasks[[#This Row],[_LeafLateFinish]]))</f>
        <v/>
      </c>
      <c r="AO50" s="51" t="str">
        <f aca="false">IF(Tasks[[#This Row],[Task Name]]="","",IF(Tasks[[#This Row],[_IsSummary]],MIN(INDEX(Tasks[_LeafTotalSlack],Tasks[[#This Row],[_Row]]+1):INDEX(Tasks[_LeafTotalSlack],Tasks[[#This Row],[_Row]]+Tasks[[#This Row],[_Descendants]])),Tasks[[#This Row],[_LeafTotalSlack]]))</f>
        <v/>
      </c>
      <c r="AP5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0" s="110" t="str">
        <f aca="false">IF(Tasks[[#This Row],[Task Name]]="","",IF(Tasks[[#This Row],[_IsSummary]],SUM(INDEX(Tasks[_LeafTotalWork],Tasks[[#This Row],[_Row]]+1):INDEX(Tasks[_LeafTotalWork],Tasks[[#This Row],[_Row]]+Tasks[[#This Row],[_Descendants]])),Tasks[[#This Row],[_LeafTotalWork]]))</f>
        <v/>
      </c>
      <c r="AV5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0" s="111" t="str">
        <f aca="false">IF(Tasks[[#This Row],[Task Name]]="","",IF(Tasks[[#This Row],[_IsSummary]],SUM(INDEX(Tasks[_LeafTotalCost],Tasks[[#This Row],[_Row]]+1):INDEX(Tasks[_LeafTotalCost],Tasks[[#This Row],[_Row]]+Tasks[[#This Row],[_Descendants]])),Tasks[[#This Row],[_LeafTotalCost]]))</f>
        <v/>
      </c>
      <c r="AY50" s="112"/>
      <c r="AZ5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0" s="52"/>
      <c r="BB50" s="98"/>
      <c r="BC50" s="51" t="str">
        <f aca="false">IF(OR(Tasks[[#This Row],[Task Name]]="",Tasks[[#This Row],[Baseline Duration]]=""),"",Tasks[[#This Row],[BL Source Duration]]-N(Tasks[[#This Row],[Baseline Duration]]))</f>
        <v/>
      </c>
      <c r="BD50" s="110" t="str">
        <f aca="false">IF(OR(Tasks[[#This Row],[Task Name]]="",Tasks[[#This Row],[Baseline Work]]=""),"",Tasks[[#This Row],[Work]]-N(Tasks[[#This Row],[Baseline Work]]))</f>
        <v/>
      </c>
      <c r="BE50" s="111" t="str">
        <f aca="false">IF(OR(Tasks[[#This Row],[Task Name]]="",Tasks[[#This Row],[Baseline Cost]]=""),"",Tasks[[#This Row],[Cost]]-N(Tasks[[#This Row],[Baseline Cost]]))</f>
        <v/>
      </c>
      <c r="BF50" s="31" t="str">
        <f aca="false">IF(Tasks[[#This Row],[Task Name]]="","",Tasks[[#This Row],[Forecast Start]])</f>
        <v/>
      </c>
      <c r="BG50" s="31" t="str">
        <f aca="false">IF(Tasks[[#This Row],[Task Name]]="","",Tasks[[#This Row],[Forecast Finish]])</f>
        <v/>
      </c>
      <c r="BH50" s="51" t="str">
        <f aca="false">IF(Tasks[[#This Row],[Task Name]]="","",IF(Tasks[[#This Row],[_IsSummary]],NETWORKDAYS.INTL(Tasks[[#This Row],[Forecast Start]],Tasks[[#This Row],[Forecast Finish]],WorkWeek,Holidays),N(Tasks[[#This Row],[Duration]])))</f>
        <v/>
      </c>
      <c r="BI50" s="110" t="str">
        <f aca="false">IF(Tasks[[#This Row],[Task Name]]="","",Tasks[[#This Row],[Work]])</f>
        <v/>
      </c>
      <c r="BJ50" s="111" t="str">
        <f aca="false">IF(Tasks[[#This Row],[Task Name]]="","",Tasks[[#This Row],[Cost]])</f>
        <v/>
      </c>
      <c r="BK50" s="7"/>
      <c r="BL50" s="7"/>
      <c r="BM50" s="52"/>
      <c r="BN50" s="113"/>
      <c r="BO50" s="112"/>
      <c r="BP50" s="111" t="str">
        <f aca="false">IF(Tasks[[#This Row],[Task Name]]="","",IF(Tasks[[#This Row],[_IsSummary]],SUM(INDEX(Tasks[_LeafEV],Tasks[[#This Row],[_Row]]+1):INDEX(Tasks[_LeafEV],Tasks[[#This Row],[_Row]]+Tasks[[#This Row],[_Descendants]])),Tasks[[#This Row],[_LeafEV]]))</f>
        <v/>
      </c>
      <c r="BQ50" s="111" t="str">
        <f aca="false">IF(Tasks[[#This Row],[Task Name]]="","",IF(Tasks[[#This Row],[_IsSummary]],SUM(INDEX(Tasks[_LeafBudget],Tasks[[#This Row],[_Row]]+1):INDEX(Tasks[_LeafBudget],Tasks[[#This Row],[_Row]]+Tasks[[#This Row],[_Descendants]])),Tasks[[#This Row],[_LeafBudget]]))</f>
        <v/>
      </c>
      <c r="BR50" s="111" t="str">
        <f aca="false">IF(Tasks[[#This Row],[Task Name]]="","",IF(Tasks[[#This Row],[_IsSummary]],SUM(INDEX(Tasks[_LeafPV],Tasks[[#This Row],[_Row]]+1):INDEX(Tasks[_LeafPV],Tasks[[#This Row],[_Row]]+Tasks[[#This Row],[_Descendants]])),Tasks[[#This Row],[_LeafPV]]))</f>
        <v/>
      </c>
      <c r="BS50" s="111" t="str">
        <f aca="false">IF(Tasks[[#This Row],[Task Name]]="","",IF(Tasks[[#This Row],[_IsSummary]],SUM(INDEX(Tasks[_LeafAC],Tasks[[#This Row],[_Row]]+1):INDEX(Tasks[_LeafAC],Tasks[[#This Row],[_Row]]+Tasks[[#This Row],[_Descendants]])),Tasks[[#This Row],[_LeafAC]]))</f>
        <v/>
      </c>
      <c r="BT50" s="38" t="str">
        <f aca="false">IF(Tasks[[#This Row],[Task Name]]="","",MAX(1,N(Tasks[[#This Row],[Level]])))</f>
        <v/>
      </c>
      <c r="BU50" s="38" t="n">
        <f aca="false">ROW()-ROW(Tasks[[#Headers],[ID]])</f>
        <v>45</v>
      </c>
      <c r="BV50" s="38" t="n">
        <f aca="false">IF(OR(Tasks[[#This Row],[Task Name]]="",Tasks[[#This Row],[_Level]]&lt;=1),0,IFERROR(LOOKUP(2,1/(Tasks[[#Headers],[_Level]]:Tasks[[#This Row],[_Level]]=Tasks[[#This Row],[_Level]]-1),ROW(Tasks[[#Headers],[_Level]]:Tasks[[#This Row],[_Level]])),0))</f>
        <v>0</v>
      </c>
      <c r="BW50" s="38" t="n">
        <f aca="false">IFERROR(N(INDEX(Tasks[_Level],Tasks[[#This Row],[_Row]]+1)),0)</f>
        <v>0</v>
      </c>
      <c r="BX50" s="114" t="b">
        <f aca="false">AND(Tasks[[#This Row],[Task Name]]&lt;&gt;"",Tasks[[#This Row],[_NextLevel]]&gt;Tasks[[#This Row],[_Level]])</f>
        <v>0</v>
      </c>
      <c r="BY50" s="38" t="n">
        <f aca="false">IF(Tasks[[#This Row],[_IsSummary]],COUNTIF(Tasks[WBS],Tasks[[#This Row],[WBS]]&amp;".*"),0)</f>
        <v>0</v>
      </c>
      <c r="BZ50" s="38" t="n">
        <f aca="false">IF(AND(Tasks[[#This Row],[Task Name]]&lt;&gt;"",NOT(Tasks[[#This Row],[_IsSummary]])),1,0)</f>
        <v>0</v>
      </c>
      <c r="CA50" s="38" t="n">
        <f aca="false">IF(N(Tasks[[#This Row],[Pred1 UID]])=0,0,IFERROR(MATCH(Tasks[[#This Row],[Pred1 UID]],Tasks[UID],0),-1))</f>
        <v>0</v>
      </c>
      <c r="CB50" s="38" t="n">
        <f aca="false">IF(N(Tasks[[#This Row],[Pred2 UID]])=0,0,IFERROR(MATCH(Tasks[[#This Row],[Pred2 UID]],Tasks[UID],0),-1))</f>
        <v>0</v>
      </c>
      <c r="CC50" s="38" t="n">
        <f aca="false">IF(N(Tasks[[#This Row],[Pred3 UID]])=0,0,IFERROR(MATCH(Tasks[[#This Row],[Pred3 UID]],Tasks[UID],0),-1))</f>
        <v>0</v>
      </c>
      <c r="CD50" s="38" t="n">
        <f aca="false">IF(N(Tasks[[#This Row],[Pred4 UID]])=0,0,IFERROR(MATCH(Tasks[[#This Row],[Pred4 UID]],Tasks[UID],0),-1))</f>
        <v>0</v>
      </c>
      <c r="CE5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0" s="115" t="n">
        <f aca="false">IF(OR(Tasks[[#This Row],[_ConstraintCode]]=2,Tasks[[#This Row],[_ConstraintCode]]=3,Tasks[[#This Row],[_ConstraintCode]]=4,Tasks[[#This Row],[_ConstraintCode]]=6),Tasks[[#This Row],[_ConstraintStart]],0)</f>
        <v>0</v>
      </c>
      <c r="CH50" s="115" t="n">
        <f aca="false">IF(OR(Tasks[[#This Row],[_ConstraintCode]]=2,Tasks[[#This Row],[_ConstraintCode]]=3,Tasks[[#This Row],[_ConstraintCode]]=5,Tasks[[#This Row],[_ConstraintCode]]=7),Tasks[[#This Row],[_ConstraintStart]],2958465)</f>
        <v>2958465</v>
      </c>
      <c r="CI5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0" s="115" t="str">
        <f aca="false">IF(NOT(Tasks[[#This Row],[_IsLeaf]]=1),"",IF(N(Tasks[[#This Row],[Duration]])&lt;=0,Tasks[[#This Row],[_LeafCalcStart]],WORKDAY.INTL(Tasks[[#This Row],[_LeafCalcStart]],Tasks[[#This Row],[Duration]]-1,WorkWeek,Holidays)))</f>
        <v/>
      </c>
      <c r="CK5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0" s="38" t="n">
        <f aca="false">IF(NOT(Tasks[[#This Row],[_IsLeaf]]=1),0,IF(N(Tasks[[#This Row],[Actual Finish]])&gt;0,1,MIN(1,N(Tasks[[#This Row],[% Complete]]))))</f>
        <v>0</v>
      </c>
      <c r="CN50" s="38" t="n">
        <f aca="false">IF(OR(NOT(Tasks[[#This Row],[_IsLeaf]]=1),Tasks[[#This Row],[Resource]]=""),0,N(Tasks[[#This Row],[Duration]])*HoursPerDay*IF(Tasks[[#This Row],[Units]]="",DefaultUnits,Tasks[[#This Row],[Units]]))</f>
        <v>0</v>
      </c>
      <c r="CO50" s="38" t="n">
        <f aca="false">IF(Tasks[[#This Row],[_LeafWork]]=0,0,Tasks[[#This Row],[_LeafWork]]*IFERROR(INDEX(res_Rate,MATCH(Tasks[[#This Row],[Resource]],res_Name,0)),0))</f>
        <v>0</v>
      </c>
      <c r="CP50" s="38" t="n">
        <f aca="false">Tasks[[#This Row],[_LeafWork]]+IF(Tasks[[#This Row],[_IsLeaf]]=1,SUMIFS(asg_Work,asg_TaskUID,Tasks[[#This Row],[UID]],asg_Valid,1),0)</f>
        <v>0</v>
      </c>
      <c r="CQ50" s="38" t="n">
        <f aca="false">Tasks[[#This Row],[_LeafCost]]+IF(Tasks[[#This Row],[_IsLeaf]]=1,SUMIFS(asg_Cost,asg_TaskUID,Tasks[[#This Row],[UID]],asg_Valid,1),0)</f>
        <v>0</v>
      </c>
      <c r="CR50" s="38" t="n">
        <f aca="false">IF(Tasks[[#This Row],[_LeafTotalCost]]=0,Tasks[[#This Row],[_LeafAC]],Tasks[[#This Row],[_LeafAC]]*Tasks[[#This Row],[_LeafCost]]/Tasks[[#This Row],[_LeafTotalCost]])</f>
        <v>0</v>
      </c>
      <c r="CS5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0" s="38" t="n">
        <f aca="false">IF(NOT(Tasks[[#This Row],[_IsLeaf]]=1),0,MAX(_xlfn.MAXIFS(Tasks[_Row],Tasks[Pred1 UID],Tasks[[#This Row],[UID]]),_xlfn.MAXIFS(Tasks[_Row],Tasks[Pred2 UID],Tasks[[#This Row],[UID]]),_xlfn.MAXIFS(Tasks[_Row],Tasks[Pred3 UID],Tasks[[#This Row],[UID]]),_xlfn.MAXIFS(Tasks[_Row],Tasks[Pred4 UID],Tasks[[#This Row],[UID]])))</f>
        <v>0</v>
      </c>
      <c r="DB5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0" s="115" t="str">
        <f aca="false">IF(NOT(Tasks[[#This Row],[_IsLeaf]]=1),"",IF(N(Tasks[[#This Row],[Duration]])&lt;=0,Tasks[[#This Row],[_LeafLateFinish]],WORKDAY.INTL(Tasks[[#This Row],[_LeafLateFinish]],-(Tasks[[#This Row],[Duration]]-1),WorkWeek,Holidays)))</f>
        <v/>
      </c>
      <c r="DE5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0" s="114" t="b">
        <f aca="false">AND(Tasks[[#This Row],[_IsLeaf]]=1,Tasks[[#This Row],[_LeafProgress]]&lt;1,N(Tasks[[#This Row],[_LeafTotalSlack]])&lt;=CriticalSlackDays)</f>
        <v>0</v>
      </c>
      <c r="DG50" s="38" t="n">
        <f aca="false">IF(AND(Tasks[[#This Row],[_IsLeaf]]=1,Tasks[[#This Row],[_ConstraintCode]]=1,Tasks[[#This Row],[Mode]]&lt;&gt;"Manual",N(Tasks[[#This Row],[Actual Start]])=0),MAX(0,N(Tasks[[#This Row],[Free Slack]])),0)</f>
        <v>0</v>
      </c>
      <c r="DH50" s="115" t="str">
        <f aca="false">IF(NOT(Tasks[[#This Row],[_IsLeaf]]=1),"",IF(Tasks[[#This Row],[_AlapShift]]=0,Tasks[[#This Row],[_LeafCalcStart]],WORKDAY.INTL(Tasks[[#This Row],[_LeafCalcStart]],Tasks[[#This Row],[_AlapShift]],WorkWeek,Holidays)))</f>
        <v/>
      </c>
      <c r="DI50" s="115" t="str">
        <f aca="false">IF(NOT(Tasks[[#This Row],[_IsLeaf]]=1),"",IF(Tasks[[#This Row],[_AlapShift]]=0,Tasks[[#This Row],[_LeafCalcFinish]],WORKDAY.INTL(Tasks[[#This Row],[_LeafCalcFinish]],Tasks[[#This Row],[_AlapShift]],WorkWeek,Holidays)))</f>
        <v/>
      </c>
      <c r="DJ50" s="115" t="str">
        <f aca="false">IF(NOT(Tasks[[#This Row],[_IsLeaf]]=1),"",IF(Tasks[[#This Row],[_AlapShift]]=0,Tasks[[#This Row],[_LeafFcstStart]],WORKDAY.INTL(Tasks[[#This Row],[_LeafFcstStart]],Tasks[[#This Row],[_AlapShift]],WorkWeek,Holidays)))</f>
        <v/>
      </c>
      <c r="DK50" s="115" t="str">
        <f aca="false">IF(NOT(Tasks[[#This Row],[_IsLeaf]]=1),"",IF(Tasks[[#This Row],[_AlapShift]]=0,Tasks[[#This Row],[_LeafFcstFinish]],WORKDAY.INTL(Tasks[[#This Row],[_LeafFcstFinish]],Tasks[[#This Row],[_AlapShift]],WorkWeek,Holidays)))</f>
        <v/>
      </c>
      <c r="DL50" s="115" t="str">
        <f aca="false">IF(Tasks[[#This Row],[Task Name]]="","",IF(Tasks[[#This Row],[_IsSummary]],MIN(INDEX(Tasks[_ShownCalcStart],Tasks[[#This Row],[_Row]]+1):INDEX(Tasks[_ShownCalcStart],Tasks[[#This Row],[_Row]]+Tasks[[#This Row],[_Descendants]])),Tasks[[#This Row],[_ShownCalcStart]]))</f>
        <v/>
      </c>
      <c r="DM50" s="115" t="str">
        <f aca="false">IF(Tasks[[#This Row],[Task Name]]="","",IF(Tasks[[#This Row],[_IsSummary]],MAX(INDEX(Tasks[_ShownCalcFinish],Tasks[[#This Row],[_Row]]+1):INDEX(Tasks[_ShownCalcFinish],Tasks[[#This Row],[_Row]]+Tasks[[#This Row],[_Descendants]])),Tasks[[#This Row],[_ShownCalcFinish]]))</f>
        <v/>
      </c>
      <c r="DN5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0" s="38" t="n">
        <f aca="false">IF(AND(Tasks[[#This Row],[_IsLeaf]]=1,Tasks[[#This Row],[_LeafTotalWork]]&gt;0),NETWORKDAYS.INTL(ProjectStart,Tasks[[#This Row],[_ShownFcstStart]],WorkWeek,Holidays),0)</f>
        <v>0</v>
      </c>
      <c r="EA50" s="38" t="n">
        <f aca="false">IF(AND(Tasks[[#This Row],[_IsLeaf]]=1,Tasks[[#This Row],[_LeafTotalWork]]&gt;0),MAX(Tasks[[#This Row],[_StartWorkday]],NETWORKDAYS.INTL(ProjectStart,Tasks[[#This Row],[_ShownFcstFinish]],WorkWeek,Holidays)),0)</f>
        <v>0</v>
      </c>
      <c r="EB50" s="38" t="n">
        <f aca="false">IF(AND(Tasks[[#This Row],[_IsLeaf]]=1,Tasks[[#This Row],[_LeafTotalWork]]&gt;0),Tasks[[#This Row],[_LeafWork]]/(Tasks[[#This Row],[_FinishWorkday]]-Tasks[[#This Row],[_StartWorkday]]+1),0)</f>
        <v>0</v>
      </c>
      <c r="EC50" s="38" t="n">
        <f aca="false">Tasks[[#This Row],[_WorkPerWorkday]]*(Tasks[[#This Row],[_StartWorkday]]-1)</f>
        <v>-0</v>
      </c>
      <c r="ED50" s="38" t="n">
        <f aca="false">IF(Tasks[[#This Row],[_IsLeaf]]=1,MAX(N(Tasks[[#This Row],[Duration]]),0.1),0)</f>
        <v>0</v>
      </c>
      <c r="EE50" s="38" t="n">
        <f aca="false">Tasks[[#This Row],[_WeightDur]]*Tasks[[#This Row],[_LeafProgress]]</f>
        <v>0</v>
      </c>
      <c r="EF5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0" s="38" t="str">
        <f aca="false">IF(AND(Tasks[[#This Row],[_IsLeaf]]=1,N(Tasks[[#This Row],[Duration]])=0,Tasks[[#This Row],[_LeafProgress]]&lt;1),Tasks[[#This Row],[_ShownFcstFinish]]+Tasks[[#This Row],[_Row]]/100000,"")</f>
        <v/>
      </c>
      <c r="EH5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0" s="38" t="n">
        <f aca="false">IF(NOT(Tasks[[#This Row],[_IsLeaf]]=1),0,IF(Tasks[[#This Row],[Baseline Cost]]="",Tasks[[#This Row],[_LeafTotalCost]],N(Tasks[[#This Row],[Baseline Cost]])))</f>
        <v>0</v>
      </c>
      <c r="EJ50" s="38" t="n">
        <f aca="false">Tasks[[#This Row],[_LeafBudget]]*Tasks[[#This Row],[_PlannedPct]]</f>
        <v>0</v>
      </c>
      <c r="EK50" s="38" t="n">
        <f aca="false">Tasks[[#This Row],[_LeafBudget]]*Tasks[[#This Row],[_LeafProgress]]</f>
        <v>0</v>
      </c>
      <c r="EL50" s="38" t="n">
        <f aca="false">IF(NOT(Tasks[[#This Row],[_IsLeaf]]=1),0,IF(Tasks[[#This Row],[Actual Cost]]="",Tasks[[#This Row],[_LeafTotalCost]]*Tasks[[#This Row],[_LeafProgress]],N(Tasks[[#This Row],[Actual Cost]])))</f>
        <v>0</v>
      </c>
      <c r="EM50" s="38" t="str">
        <f aca="false">IF(Tasks[[#This Row],[Task Name]]="","",LEFT(Tasks[[#This Row],[WBS]],FIND(".",Tasks[[#This Row],[WBS]]&amp;".")-1))</f>
        <v/>
      </c>
      <c r="EN50" s="38" t="str">
        <f aca="false">IF(AND(Tasks[[#This Row],[Task Name]]&lt;&gt;"",Tasks[[#This Row],[_Level]]=1),Tasks[[#This Row],[_Row]],"")</f>
        <v/>
      </c>
      <c r="EO50" s="38" t="str">
        <f aca="false">IF(AND(Tasks[[#This Row],[_IsLeaf]]=1,N(Tasks[[#This Row],[Duration]])=0),Tasks[[#This Row],[Planned Finish]]+Tasks[[#This Row],[_Row]]/100000,"")</f>
        <v/>
      </c>
      <c r="EP50" s="38" t="str">
        <f aca="false">IF(AND(Tasks[[#This Row],[_IsLeaf]]=1,Tasks[[#This Row],[_LeafProgress]]&lt;1,OR(N(Tasks[[#This Row],[Finish Var]])&gt;0,Tasks[[#This Row],[Status]]="Late Start")),MAX(0,Tasks[[#This Row],[Finish Var]])+1-Tasks[[#This Row],[_Row]]/1000000,"")</f>
        <v/>
      </c>
      <c r="EQ50" s="38" t="str">
        <f aca="false">IF(AND(Tasks[[#This Row],[_IsLeaf]]=1,N(Tasks[[#This Row],[Actual Start]])=0,Tasks[[#This Row],[_ShownFcstStart]]&gt;=StatusDate,Tasks[[#This Row],[_ShownFcstStart]]&lt;=LookaheadEnd),Tasks[[#This Row],[_ShownFcstStart]]+Tasks[[#This Row],[_Row]]/100000,"")</f>
        <v/>
      </c>
      <c r="ER50" s="38" t="str">
        <f aca="false">IF(AND(Tasks[[#This Row],[_IsLeaf]]=1,Tasks[[#This Row],[_LeafProgress]]&lt;1,Tasks[[#This Row],[_ShownFcstFinish]]&gt;=StatusDate,Tasks[[#This Row],[_ShownFcstFinish]]&lt;=LookaheadEnd),Tasks[[#This Row],[_ShownFcstFinish]]+Tasks[[#This Row],[_Row]]/100000,"")</f>
        <v/>
      </c>
      <c r="ES50" s="38" t="str">
        <f aca="false">IF(Tasks[[#This Row],[_LeafCritical]],Tasks[[#This Row],[_ShownFcstStart]]+Tasks[[#This Row],[_Row]]/100000,"")</f>
        <v/>
      </c>
      <c r="ET50" s="38" t="n">
        <f aca="false">Tasks[[#This Row],[_LeafWork]]*Tasks[[#This Row],[_LeafProgress]]</f>
        <v>0</v>
      </c>
      <c r="EU50" s="115" t="str">
        <f aca="false">IF(AND(Tasks[[#This Row],[_IsLeaf]]=1,Tasks[[#This Row],[_LeafProgress]]&gt;=1),IF(N(Tasks[[#This Row],[Actual Finish]])&gt;0,Tasks[[#This Row],[Actual Finish]],Tasks[[#This Row],[_ShownFcstFinish]]),"")</f>
        <v/>
      </c>
      <c r="EV50" s="38" t="n">
        <f aca="false">IF(Tasks[[#This Row],[_IsLeaf]]=1,N(Tasks[[#This Row],[Story Points]]),0)</f>
        <v>0</v>
      </c>
      <c r="EW50" s="38" t="str">
        <f aca="false">IF(AND(Tasks[[#This Row],[_IsLeaf]]=1,CurrentSprint&lt;&gt;"",Tasks[[#This Row],[Sprint]]=CurrentSprint),Tasks[[#This Row],[_Row]],"")</f>
        <v/>
      </c>
    </row>
    <row r="51" customFormat="false" ht="15" hidden="false" customHeight="false" outlineLevel="0" collapsed="false">
      <c r="A51" s="51" t="str">
        <f aca="false">IF(Tasks[[#This Row],[Task Name]]="","",COUNTA(Tasks[[#Headers],[Task Name]]:Tasks[[#This Row],[Task Name]])-1)</f>
        <v/>
      </c>
      <c r="B51" s="52" t="n">
        <v>46</v>
      </c>
      <c r="C5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52"/>
      <c r="E51" s="53"/>
      <c r="F51" s="52"/>
      <c r="G51" s="52"/>
      <c r="H51" s="52"/>
      <c r="I51" s="52"/>
      <c r="J51" s="52"/>
      <c r="K51" s="52"/>
      <c r="L51" s="52"/>
      <c r="M51" s="52"/>
      <c r="N51" s="52"/>
      <c r="O51" s="52"/>
      <c r="P51" s="52"/>
      <c r="Q51" s="52"/>
      <c r="R51" s="52"/>
      <c r="S51" s="53"/>
      <c r="T51" s="102"/>
      <c r="U51" s="102"/>
      <c r="V51" s="7"/>
      <c r="W51" s="7"/>
      <c r="X51" s="53"/>
      <c r="Y51" s="31" t="str">
        <f aca="false">IF(Tasks[[#This Row],[Task Name]]="","",IF(Tasks[[#This Row],[_IsSummary]],MIN(INDEX(Tasks[_ShownFcstStart],Tasks[[#This Row],[_Row]]+1):INDEX(Tasks[_ShownFcstStart],Tasks[[#This Row],[_Row]]+Tasks[[#This Row],[_Descendants]])),Tasks[[#This Row],[_ShownFcstStart]]))</f>
        <v/>
      </c>
      <c r="Z51" s="31" t="str">
        <f aca="false">IF(Tasks[[#This Row],[Task Name]]="","",IF(Tasks[[#This Row],[_IsSummary]],MAX(INDEX(Tasks[_ShownFcstFinish],Tasks[[#This Row],[_Row]]+1):INDEX(Tasks[_ShownFcstFinish],Tasks[[#This Row],[_Row]]+Tasks[[#This Row],[_Descendants]])),Tasks[[#This Row],[_ShownFcstFinish]]))</f>
        <v/>
      </c>
      <c r="AA51" s="51" t="str">
        <f aca="false">IF(Tasks[[#This Row],[Task Name]]="","",IF(Tasks[[#This Row],[Progress]]&gt;=1,"Complete",IF(OR(N(Tasks[[#This Row],[Actual Start]])&gt;0,Tasks[[#This Row],[Progress]]&gt;0),IF(Tasks[[#This Row],[Finish Var]]&gt;0,"Behind","In Progress"),IF(Tasks[[#This Row],[Planned Start]]&lt;StatusDate,"Late Start","Not Started"))))</f>
        <v/>
      </c>
      <c r="AB51" s="51" t="str">
        <f aca="false">IF(Tasks[[#This Row],[Task Name]]="","",IF(IF(Tasks[[#This Row],[_IsSummary]],COUNTIF(INDEX(Tasks[_LeafCritical],Tasks[[#This Row],[_Row]]+1):INDEX(Tasks[_LeafCritical],Tasks[[#This Row],[_Row]]+Tasks[[#This Row],[_Descendants]]),TRUE())&gt;0,Tasks[[#This Row],[_LeafCritical]]),"Yes",""))</f>
        <v/>
      </c>
      <c r="AC5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1" s="51" t="str">
        <f aca="false">IF(Tasks[[#This Row],[Task Name]]="","",IF(Tasks[[#This Row],[_Level]]&lt;=OutlineShowLevel,"Yes","No"))</f>
        <v/>
      </c>
      <c r="AE51" s="7"/>
      <c r="AF51" s="52"/>
      <c r="AG51" s="53"/>
      <c r="AH51" s="7"/>
      <c r="AI5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1" s="31" t="str">
        <f aca="false">IF(Tasks[[#This Row],[Task Name]]="","",IF(N(Tasks[[#This Row],[Baseline Start]])&gt;0,Tasks[[#This Row],[Baseline Start]],Tasks[[#This Row],[_CalcStart]]))</f>
        <v/>
      </c>
      <c r="AK51" s="31" t="str">
        <f aca="false">IF(Tasks[[#This Row],[Task Name]]="","",IF(N(Tasks[[#This Row],[Baseline Finish]])&gt;0,Tasks[[#This Row],[Baseline Finish]],Tasks[[#This Row],[_CalcFinish]]))</f>
        <v/>
      </c>
      <c r="AL5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1" s="31" t="str">
        <f aca="false">IF(Tasks[[#This Row],[Task Name]]="","",IF(Tasks[[#This Row],[_IsSummary]],MIN(INDEX(Tasks[_LeafLateStart],Tasks[[#This Row],[_Row]]+1):INDEX(Tasks[_LeafLateStart],Tasks[[#This Row],[_Row]]+Tasks[[#This Row],[_Descendants]])),Tasks[[#This Row],[_LeafLateStart]]))</f>
        <v/>
      </c>
      <c r="AN51" s="31" t="str">
        <f aca="false">IF(Tasks[[#This Row],[Task Name]]="","",IF(Tasks[[#This Row],[_IsSummary]],MAX(INDEX(Tasks[_LeafLateFinish],Tasks[[#This Row],[_Row]]+1):INDEX(Tasks[_LeafLateFinish],Tasks[[#This Row],[_Row]]+Tasks[[#This Row],[_Descendants]])),Tasks[[#This Row],[_LeafLateFinish]]))</f>
        <v/>
      </c>
      <c r="AO51" s="51" t="str">
        <f aca="false">IF(Tasks[[#This Row],[Task Name]]="","",IF(Tasks[[#This Row],[_IsSummary]],MIN(INDEX(Tasks[_LeafTotalSlack],Tasks[[#This Row],[_Row]]+1):INDEX(Tasks[_LeafTotalSlack],Tasks[[#This Row],[_Row]]+Tasks[[#This Row],[_Descendants]])),Tasks[[#This Row],[_LeafTotalSlack]]))</f>
        <v/>
      </c>
      <c r="AP5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1" s="110" t="str">
        <f aca="false">IF(Tasks[[#This Row],[Task Name]]="","",IF(Tasks[[#This Row],[_IsSummary]],SUM(INDEX(Tasks[_LeafTotalWork],Tasks[[#This Row],[_Row]]+1):INDEX(Tasks[_LeafTotalWork],Tasks[[#This Row],[_Row]]+Tasks[[#This Row],[_Descendants]])),Tasks[[#This Row],[_LeafTotalWork]]))</f>
        <v/>
      </c>
      <c r="AV5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1" s="111" t="str">
        <f aca="false">IF(Tasks[[#This Row],[Task Name]]="","",IF(Tasks[[#This Row],[_IsSummary]],SUM(INDEX(Tasks[_LeafTotalCost],Tasks[[#This Row],[_Row]]+1):INDEX(Tasks[_LeafTotalCost],Tasks[[#This Row],[_Row]]+Tasks[[#This Row],[_Descendants]])),Tasks[[#This Row],[_LeafTotalCost]]))</f>
        <v/>
      </c>
      <c r="AY51" s="112"/>
      <c r="AZ5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1" s="52"/>
      <c r="BB51" s="98"/>
      <c r="BC51" s="51" t="str">
        <f aca="false">IF(OR(Tasks[[#This Row],[Task Name]]="",Tasks[[#This Row],[Baseline Duration]]=""),"",Tasks[[#This Row],[BL Source Duration]]-N(Tasks[[#This Row],[Baseline Duration]]))</f>
        <v/>
      </c>
      <c r="BD51" s="110" t="str">
        <f aca="false">IF(OR(Tasks[[#This Row],[Task Name]]="",Tasks[[#This Row],[Baseline Work]]=""),"",Tasks[[#This Row],[Work]]-N(Tasks[[#This Row],[Baseline Work]]))</f>
        <v/>
      </c>
      <c r="BE51" s="111" t="str">
        <f aca="false">IF(OR(Tasks[[#This Row],[Task Name]]="",Tasks[[#This Row],[Baseline Cost]]=""),"",Tasks[[#This Row],[Cost]]-N(Tasks[[#This Row],[Baseline Cost]]))</f>
        <v/>
      </c>
      <c r="BF51" s="31" t="str">
        <f aca="false">IF(Tasks[[#This Row],[Task Name]]="","",Tasks[[#This Row],[Forecast Start]])</f>
        <v/>
      </c>
      <c r="BG51" s="31" t="str">
        <f aca="false">IF(Tasks[[#This Row],[Task Name]]="","",Tasks[[#This Row],[Forecast Finish]])</f>
        <v/>
      </c>
      <c r="BH51" s="51" t="str">
        <f aca="false">IF(Tasks[[#This Row],[Task Name]]="","",IF(Tasks[[#This Row],[_IsSummary]],NETWORKDAYS.INTL(Tasks[[#This Row],[Forecast Start]],Tasks[[#This Row],[Forecast Finish]],WorkWeek,Holidays),N(Tasks[[#This Row],[Duration]])))</f>
        <v/>
      </c>
      <c r="BI51" s="110" t="str">
        <f aca="false">IF(Tasks[[#This Row],[Task Name]]="","",Tasks[[#This Row],[Work]])</f>
        <v/>
      </c>
      <c r="BJ51" s="111" t="str">
        <f aca="false">IF(Tasks[[#This Row],[Task Name]]="","",Tasks[[#This Row],[Cost]])</f>
        <v/>
      </c>
      <c r="BK51" s="7"/>
      <c r="BL51" s="7"/>
      <c r="BM51" s="52"/>
      <c r="BN51" s="113"/>
      <c r="BO51" s="112"/>
      <c r="BP51" s="111" t="str">
        <f aca="false">IF(Tasks[[#This Row],[Task Name]]="","",IF(Tasks[[#This Row],[_IsSummary]],SUM(INDEX(Tasks[_LeafEV],Tasks[[#This Row],[_Row]]+1):INDEX(Tasks[_LeafEV],Tasks[[#This Row],[_Row]]+Tasks[[#This Row],[_Descendants]])),Tasks[[#This Row],[_LeafEV]]))</f>
        <v/>
      </c>
      <c r="BQ51" s="111" t="str">
        <f aca="false">IF(Tasks[[#This Row],[Task Name]]="","",IF(Tasks[[#This Row],[_IsSummary]],SUM(INDEX(Tasks[_LeafBudget],Tasks[[#This Row],[_Row]]+1):INDEX(Tasks[_LeafBudget],Tasks[[#This Row],[_Row]]+Tasks[[#This Row],[_Descendants]])),Tasks[[#This Row],[_LeafBudget]]))</f>
        <v/>
      </c>
      <c r="BR51" s="111" t="str">
        <f aca="false">IF(Tasks[[#This Row],[Task Name]]="","",IF(Tasks[[#This Row],[_IsSummary]],SUM(INDEX(Tasks[_LeafPV],Tasks[[#This Row],[_Row]]+1):INDEX(Tasks[_LeafPV],Tasks[[#This Row],[_Row]]+Tasks[[#This Row],[_Descendants]])),Tasks[[#This Row],[_LeafPV]]))</f>
        <v/>
      </c>
      <c r="BS51" s="111" t="str">
        <f aca="false">IF(Tasks[[#This Row],[Task Name]]="","",IF(Tasks[[#This Row],[_IsSummary]],SUM(INDEX(Tasks[_LeafAC],Tasks[[#This Row],[_Row]]+1):INDEX(Tasks[_LeafAC],Tasks[[#This Row],[_Row]]+Tasks[[#This Row],[_Descendants]])),Tasks[[#This Row],[_LeafAC]]))</f>
        <v/>
      </c>
      <c r="BT51" s="38" t="str">
        <f aca="false">IF(Tasks[[#This Row],[Task Name]]="","",MAX(1,N(Tasks[[#This Row],[Level]])))</f>
        <v/>
      </c>
      <c r="BU51" s="38" t="n">
        <f aca="false">ROW()-ROW(Tasks[[#Headers],[ID]])</f>
        <v>46</v>
      </c>
      <c r="BV51" s="38" t="n">
        <f aca="false">IF(OR(Tasks[[#This Row],[Task Name]]="",Tasks[[#This Row],[_Level]]&lt;=1),0,IFERROR(LOOKUP(2,1/(Tasks[[#Headers],[_Level]]:Tasks[[#This Row],[_Level]]=Tasks[[#This Row],[_Level]]-1),ROW(Tasks[[#Headers],[_Level]]:Tasks[[#This Row],[_Level]])),0))</f>
        <v>0</v>
      </c>
      <c r="BW51" s="38" t="n">
        <f aca="false">IFERROR(N(INDEX(Tasks[_Level],Tasks[[#This Row],[_Row]]+1)),0)</f>
        <v>0</v>
      </c>
      <c r="BX51" s="114" t="b">
        <f aca="false">AND(Tasks[[#This Row],[Task Name]]&lt;&gt;"",Tasks[[#This Row],[_NextLevel]]&gt;Tasks[[#This Row],[_Level]])</f>
        <v>0</v>
      </c>
      <c r="BY51" s="38" t="n">
        <f aca="false">IF(Tasks[[#This Row],[_IsSummary]],COUNTIF(Tasks[WBS],Tasks[[#This Row],[WBS]]&amp;".*"),0)</f>
        <v>0</v>
      </c>
      <c r="BZ51" s="38" t="n">
        <f aca="false">IF(AND(Tasks[[#This Row],[Task Name]]&lt;&gt;"",NOT(Tasks[[#This Row],[_IsSummary]])),1,0)</f>
        <v>0</v>
      </c>
      <c r="CA51" s="38" t="n">
        <f aca="false">IF(N(Tasks[[#This Row],[Pred1 UID]])=0,0,IFERROR(MATCH(Tasks[[#This Row],[Pred1 UID]],Tasks[UID],0),-1))</f>
        <v>0</v>
      </c>
      <c r="CB51" s="38" t="n">
        <f aca="false">IF(N(Tasks[[#This Row],[Pred2 UID]])=0,0,IFERROR(MATCH(Tasks[[#This Row],[Pred2 UID]],Tasks[UID],0),-1))</f>
        <v>0</v>
      </c>
      <c r="CC51" s="38" t="n">
        <f aca="false">IF(N(Tasks[[#This Row],[Pred3 UID]])=0,0,IFERROR(MATCH(Tasks[[#This Row],[Pred3 UID]],Tasks[UID],0),-1))</f>
        <v>0</v>
      </c>
      <c r="CD51" s="38" t="n">
        <f aca="false">IF(N(Tasks[[#This Row],[Pred4 UID]])=0,0,IFERROR(MATCH(Tasks[[#This Row],[Pred4 UID]],Tasks[UID],0),-1))</f>
        <v>0</v>
      </c>
      <c r="CE5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1" s="115" t="n">
        <f aca="false">IF(OR(Tasks[[#This Row],[_ConstraintCode]]=2,Tasks[[#This Row],[_ConstraintCode]]=3,Tasks[[#This Row],[_ConstraintCode]]=4,Tasks[[#This Row],[_ConstraintCode]]=6),Tasks[[#This Row],[_ConstraintStart]],0)</f>
        <v>0</v>
      </c>
      <c r="CH51" s="115" t="n">
        <f aca="false">IF(OR(Tasks[[#This Row],[_ConstraintCode]]=2,Tasks[[#This Row],[_ConstraintCode]]=3,Tasks[[#This Row],[_ConstraintCode]]=5,Tasks[[#This Row],[_ConstraintCode]]=7),Tasks[[#This Row],[_ConstraintStart]],2958465)</f>
        <v>2958465</v>
      </c>
      <c r="CI5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1" s="115" t="str">
        <f aca="false">IF(NOT(Tasks[[#This Row],[_IsLeaf]]=1),"",IF(N(Tasks[[#This Row],[Duration]])&lt;=0,Tasks[[#This Row],[_LeafCalcStart]],WORKDAY.INTL(Tasks[[#This Row],[_LeafCalcStart]],Tasks[[#This Row],[Duration]]-1,WorkWeek,Holidays)))</f>
        <v/>
      </c>
      <c r="CK5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1" s="38" t="n">
        <f aca="false">IF(NOT(Tasks[[#This Row],[_IsLeaf]]=1),0,IF(N(Tasks[[#This Row],[Actual Finish]])&gt;0,1,MIN(1,N(Tasks[[#This Row],[% Complete]]))))</f>
        <v>0</v>
      </c>
      <c r="CN51" s="38" t="n">
        <f aca="false">IF(OR(NOT(Tasks[[#This Row],[_IsLeaf]]=1),Tasks[[#This Row],[Resource]]=""),0,N(Tasks[[#This Row],[Duration]])*HoursPerDay*IF(Tasks[[#This Row],[Units]]="",DefaultUnits,Tasks[[#This Row],[Units]]))</f>
        <v>0</v>
      </c>
      <c r="CO51" s="38" t="n">
        <f aca="false">IF(Tasks[[#This Row],[_LeafWork]]=0,0,Tasks[[#This Row],[_LeafWork]]*IFERROR(INDEX(res_Rate,MATCH(Tasks[[#This Row],[Resource]],res_Name,0)),0))</f>
        <v>0</v>
      </c>
      <c r="CP51" s="38" t="n">
        <f aca="false">Tasks[[#This Row],[_LeafWork]]+IF(Tasks[[#This Row],[_IsLeaf]]=1,SUMIFS(asg_Work,asg_TaskUID,Tasks[[#This Row],[UID]],asg_Valid,1),0)</f>
        <v>0</v>
      </c>
      <c r="CQ51" s="38" t="n">
        <f aca="false">Tasks[[#This Row],[_LeafCost]]+IF(Tasks[[#This Row],[_IsLeaf]]=1,SUMIFS(asg_Cost,asg_TaskUID,Tasks[[#This Row],[UID]],asg_Valid,1),0)</f>
        <v>0</v>
      </c>
      <c r="CR51" s="38" t="n">
        <f aca="false">IF(Tasks[[#This Row],[_LeafTotalCost]]=0,Tasks[[#This Row],[_LeafAC]],Tasks[[#This Row],[_LeafAC]]*Tasks[[#This Row],[_LeafCost]]/Tasks[[#This Row],[_LeafTotalCost]])</f>
        <v>0</v>
      </c>
      <c r="CS5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1" s="38" t="n">
        <f aca="false">IF(NOT(Tasks[[#This Row],[_IsLeaf]]=1),0,MAX(_xlfn.MAXIFS(Tasks[_Row],Tasks[Pred1 UID],Tasks[[#This Row],[UID]]),_xlfn.MAXIFS(Tasks[_Row],Tasks[Pred2 UID],Tasks[[#This Row],[UID]]),_xlfn.MAXIFS(Tasks[_Row],Tasks[Pred3 UID],Tasks[[#This Row],[UID]]),_xlfn.MAXIFS(Tasks[_Row],Tasks[Pred4 UID],Tasks[[#This Row],[UID]])))</f>
        <v>0</v>
      </c>
      <c r="DB5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1" s="115" t="str">
        <f aca="false">IF(NOT(Tasks[[#This Row],[_IsLeaf]]=1),"",IF(N(Tasks[[#This Row],[Duration]])&lt;=0,Tasks[[#This Row],[_LeafLateFinish]],WORKDAY.INTL(Tasks[[#This Row],[_LeafLateFinish]],-(Tasks[[#This Row],[Duration]]-1),WorkWeek,Holidays)))</f>
        <v/>
      </c>
      <c r="DE5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1" s="114" t="b">
        <f aca="false">AND(Tasks[[#This Row],[_IsLeaf]]=1,Tasks[[#This Row],[_LeafProgress]]&lt;1,N(Tasks[[#This Row],[_LeafTotalSlack]])&lt;=CriticalSlackDays)</f>
        <v>0</v>
      </c>
      <c r="DG51" s="38" t="n">
        <f aca="false">IF(AND(Tasks[[#This Row],[_IsLeaf]]=1,Tasks[[#This Row],[_ConstraintCode]]=1,Tasks[[#This Row],[Mode]]&lt;&gt;"Manual",N(Tasks[[#This Row],[Actual Start]])=0),MAX(0,N(Tasks[[#This Row],[Free Slack]])),0)</f>
        <v>0</v>
      </c>
      <c r="DH51" s="115" t="str">
        <f aca="false">IF(NOT(Tasks[[#This Row],[_IsLeaf]]=1),"",IF(Tasks[[#This Row],[_AlapShift]]=0,Tasks[[#This Row],[_LeafCalcStart]],WORKDAY.INTL(Tasks[[#This Row],[_LeafCalcStart]],Tasks[[#This Row],[_AlapShift]],WorkWeek,Holidays)))</f>
        <v/>
      </c>
      <c r="DI51" s="115" t="str">
        <f aca="false">IF(NOT(Tasks[[#This Row],[_IsLeaf]]=1),"",IF(Tasks[[#This Row],[_AlapShift]]=0,Tasks[[#This Row],[_LeafCalcFinish]],WORKDAY.INTL(Tasks[[#This Row],[_LeafCalcFinish]],Tasks[[#This Row],[_AlapShift]],WorkWeek,Holidays)))</f>
        <v/>
      </c>
      <c r="DJ51" s="115" t="str">
        <f aca="false">IF(NOT(Tasks[[#This Row],[_IsLeaf]]=1),"",IF(Tasks[[#This Row],[_AlapShift]]=0,Tasks[[#This Row],[_LeafFcstStart]],WORKDAY.INTL(Tasks[[#This Row],[_LeafFcstStart]],Tasks[[#This Row],[_AlapShift]],WorkWeek,Holidays)))</f>
        <v/>
      </c>
      <c r="DK51" s="115" t="str">
        <f aca="false">IF(NOT(Tasks[[#This Row],[_IsLeaf]]=1),"",IF(Tasks[[#This Row],[_AlapShift]]=0,Tasks[[#This Row],[_LeafFcstFinish]],WORKDAY.INTL(Tasks[[#This Row],[_LeafFcstFinish]],Tasks[[#This Row],[_AlapShift]],WorkWeek,Holidays)))</f>
        <v/>
      </c>
      <c r="DL51" s="115" t="str">
        <f aca="false">IF(Tasks[[#This Row],[Task Name]]="","",IF(Tasks[[#This Row],[_IsSummary]],MIN(INDEX(Tasks[_ShownCalcStart],Tasks[[#This Row],[_Row]]+1):INDEX(Tasks[_ShownCalcStart],Tasks[[#This Row],[_Row]]+Tasks[[#This Row],[_Descendants]])),Tasks[[#This Row],[_ShownCalcStart]]))</f>
        <v/>
      </c>
      <c r="DM51" s="115" t="str">
        <f aca="false">IF(Tasks[[#This Row],[Task Name]]="","",IF(Tasks[[#This Row],[_IsSummary]],MAX(INDEX(Tasks[_ShownCalcFinish],Tasks[[#This Row],[_Row]]+1):INDEX(Tasks[_ShownCalcFinish],Tasks[[#This Row],[_Row]]+Tasks[[#This Row],[_Descendants]])),Tasks[[#This Row],[_ShownCalcFinish]]))</f>
        <v/>
      </c>
      <c r="DN5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1" s="38" t="n">
        <f aca="false">IF(AND(Tasks[[#This Row],[_IsLeaf]]=1,Tasks[[#This Row],[_LeafTotalWork]]&gt;0),NETWORKDAYS.INTL(ProjectStart,Tasks[[#This Row],[_ShownFcstStart]],WorkWeek,Holidays),0)</f>
        <v>0</v>
      </c>
      <c r="EA51" s="38" t="n">
        <f aca="false">IF(AND(Tasks[[#This Row],[_IsLeaf]]=1,Tasks[[#This Row],[_LeafTotalWork]]&gt;0),MAX(Tasks[[#This Row],[_StartWorkday]],NETWORKDAYS.INTL(ProjectStart,Tasks[[#This Row],[_ShownFcstFinish]],WorkWeek,Holidays)),0)</f>
        <v>0</v>
      </c>
      <c r="EB51" s="38" t="n">
        <f aca="false">IF(AND(Tasks[[#This Row],[_IsLeaf]]=1,Tasks[[#This Row],[_LeafTotalWork]]&gt;0),Tasks[[#This Row],[_LeafWork]]/(Tasks[[#This Row],[_FinishWorkday]]-Tasks[[#This Row],[_StartWorkday]]+1),0)</f>
        <v>0</v>
      </c>
      <c r="EC51" s="38" t="n">
        <f aca="false">Tasks[[#This Row],[_WorkPerWorkday]]*(Tasks[[#This Row],[_StartWorkday]]-1)</f>
        <v>-0</v>
      </c>
      <c r="ED51" s="38" t="n">
        <f aca="false">IF(Tasks[[#This Row],[_IsLeaf]]=1,MAX(N(Tasks[[#This Row],[Duration]]),0.1),0)</f>
        <v>0</v>
      </c>
      <c r="EE51" s="38" t="n">
        <f aca="false">Tasks[[#This Row],[_WeightDur]]*Tasks[[#This Row],[_LeafProgress]]</f>
        <v>0</v>
      </c>
      <c r="EF5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1" s="38" t="str">
        <f aca="false">IF(AND(Tasks[[#This Row],[_IsLeaf]]=1,N(Tasks[[#This Row],[Duration]])=0,Tasks[[#This Row],[_LeafProgress]]&lt;1),Tasks[[#This Row],[_ShownFcstFinish]]+Tasks[[#This Row],[_Row]]/100000,"")</f>
        <v/>
      </c>
      <c r="EH5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1" s="38" t="n">
        <f aca="false">IF(NOT(Tasks[[#This Row],[_IsLeaf]]=1),0,IF(Tasks[[#This Row],[Baseline Cost]]="",Tasks[[#This Row],[_LeafTotalCost]],N(Tasks[[#This Row],[Baseline Cost]])))</f>
        <v>0</v>
      </c>
      <c r="EJ51" s="38" t="n">
        <f aca="false">Tasks[[#This Row],[_LeafBudget]]*Tasks[[#This Row],[_PlannedPct]]</f>
        <v>0</v>
      </c>
      <c r="EK51" s="38" t="n">
        <f aca="false">Tasks[[#This Row],[_LeafBudget]]*Tasks[[#This Row],[_LeafProgress]]</f>
        <v>0</v>
      </c>
      <c r="EL51" s="38" t="n">
        <f aca="false">IF(NOT(Tasks[[#This Row],[_IsLeaf]]=1),0,IF(Tasks[[#This Row],[Actual Cost]]="",Tasks[[#This Row],[_LeafTotalCost]]*Tasks[[#This Row],[_LeafProgress]],N(Tasks[[#This Row],[Actual Cost]])))</f>
        <v>0</v>
      </c>
      <c r="EM51" s="38" t="str">
        <f aca="false">IF(Tasks[[#This Row],[Task Name]]="","",LEFT(Tasks[[#This Row],[WBS]],FIND(".",Tasks[[#This Row],[WBS]]&amp;".")-1))</f>
        <v/>
      </c>
      <c r="EN51" s="38" t="str">
        <f aca="false">IF(AND(Tasks[[#This Row],[Task Name]]&lt;&gt;"",Tasks[[#This Row],[_Level]]=1),Tasks[[#This Row],[_Row]],"")</f>
        <v/>
      </c>
      <c r="EO51" s="38" t="str">
        <f aca="false">IF(AND(Tasks[[#This Row],[_IsLeaf]]=1,N(Tasks[[#This Row],[Duration]])=0),Tasks[[#This Row],[Planned Finish]]+Tasks[[#This Row],[_Row]]/100000,"")</f>
        <v/>
      </c>
      <c r="EP51" s="38" t="str">
        <f aca="false">IF(AND(Tasks[[#This Row],[_IsLeaf]]=1,Tasks[[#This Row],[_LeafProgress]]&lt;1,OR(N(Tasks[[#This Row],[Finish Var]])&gt;0,Tasks[[#This Row],[Status]]="Late Start")),MAX(0,Tasks[[#This Row],[Finish Var]])+1-Tasks[[#This Row],[_Row]]/1000000,"")</f>
        <v/>
      </c>
      <c r="EQ51" s="38" t="str">
        <f aca="false">IF(AND(Tasks[[#This Row],[_IsLeaf]]=1,N(Tasks[[#This Row],[Actual Start]])=0,Tasks[[#This Row],[_ShownFcstStart]]&gt;=StatusDate,Tasks[[#This Row],[_ShownFcstStart]]&lt;=LookaheadEnd),Tasks[[#This Row],[_ShownFcstStart]]+Tasks[[#This Row],[_Row]]/100000,"")</f>
        <v/>
      </c>
      <c r="ER51" s="38" t="str">
        <f aca="false">IF(AND(Tasks[[#This Row],[_IsLeaf]]=1,Tasks[[#This Row],[_LeafProgress]]&lt;1,Tasks[[#This Row],[_ShownFcstFinish]]&gt;=StatusDate,Tasks[[#This Row],[_ShownFcstFinish]]&lt;=LookaheadEnd),Tasks[[#This Row],[_ShownFcstFinish]]+Tasks[[#This Row],[_Row]]/100000,"")</f>
        <v/>
      </c>
      <c r="ES51" s="38" t="str">
        <f aca="false">IF(Tasks[[#This Row],[_LeafCritical]],Tasks[[#This Row],[_ShownFcstStart]]+Tasks[[#This Row],[_Row]]/100000,"")</f>
        <v/>
      </c>
      <c r="ET51" s="38" t="n">
        <f aca="false">Tasks[[#This Row],[_LeafWork]]*Tasks[[#This Row],[_LeafProgress]]</f>
        <v>0</v>
      </c>
      <c r="EU51" s="115" t="str">
        <f aca="false">IF(AND(Tasks[[#This Row],[_IsLeaf]]=1,Tasks[[#This Row],[_LeafProgress]]&gt;=1),IF(N(Tasks[[#This Row],[Actual Finish]])&gt;0,Tasks[[#This Row],[Actual Finish]],Tasks[[#This Row],[_ShownFcstFinish]]),"")</f>
        <v/>
      </c>
      <c r="EV51" s="38" t="n">
        <f aca="false">IF(Tasks[[#This Row],[_IsLeaf]]=1,N(Tasks[[#This Row],[Story Points]]),0)</f>
        <v>0</v>
      </c>
      <c r="EW51" s="38" t="str">
        <f aca="false">IF(AND(Tasks[[#This Row],[_IsLeaf]]=1,CurrentSprint&lt;&gt;"",Tasks[[#This Row],[Sprint]]=CurrentSprint),Tasks[[#This Row],[_Row]],"")</f>
        <v/>
      </c>
    </row>
    <row r="52" customFormat="false" ht="15" hidden="false" customHeight="false" outlineLevel="0" collapsed="false">
      <c r="A52" s="51" t="str">
        <f aca="false">IF(Tasks[[#This Row],[Task Name]]="","",COUNTA(Tasks[[#Headers],[Task Name]]:Tasks[[#This Row],[Task Name]])-1)</f>
        <v/>
      </c>
      <c r="B52" s="52" t="n">
        <v>47</v>
      </c>
      <c r="C5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52"/>
      <c r="E52" s="53"/>
      <c r="F52" s="52"/>
      <c r="G52" s="52"/>
      <c r="H52" s="52"/>
      <c r="I52" s="52"/>
      <c r="J52" s="52"/>
      <c r="K52" s="52"/>
      <c r="L52" s="52"/>
      <c r="M52" s="52"/>
      <c r="N52" s="52"/>
      <c r="O52" s="52"/>
      <c r="P52" s="52"/>
      <c r="Q52" s="52"/>
      <c r="R52" s="52"/>
      <c r="S52" s="53"/>
      <c r="T52" s="102"/>
      <c r="U52" s="102"/>
      <c r="V52" s="7"/>
      <c r="W52" s="7"/>
      <c r="X52" s="53"/>
      <c r="Y52" s="31" t="str">
        <f aca="false">IF(Tasks[[#This Row],[Task Name]]="","",IF(Tasks[[#This Row],[_IsSummary]],MIN(INDEX(Tasks[_ShownFcstStart],Tasks[[#This Row],[_Row]]+1):INDEX(Tasks[_ShownFcstStart],Tasks[[#This Row],[_Row]]+Tasks[[#This Row],[_Descendants]])),Tasks[[#This Row],[_ShownFcstStart]]))</f>
        <v/>
      </c>
      <c r="Z52" s="31" t="str">
        <f aca="false">IF(Tasks[[#This Row],[Task Name]]="","",IF(Tasks[[#This Row],[_IsSummary]],MAX(INDEX(Tasks[_ShownFcstFinish],Tasks[[#This Row],[_Row]]+1):INDEX(Tasks[_ShownFcstFinish],Tasks[[#This Row],[_Row]]+Tasks[[#This Row],[_Descendants]])),Tasks[[#This Row],[_ShownFcstFinish]]))</f>
        <v/>
      </c>
      <c r="AA52" s="51" t="str">
        <f aca="false">IF(Tasks[[#This Row],[Task Name]]="","",IF(Tasks[[#This Row],[Progress]]&gt;=1,"Complete",IF(OR(N(Tasks[[#This Row],[Actual Start]])&gt;0,Tasks[[#This Row],[Progress]]&gt;0),IF(Tasks[[#This Row],[Finish Var]]&gt;0,"Behind","In Progress"),IF(Tasks[[#This Row],[Planned Start]]&lt;StatusDate,"Late Start","Not Started"))))</f>
        <v/>
      </c>
      <c r="AB52" s="51" t="str">
        <f aca="false">IF(Tasks[[#This Row],[Task Name]]="","",IF(IF(Tasks[[#This Row],[_IsSummary]],COUNTIF(INDEX(Tasks[_LeafCritical],Tasks[[#This Row],[_Row]]+1):INDEX(Tasks[_LeafCritical],Tasks[[#This Row],[_Row]]+Tasks[[#This Row],[_Descendants]]),TRUE())&gt;0,Tasks[[#This Row],[_LeafCritical]]),"Yes",""))</f>
        <v/>
      </c>
      <c r="AC5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2" s="51" t="str">
        <f aca="false">IF(Tasks[[#This Row],[Task Name]]="","",IF(Tasks[[#This Row],[_Level]]&lt;=OutlineShowLevel,"Yes","No"))</f>
        <v/>
      </c>
      <c r="AE52" s="7"/>
      <c r="AF52" s="52"/>
      <c r="AG52" s="53"/>
      <c r="AH52" s="7"/>
      <c r="AI5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2" s="31" t="str">
        <f aca="false">IF(Tasks[[#This Row],[Task Name]]="","",IF(N(Tasks[[#This Row],[Baseline Start]])&gt;0,Tasks[[#This Row],[Baseline Start]],Tasks[[#This Row],[_CalcStart]]))</f>
        <v/>
      </c>
      <c r="AK52" s="31" t="str">
        <f aca="false">IF(Tasks[[#This Row],[Task Name]]="","",IF(N(Tasks[[#This Row],[Baseline Finish]])&gt;0,Tasks[[#This Row],[Baseline Finish]],Tasks[[#This Row],[_CalcFinish]]))</f>
        <v/>
      </c>
      <c r="AL5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2" s="31" t="str">
        <f aca="false">IF(Tasks[[#This Row],[Task Name]]="","",IF(Tasks[[#This Row],[_IsSummary]],MIN(INDEX(Tasks[_LeafLateStart],Tasks[[#This Row],[_Row]]+1):INDEX(Tasks[_LeafLateStart],Tasks[[#This Row],[_Row]]+Tasks[[#This Row],[_Descendants]])),Tasks[[#This Row],[_LeafLateStart]]))</f>
        <v/>
      </c>
      <c r="AN52" s="31" t="str">
        <f aca="false">IF(Tasks[[#This Row],[Task Name]]="","",IF(Tasks[[#This Row],[_IsSummary]],MAX(INDEX(Tasks[_LeafLateFinish],Tasks[[#This Row],[_Row]]+1):INDEX(Tasks[_LeafLateFinish],Tasks[[#This Row],[_Row]]+Tasks[[#This Row],[_Descendants]])),Tasks[[#This Row],[_LeafLateFinish]]))</f>
        <v/>
      </c>
      <c r="AO52" s="51" t="str">
        <f aca="false">IF(Tasks[[#This Row],[Task Name]]="","",IF(Tasks[[#This Row],[_IsSummary]],MIN(INDEX(Tasks[_LeafTotalSlack],Tasks[[#This Row],[_Row]]+1):INDEX(Tasks[_LeafTotalSlack],Tasks[[#This Row],[_Row]]+Tasks[[#This Row],[_Descendants]])),Tasks[[#This Row],[_LeafTotalSlack]]))</f>
        <v/>
      </c>
      <c r="AP5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2" s="110" t="str">
        <f aca="false">IF(Tasks[[#This Row],[Task Name]]="","",IF(Tasks[[#This Row],[_IsSummary]],SUM(INDEX(Tasks[_LeafTotalWork],Tasks[[#This Row],[_Row]]+1):INDEX(Tasks[_LeafTotalWork],Tasks[[#This Row],[_Row]]+Tasks[[#This Row],[_Descendants]])),Tasks[[#This Row],[_LeafTotalWork]]))</f>
        <v/>
      </c>
      <c r="AV5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2" s="111" t="str">
        <f aca="false">IF(Tasks[[#This Row],[Task Name]]="","",IF(Tasks[[#This Row],[_IsSummary]],SUM(INDEX(Tasks[_LeafTotalCost],Tasks[[#This Row],[_Row]]+1):INDEX(Tasks[_LeafTotalCost],Tasks[[#This Row],[_Row]]+Tasks[[#This Row],[_Descendants]])),Tasks[[#This Row],[_LeafTotalCost]]))</f>
        <v/>
      </c>
      <c r="AY52" s="112"/>
      <c r="AZ5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2" s="52"/>
      <c r="BB52" s="98"/>
      <c r="BC52" s="51" t="str">
        <f aca="false">IF(OR(Tasks[[#This Row],[Task Name]]="",Tasks[[#This Row],[Baseline Duration]]=""),"",Tasks[[#This Row],[BL Source Duration]]-N(Tasks[[#This Row],[Baseline Duration]]))</f>
        <v/>
      </c>
      <c r="BD52" s="110" t="str">
        <f aca="false">IF(OR(Tasks[[#This Row],[Task Name]]="",Tasks[[#This Row],[Baseline Work]]=""),"",Tasks[[#This Row],[Work]]-N(Tasks[[#This Row],[Baseline Work]]))</f>
        <v/>
      </c>
      <c r="BE52" s="111" t="str">
        <f aca="false">IF(OR(Tasks[[#This Row],[Task Name]]="",Tasks[[#This Row],[Baseline Cost]]=""),"",Tasks[[#This Row],[Cost]]-N(Tasks[[#This Row],[Baseline Cost]]))</f>
        <v/>
      </c>
      <c r="BF52" s="31" t="str">
        <f aca="false">IF(Tasks[[#This Row],[Task Name]]="","",Tasks[[#This Row],[Forecast Start]])</f>
        <v/>
      </c>
      <c r="BG52" s="31" t="str">
        <f aca="false">IF(Tasks[[#This Row],[Task Name]]="","",Tasks[[#This Row],[Forecast Finish]])</f>
        <v/>
      </c>
      <c r="BH52" s="51" t="str">
        <f aca="false">IF(Tasks[[#This Row],[Task Name]]="","",IF(Tasks[[#This Row],[_IsSummary]],NETWORKDAYS.INTL(Tasks[[#This Row],[Forecast Start]],Tasks[[#This Row],[Forecast Finish]],WorkWeek,Holidays),N(Tasks[[#This Row],[Duration]])))</f>
        <v/>
      </c>
      <c r="BI52" s="110" t="str">
        <f aca="false">IF(Tasks[[#This Row],[Task Name]]="","",Tasks[[#This Row],[Work]])</f>
        <v/>
      </c>
      <c r="BJ52" s="111" t="str">
        <f aca="false">IF(Tasks[[#This Row],[Task Name]]="","",Tasks[[#This Row],[Cost]])</f>
        <v/>
      </c>
      <c r="BK52" s="7"/>
      <c r="BL52" s="7"/>
      <c r="BM52" s="52"/>
      <c r="BN52" s="113"/>
      <c r="BO52" s="112"/>
      <c r="BP52" s="111" t="str">
        <f aca="false">IF(Tasks[[#This Row],[Task Name]]="","",IF(Tasks[[#This Row],[_IsSummary]],SUM(INDEX(Tasks[_LeafEV],Tasks[[#This Row],[_Row]]+1):INDEX(Tasks[_LeafEV],Tasks[[#This Row],[_Row]]+Tasks[[#This Row],[_Descendants]])),Tasks[[#This Row],[_LeafEV]]))</f>
        <v/>
      </c>
      <c r="BQ52" s="111" t="str">
        <f aca="false">IF(Tasks[[#This Row],[Task Name]]="","",IF(Tasks[[#This Row],[_IsSummary]],SUM(INDEX(Tasks[_LeafBudget],Tasks[[#This Row],[_Row]]+1):INDEX(Tasks[_LeafBudget],Tasks[[#This Row],[_Row]]+Tasks[[#This Row],[_Descendants]])),Tasks[[#This Row],[_LeafBudget]]))</f>
        <v/>
      </c>
      <c r="BR52" s="111" t="str">
        <f aca="false">IF(Tasks[[#This Row],[Task Name]]="","",IF(Tasks[[#This Row],[_IsSummary]],SUM(INDEX(Tasks[_LeafPV],Tasks[[#This Row],[_Row]]+1):INDEX(Tasks[_LeafPV],Tasks[[#This Row],[_Row]]+Tasks[[#This Row],[_Descendants]])),Tasks[[#This Row],[_LeafPV]]))</f>
        <v/>
      </c>
      <c r="BS52" s="111" t="str">
        <f aca="false">IF(Tasks[[#This Row],[Task Name]]="","",IF(Tasks[[#This Row],[_IsSummary]],SUM(INDEX(Tasks[_LeafAC],Tasks[[#This Row],[_Row]]+1):INDEX(Tasks[_LeafAC],Tasks[[#This Row],[_Row]]+Tasks[[#This Row],[_Descendants]])),Tasks[[#This Row],[_LeafAC]]))</f>
        <v/>
      </c>
      <c r="BT52" s="38" t="str">
        <f aca="false">IF(Tasks[[#This Row],[Task Name]]="","",MAX(1,N(Tasks[[#This Row],[Level]])))</f>
        <v/>
      </c>
      <c r="BU52" s="38" t="n">
        <f aca="false">ROW()-ROW(Tasks[[#Headers],[ID]])</f>
        <v>47</v>
      </c>
      <c r="BV52" s="38" t="n">
        <f aca="false">IF(OR(Tasks[[#This Row],[Task Name]]="",Tasks[[#This Row],[_Level]]&lt;=1),0,IFERROR(LOOKUP(2,1/(Tasks[[#Headers],[_Level]]:Tasks[[#This Row],[_Level]]=Tasks[[#This Row],[_Level]]-1),ROW(Tasks[[#Headers],[_Level]]:Tasks[[#This Row],[_Level]])),0))</f>
        <v>0</v>
      </c>
      <c r="BW52" s="38" t="n">
        <f aca="false">IFERROR(N(INDEX(Tasks[_Level],Tasks[[#This Row],[_Row]]+1)),0)</f>
        <v>0</v>
      </c>
      <c r="BX52" s="114" t="b">
        <f aca="false">AND(Tasks[[#This Row],[Task Name]]&lt;&gt;"",Tasks[[#This Row],[_NextLevel]]&gt;Tasks[[#This Row],[_Level]])</f>
        <v>0</v>
      </c>
      <c r="BY52" s="38" t="n">
        <f aca="false">IF(Tasks[[#This Row],[_IsSummary]],COUNTIF(Tasks[WBS],Tasks[[#This Row],[WBS]]&amp;".*"),0)</f>
        <v>0</v>
      </c>
      <c r="BZ52" s="38" t="n">
        <f aca="false">IF(AND(Tasks[[#This Row],[Task Name]]&lt;&gt;"",NOT(Tasks[[#This Row],[_IsSummary]])),1,0)</f>
        <v>0</v>
      </c>
      <c r="CA52" s="38" t="n">
        <f aca="false">IF(N(Tasks[[#This Row],[Pred1 UID]])=0,0,IFERROR(MATCH(Tasks[[#This Row],[Pred1 UID]],Tasks[UID],0),-1))</f>
        <v>0</v>
      </c>
      <c r="CB52" s="38" t="n">
        <f aca="false">IF(N(Tasks[[#This Row],[Pred2 UID]])=0,0,IFERROR(MATCH(Tasks[[#This Row],[Pred2 UID]],Tasks[UID],0),-1))</f>
        <v>0</v>
      </c>
      <c r="CC52" s="38" t="n">
        <f aca="false">IF(N(Tasks[[#This Row],[Pred3 UID]])=0,0,IFERROR(MATCH(Tasks[[#This Row],[Pred3 UID]],Tasks[UID],0),-1))</f>
        <v>0</v>
      </c>
      <c r="CD52" s="38" t="n">
        <f aca="false">IF(N(Tasks[[#This Row],[Pred4 UID]])=0,0,IFERROR(MATCH(Tasks[[#This Row],[Pred4 UID]],Tasks[UID],0),-1))</f>
        <v>0</v>
      </c>
      <c r="CE5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2" s="115" t="n">
        <f aca="false">IF(OR(Tasks[[#This Row],[_ConstraintCode]]=2,Tasks[[#This Row],[_ConstraintCode]]=3,Tasks[[#This Row],[_ConstraintCode]]=4,Tasks[[#This Row],[_ConstraintCode]]=6),Tasks[[#This Row],[_ConstraintStart]],0)</f>
        <v>0</v>
      </c>
      <c r="CH52" s="115" t="n">
        <f aca="false">IF(OR(Tasks[[#This Row],[_ConstraintCode]]=2,Tasks[[#This Row],[_ConstraintCode]]=3,Tasks[[#This Row],[_ConstraintCode]]=5,Tasks[[#This Row],[_ConstraintCode]]=7),Tasks[[#This Row],[_ConstraintStart]],2958465)</f>
        <v>2958465</v>
      </c>
      <c r="CI5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2" s="115" t="str">
        <f aca="false">IF(NOT(Tasks[[#This Row],[_IsLeaf]]=1),"",IF(N(Tasks[[#This Row],[Duration]])&lt;=0,Tasks[[#This Row],[_LeafCalcStart]],WORKDAY.INTL(Tasks[[#This Row],[_LeafCalcStart]],Tasks[[#This Row],[Duration]]-1,WorkWeek,Holidays)))</f>
        <v/>
      </c>
      <c r="CK5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2" s="38" t="n">
        <f aca="false">IF(NOT(Tasks[[#This Row],[_IsLeaf]]=1),0,IF(N(Tasks[[#This Row],[Actual Finish]])&gt;0,1,MIN(1,N(Tasks[[#This Row],[% Complete]]))))</f>
        <v>0</v>
      </c>
      <c r="CN52" s="38" t="n">
        <f aca="false">IF(OR(NOT(Tasks[[#This Row],[_IsLeaf]]=1),Tasks[[#This Row],[Resource]]=""),0,N(Tasks[[#This Row],[Duration]])*HoursPerDay*IF(Tasks[[#This Row],[Units]]="",DefaultUnits,Tasks[[#This Row],[Units]]))</f>
        <v>0</v>
      </c>
      <c r="CO52" s="38" t="n">
        <f aca="false">IF(Tasks[[#This Row],[_LeafWork]]=0,0,Tasks[[#This Row],[_LeafWork]]*IFERROR(INDEX(res_Rate,MATCH(Tasks[[#This Row],[Resource]],res_Name,0)),0))</f>
        <v>0</v>
      </c>
      <c r="CP52" s="38" t="n">
        <f aca="false">Tasks[[#This Row],[_LeafWork]]+IF(Tasks[[#This Row],[_IsLeaf]]=1,SUMIFS(asg_Work,asg_TaskUID,Tasks[[#This Row],[UID]],asg_Valid,1),0)</f>
        <v>0</v>
      </c>
      <c r="CQ52" s="38" t="n">
        <f aca="false">Tasks[[#This Row],[_LeafCost]]+IF(Tasks[[#This Row],[_IsLeaf]]=1,SUMIFS(asg_Cost,asg_TaskUID,Tasks[[#This Row],[UID]],asg_Valid,1),0)</f>
        <v>0</v>
      </c>
      <c r="CR52" s="38" t="n">
        <f aca="false">IF(Tasks[[#This Row],[_LeafTotalCost]]=0,Tasks[[#This Row],[_LeafAC]],Tasks[[#This Row],[_LeafAC]]*Tasks[[#This Row],[_LeafCost]]/Tasks[[#This Row],[_LeafTotalCost]])</f>
        <v>0</v>
      </c>
      <c r="CS5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2" s="38" t="n">
        <f aca="false">IF(NOT(Tasks[[#This Row],[_IsLeaf]]=1),0,MAX(_xlfn.MAXIFS(Tasks[_Row],Tasks[Pred1 UID],Tasks[[#This Row],[UID]]),_xlfn.MAXIFS(Tasks[_Row],Tasks[Pred2 UID],Tasks[[#This Row],[UID]]),_xlfn.MAXIFS(Tasks[_Row],Tasks[Pred3 UID],Tasks[[#This Row],[UID]]),_xlfn.MAXIFS(Tasks[_Row],Tasks[Pred4 UID],Tasks[[#This Row],[UID]])))</f>
        <v>0</v>
      </c>
      <c r="DB5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2" s="115" t="str">
        <f aca="false">IF(NOT(Tasks[[#This Row],[_IsLeaf]]=1),"",IF(N(Tasks[[#This Row],[Duration]])&lt;=0,Tasks[[#This Row],[_LeafLateFinish]],WORKDAY.INTL(Tasks[[#This Row],[_LeafLateFinish]],-(Tasks[[#This Row],[Duration]]-1),WorkWeek,Holidays)))</f>
        <v/>
      </c>
      <c r="DE5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2" s="114" t="b">
        <f aca="false">AND(Tasks[[#This Row],[_IsLeaf]]=1,Tasks[[#This Row],[_LeafProgress]]&lt;1,N(Tasks[[#This Row],[_LeafTotalSlack]])&lt;=CriticalSlackDays)</f>
        <v>0</v>
      </c>
      <c r="DG52" s="38" t="n">
        <f aca="false">IF(AND(Tasks[[#This Row],[_IsLeaf]]=1,Tasks[[#This Row],[_ConstraintCode]]=1,Tasks[[#This Row],[Mode]]&lt;&gt;"Manual",N(Tasks[[#This Row],[Actual Start]])=0),MAX(0,N(Tasks[[#This Row],[Free Slack]])),0)</f>
        <v>0</v>
      </c>
      <c r="DH52" s="115" t="str">
        <f aca="false">IF(NOT(Tasks[[#This Row],[_IsLeaf]]=1),"",IF(Tasks[[#This Row],[_AlapShift]]=0,Tasks[[#This Row],[_LeafCalcStart]],WORKDAY.INTL(Tasks[[#This Row],[_LeafCalcStart]],Tasks[[#This Row],[_AlapShift]],WorkWeek,Holidays)))</f>
        <v/>
      </c>
      <c r="DI52" s="115" t="str">
        <f aca="false">IF(NOT(Tasks[[#This Row],[_IsLeaf]]=1),"",IF(Tasks[[#This Row],[_AlapShift]]=0,Tasks[[#This Row],[_LeafCalcFinish]],WORKDAY.INTL(Tasks[[#This Row],[_LeafCalcFinish]],Tasks[[#This Row],[_AlapShift]],WorkWeek,Holidays)))</f>
        <v/>
      </c>
      <c r="DJ52" s="115" t="str">
        <f aca="false">IF(NOT(Tasks[[#This Row],[_IsLeaf]]=1),"",IF(Tasks[[#This Row],[_AlapShift]]=0,Tasks[[#This Row],[_LeafFcstStart]],WORKDAY.INTL(Tasks[[#This Row],[_LeafFcstStart]],Tasks[[#This Row],[_AlapShift]],WorkWeek,Holidays)))</f>
        <v/>
      </c>
      <c r="DK52" s="115" t="str">
        <f aca="false">IF(NOT(Tasks[[#This Row],[_IsLeaf]]=1),"",IF(Tasks[[#This Row],[_AlapShift]]=0,Tasks[[#This Row],[_LeafFcstFinish]],WORKDAY.INTL(Tasks[[#This Row],[_LeafFcstFinish]],Tasks[[#This Row],[_AlapShift]],WorkWeek,Holidays)))</f>
        <v/>
      </c>
      <c r="DL52" s="115" t="str">
        <f aca="false">IF(Tasks[[#This Row],[Task Name]]="","",IF(Tasks[[#This Row],[_IsSummary]],MIN(INDEX(Tasks[_ShownCalcStart],Tasks[[#This Row],[_Row]]+1):INDEX(Tasks[_ShownCalcStart],Tasks[[#This Row],[_Row]]+Tasks[[#This Row],[_Descendants]])),Tasks[[#This Row],[_ShownCalcStart]]))</f>
        <v/>
      </c>
      <c r="DM52" s="115" t="str">
        <f aca="false">IF(Tasks[[#This Row],[Task Name]]="","",IF(Tasks[[#This Row],[_IsSummary]],MAX(INDEX(Tasks[_ShownCalcFinish],Tasks[[#This Row],[_Row]]+1):INDEX(Tasks[_ShownCalcFinish],Tasks[[#This Row],[_Row]]+Tasks[[#This Row],[_Descendants]])),Tasks[[#This Row],[_ShownCalcFinish]]))</f>
        <v/>
      </c>
      <c r="DN5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2" s="38" t="n">
        <f aca="false">IF(AND(Tasks[[#This Row],[_IsLeaf]]=1,Tasks[[#This Row],[_LeafTotalWork]]&gt;0),NETWORKDAYS.INTL(ProjectStart,Tasks[[#This Row],[_ShownFcstStart]],WorkWeek,Holidays),0)</f>
        <v>0</v>
      </c>
      <c r="EA52" s="38" t="n">
        <f aca="false">IF(AND(Tasks[[#This Row],[_IsLeaf]]=1,Tasks[[#This Row],[_LeafTotalWork]]&gt;0),MAX(Tasks[[#This Row],[_StartWorkday]],NETWORKDAYS.INTL(ProjectStart,Tasks[[#This Row],[_ShownFcstFinish]],WorkWeek,Holidays)),0)</f>
        <v>0</v>
      </c>
      <c r="EB52" s="38" t="n">
        <f aca="false">IF(AND(Tasks[[#This Row],[_IsLeaf]]=1,Tasks[[#This Row],[_LeafTotalWork]]&gt;0),Tasks[[#This Row],[_LeafWork]]/(Tasks[[#This Row],[_FinishWorkday]]-Tasks[[#This Row],[_StartWorkday]]+1),0)</f>
        <v>0</v>
      </c>
      <c r="EC52" s="38" t="n">
        <f aca="false">Tasks[[#This Row],[_WorkPerWorkday]]*(Tasks[[#This Row],[_StartWorkday]]-1)</f>
        <v>-0</v>
      </c>
      <c r="ED52" s="38" t="n">
        <f aca="false">IF(Tasks[[#This Row],[_IsLeaf]]=1,MAX(N(Tasks[[#This Row],[Duration]]),0.1),0)</f>
        <v>0</v>
      </c>
      <c r="EE52" s="38" t="n">
        <f aca="false">Tasks[[#This Row],[_WeightDur]]*Tasks[[#This Row],[_LeafProgress]]</f>
        <v>0</v>
      </c>
      <c r="EF5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2" s="38" t="str">
        <f aca="false">IF(AND(Tasks[[#This Row],[_IsLeaf]]=1,N(Tasks[[#This Row],[Duration]])=0,Tasks[[#This Row],[_LeafProgress]]&lt;1),Tasks[[#This Row],[_ShownFcstFinish]]+Tasks[[#This Row],[_Row]]/100000,"")</f>
        <v/>
      </c>
      <c r="EH5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2" s="38" t="n">
        <f aca="false">IF(NOT(Tasks[[#This Row],[_IsLeaf]]=1),0,IF(Tasks[[#This Row],[Baseline Cost]]="",Tasks[[#This Row],[_LeafTotalCost]],N(Tasks[[#This Row],[Baseline Cost]])))</f>
        <v>0</v>
      </c>
      <c r="EJ52" s="38" t="n">
        <f aca="false">Tasks[[#This Row],[_LeafBudget]]*Tasks[[#This Row],[_PlannedPct]]</f>
        <v>0</v>
      </c>
      <c r="EK52" s="38" t="n">
        <f aca="false">Tasks[[#This Row],[_LeafBudget]]*Tasks[[#This Row],[_LeafProgress]]</f>
        <v>0</v>
      </c>
      <c r="EL52" s="38" t="n">
        <f aca="false">IF(NOT(Tasks[[#This Row],[_IsLeaf]]=1),0,IF(Tasks[[#This Row],[Actual Cost]]="",Tasks[[#This Row],[_LeafTotalCost]]*Tasks[[#This Row],[_LeafProgress]],N(Tasks[[#This Row],[Actual Cost]])))</f>
        <v>0</v>
      </c>
      <c r="EM52" s="38" t="str">
        <f aca="false">IF(Tasks[[#This Row],[Task Name]]="","",LEFT(Tasks[[#This Row],[WBS]],FIND(".",Tasks[[#This Row],[WBS]]&amp;".")-1))</f>
        <v/>
      </c>
      <c r="EN52" s="38" t="str">
        <f aca="false">IF(AND(Tasks[[#This Row],[Task Name]]&lt;&gt;"",Tasks[[#This Row],[_Level]]=1),Tasks[[#This Row],[_Row]],"")</f>
        <v/>
      </c>
      <c r="EO52" s="38" t="str">
        <f aca="false">IF(AND(Tasks[[#This Row],[_IsLeaf]]=1,N(Tasks[[#This Row],[Duration]])=0),Tasks[[#This Row],[Planned Finish]]+Tasks[[#This Row],[_Row]]/100000,"")</f>
        <v/>
      </c>
      <c r="EP52" s="38" t="str">
        <f aca="false">IF(AND(Tasks[[#This Row],[_IsLeaf]]=1,Tasks[[#This Row],[_LeafProgress]]&lt;1,OR(N(Tasks[[#This Row],[Finish Var]])&gt;0,Tasks[[#This Row],[Status]]="Late Start")),MAX(0,Tasks[[#This Row],[Finish Var]])+1-Tasks[[#This Row],[_Row]]/1000000,"")</f>
        <v/>
      </c>
      <c r="EQ52" s="38" t="str">
        <f aca="false">IF(AND(Tasks[[#This Row],[_IsLeaf]]=1,N(Tasks[[#This Row],[Actual Start]])=0,Tasks[[#This Row],[_ShownFcstStart]]&gt;=StatusDate,Tasks[[#This Row],[_ShownFcstStart]]&lt;=LookaheadEnd),Tasks[[#This Row],[_ShownFcstStart]]+Tasks[[#This Row],[_Row]]/100000,"")</f>
        <v/>
      </c>
      <c r="ER52" s="38" t="str">
        <f aca="false">IF(AND(Tasks[[#This Row],[_IsLeaf]]=1,Tasks[[#This Row],[_LeafProgress]]&lt;1,Tasks[[#This Row],[_ShownFcstFinish]]&gt;=StatusDate,Tasks[[#This Row],[_ShownFcstFinish]]&lt;=LookaheadEnd),Tasks[[#This Row],[_ShownFcstFinish]]+Tasks[[#This Row],[_Row]]/100000,"")</f>
        <v/>
      </c>
      <c r="ES52" s="38" t="str">
        <f aca="false">IF(Tasks[[#This Row],[_LeafCritical]],Tasks[[#This Row],[_ShownFcstStart]]+Tasks[[#This Row],[_Row]]/100000,"")</f>
        <v/>
      </c>
      <c r="ET52" s="38" t="n">
        <f aca="false">Tasks[[#This Row],[_LeafWork]]*Tasks[[#This Row],[_LeafProgress]]</f>
        <v>0</v>
      </c>
      <c r="EU52" s="115" t="str">
        <f aca="false">IF(AND(Tasks[[#This Row],[_IsLeaf]]=1,Tasks[[#This Row],[_LeafProgress]]&gt;=1),IF(N(Tasks[[#This Row],[Actual Finish]])&gt;0,Tasks[[#This Row],[Actual Finish]],Tasks[[#This Row],[_ShownFcstFinish]]),"")</f>
        <v/>
      </c>
      <c r="EV52" s="38" t="n">
        <f aca="false">IF(Tasks[[#This Row],[_IsLeaf]]=1,N(Tasks[[#This Row],[Story Points]]),0)</f>
        <v>0</v>
      </c>
      <c r="EW52" s="38" t="str">
        <f aca="false">IF(AND(Tasks[[#This Row],[_IsLeaf]]=1,CurrentSprint&lt;&gt;"",Tasks[[#This Row],[Sprint]]=CurrentSprint),Tasks[[#This Row],[_Row]],"")</f>
        <v/>
      </c>
    </row>
    <row r="53" customFormat="false" ht="15" hidden="false" customHeight="false" outlineLevel="0" collapsed="false">
      <c r="A53" s="51" t="str">
        <f aca="false">IF(Tasks[[#This Row],[Task Name]]="","",COUNTA(Tasks[[#Headers],[Task Name]]:Tasks[[#This Row],[Task Name]])-1)</f>
        <v/>
      </c>
      <c r="B53" s="52" t="n">
        <v>48</v>
      </c>
      <c r="C5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52"/>
      <c r="E53" s="53"/>
      <c r="F53" s="52"/>
      <c r="G53" s="52"/>
      <c r="H53" s="52"/>
      <c r="I53" s="52"/>
      <c r="J53" s="52"/>
      <c r="K53" s="52"/>
      <c r="L53" s="52"/>
      <c r="M53" s="52"/>
      <c r="N53" s="52"/>
      <c r="O53" s="52"/>
      <c r="P53" s="52"/>
      <c r="Q53" s="52"/>
      <c r="R53" s="52"/>
      <c r="S53" s="53"/>
      <c r="T53" s="102"/>
      <c r="U53" s="102"/>
      <c r="V53" s="7"/>
      <c r="W53" s="7"/>
      <c r="X53" s="53"/>
      <c r="Y53" s="31" t="str">
        <f aca="false">IF(Tasks[[#This Row],[Task Name]]="","",IF(Tasks[[#This Row],[_IsSummary]],MIN(INDEX(Tasks[_ShownFcstStart],Tasks[[#This Row],[_Row]]+1):INDEX(Tasks[_ShownFcstStart],Tasks[[#This Row],[_Row]]+Tasks[[#This Row],[_Descendants]])),Tasks[[#This Row],[_ShownFcstStart]]))</f>
        <v/>
      </c>
      <c r="Z53" s="31" t="str">
        <f aca="false">IF(Tasks[[#This Row],[Task Name]]="","",IF(Tasks[[#This Row],[_IsSummary]],MAX(INDEX(Tasks[_ShownFcstFinish],Tasks[[#This Row],[_Row]]+1):INDEX(Tasks[_ShownFcstFinish],Tasks[[#This Row],[_Row]]+Tasks[[#This Row],[_Descendants]])),Tasks[[#This Row],[_ShownFcstFinish]]))</f>
        <v/>
      </c>
      <c r="AA53" s="51" t="str">
        <f aca="false">IF(Tasks[[#This Row],[Task Name]]="","",IF(Tasks[[#This Row],[Progress]]&gt;=1,"Complete",IF(OR(N(Tasks[[#This Row],[Actual Start]])&gt;0,Tasks[[#This Row],[Progress]]&gt;0),IF(Tasks[[#This Row],[Finish Var]]&gt;0,"Behind","In Progress"),IF(Tasks[[#This Row],[Planned Start]]&lt;StatusDate,"Late Start","Not Started"))))</f>
        <v/>
      </c>
      <c r="AB53" s="51" t="str">
        <f aca="false">IF(Tasks[[#This Row],[Task Name]]="","",IF(IF(Tasks[[#This Row],[_IsSummary]],COUNTIF(INDEX(Tasks[_LeafCritical],Tasks[[#This Row],[_Row]]+1):INDEX(Tasks[_LeafCritical],Tasks[[#This Row],[_Row]]+Tasks[[#This Row],[_Descendants]]),TRUE())&gt;0,Tasks[[#This Row],[_LeafCritical]]),"Yes",""))</f>
        <v/>
      </c>
      <c r="AC5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3" s="51" t="str">
        <f aca="false">IF(Tasks[[#This Row],[Task Name]]="","",IF(Tasks[[#This Row],[_Level]]&lt;=OutlineShowLevel,"Yes","No"))</f>
        <v/>
      </c>
      <c r="AE53" s="7"/>
      <c r="AF53" s="52"/>
      <c r="AG53" s="53"/>
      <c r="AH53" s="7"/>
      <c r="AI5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3" s="31" t="str">
        <f aca="false">IF(Tasks[[#This Row],[Task Name]]="","",IF(N(Tasks[[#This Row],[Baseline Start]])&gt;0,Tasks[[#This Row],[Baseline Start]],Tasks[[#This Row],[_CalcStart]]))</f>
        <v/>
      </c>
      <c r="AK53" s="31" t="str">
        <f aca="false">IF(Tasks[[#This Row],[Task Name]]="","",IF(N(Tasks[[#This Row],[Baseline Finish]])&gt;0,Tasks[[#This Row],[Baseline Finish]],Tasks[[#This Row],[_CalcFinish]]))</f>
        <v/>
      </c>
      <c r="AL5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3" s="31" t="str">
        <f aca="false">IF(Tasks[[#This Row],[Task Name]]="","",IF(Tasks[[#This Row],[_IsSummary]],MIN(INDEX(Tasks[_LeafLateStart],Tasks[[#This Row],[_Row]]+1):INDEX(Tasks[_LeafLateStart],Tasks[[#This Row],[_Row]]+Tasks[[#This Row],[_Descendants]])),Tasks[[#This Row],[_LeafLateStart]]))</f>
        <v/>
      </c>
      <c r="AN53" s="31" t="str">
        <f aca="false">IF(Tasks[[#This Row],[Task Name]]="","",IF(Tasks[[#This Row],[_IsSummary]],MAX(INDEX(Tasks[_LeafLateFinish],Tasks[[#This Row],[_Row]]+1):INDEX(Tasks[_LeafLateFinish],Tasks[[#This Row],[_Row]]+Tasks[[#This Row],[_Descendants]])),Tasks[[#This Row],[_LeafLateFinish]]))</f>
        <v/>
      </c>
      <c r="AO53" s="51" t="str">
        <f aca="false">IF(Tasks[[#This Row],[Task Name]]="","",IF(Tasks[[#This Row],[_IsSummary]],MIN(INDEX(Tasks[_LeafTotalSlack],Tasks[[#This Row],[_Row]]+1):INDEX(Tasks[_LeafTotalSlack],Tasks[[#This Row],[_Row]]+Tasks[[#This Row],[_Descendants]])),Tasks[[#This Row],[_LeafTotalSlack]]))</f>
        <v/>
      </c>
      <c r="AP5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3" s="110" t="str">
        <f aca="false">IF(Tasks[[#This Row],[Task Name]]="","",IF(Tasks[[#This Row],[_IsSummary]],SUM(INDEX(Tasks[_LeafTotalWork],Tasks[[#This Row],[_Row]]+1):INDEX(Tasks[_LeafTotalWork],Tasks[[#This Row],[_Row]]+Tasks[[#This Row],[_Descendants]])),Tasks[[#This Row],[_LeafTotalWork]]))</f>
        <v/>
      </c>
      <c r="AV5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3" s="111" t="str">
        <f aca="false">IF(Tasks[[#This Row],[Task Name]]="","",IF(Tasks[[#This Row],[_IsSummary]],SUM(INDEX(Tasks[_LeafTotalCost],Tasks[[#This Row],[_Row]]+1):INDEX(Tasks[_LeafTotalCost],Tasks[[#This Row],[_Row]]+Tasks[[#This Row],[_Descendants]])),Tasks[[#This Row],[_LeafTotalCost]]))</f>
        <v/>
      </c>
      <c r="AY53" s="112"/>
      <c r="AZ5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3" s="52"/>
      <c r="BB53" s="98"/>
      <c r="BC53" s="51" t="str">
        <f aca="false">IF(OR(Tasks[[#This Row],[Task Name]]="",Tasks[[#This Row],[Baseline Duration]]=""),"",Tasks[[#This Row],[BL Source Duration]]-N(Tasks[[#This Row],[Baseline Duration]]))</f>
        <v/>
      </c>
      <c r="BD53" s="110" t="str">
        <f aca="false">IF(OR(Tasks[[#This Row],[Task Name]]="",Tasks[[#This Row],[Baseline Work]]=""),"",Tasks[[#This Row],[Work]]-N(Tasks[[#This Row],[Baseline Work]]))</f>
        <v/>
      </c>
      <c r="BE53" s="111" t="str">
        <f aca="false">IF(OR(Tasks[[#This Row],[Task Name]]="",Tasks[[#This Row],[Baseline Cost]]=""),"",Tasks[[#This Row],[Cost]]-N(Tasks[[#This Row],[Baseline Cost]]))</f>
        <v/>
      </c>
      <c r="BF53" s="31" t="str">
        <f aca="false">IF(Tasks[[#This Row],[Task Name]]="","",Tasks[[#This Row],[Forecast Start]])</f>
        <v/>
      </c>
      <c r="BG53" s="31" t="str">
        <f aca="false">IF(Tasks[[#This Row],[Task Name]]="","",Tasks[[#This Row],[Forecast Finish]])</f>
        <v/>
      </c>
      <c r="BH53" s="51" t="str">
        <f aca="false">IF(Tasks[[#This Row],[Task Name]]="","",IF(Tasks[[#This Row],[_IsSummary]],NETWORKDAYS.INTL(Tasks[[#This Row],[Forecast Start]],Tasks[[#This Row],[Forecast Finish]],WorkWeek,Holidays),N(Tasks[[#This Row],[Duration]])))</f>
        <v/>
      </c>
      <c r="BI53" s="110" t="str">
        <f aca="false">IF(Tasks[[#This Row],[Task Name]]="","",Tasks[[#This Row],[Work]])</f>
        <v/>
      </c>
      <c r="BJ53" s="111" t="str">
        <f aca="false">IF(Tasks[[#This Row],[Task Name]]="","",Tasks[[#This Row],[Cost]])</f>
        <v/>
      </c>
      <c r="BK53" s="7"/>
      <c r="BL53" s="7"/>
      <c r="BM53" s="52"/>
      <c r="BN53" s="113"/>
      <c r="BO53" s="112"/>
      <c r="BP53" s="111" t="str">
        <f aca="false">IF(Tasks[[#This Row],[Task Name]]="","",IF(Tasks[[#This Row],[_IsSummary]],SUM(INDEX(Tasks[_LeafEV],Tasks[[#This Row],[_Row]]+1):INDEX(Tasks[_LeafEV],Tasks[[#This Row],[_Row]]+Tasks[[#This Row],[_Descendants]])),Tasks[[#This Row],[_LeafEV]]))</f>
        <v/>
      </c>
      <c r="BQ53" s="111" t="str">
        <f aca="false">IF(Tasks[[#This Row],[Task Name]]="","",IF(Tasks[[#This Row],[_IsSummary]],SUM(INDEX(Tasks[_LeafBudget],Tasks[[#This Row],[_Row]]+1):INDEX(Tasks[_LeafBudget],Tasks[[#This Row],[_Row]]+Tasks[[#This Row],[_Descendants]])),Tasks[[#This Row],[_LeafBudget]]))</f>
        <v/>
      </c>
      <c r="BR53" s="111" t="str">
        <f aca="false">IF(Tasks[[#This Row],[Task Name]]="","",IF(Tasks[[#This Row],[_IsSummary]],SUM(INDEX(Tasks[_LeafPV],Tasks[[#This Row],[_Row]]+1):INDEX(Tasks[_LeafPV],Tasks[[#This Row],[_Row]]+Tasks[[#This Row],[_Descendants]])),Tasks[[#This Row],[_LeafPV]]))</f>
        <v/>
      </c>
      <c r="BS53" s="111" t="str">
        <f aca="false">IF(Tasks[[#This Row],[Task Name]]="","",IF(Tasks[[#This Row],[_IsSummary]],SUM(INDEX(Tasks[_LeafAC],Tasks[[#This Row],[_Row]]+1):INDEX(Tasks[_LeafAC],Tasks[[#This Row],[_Row]]+Tasks[[#This Row],[_Descendants]])),Tasks[[#This Row],[_LeafAC]]))</f>
        <v/>
      </c>
      <c r="BT53" s="38" t="str">
        <f aca="false">IF(Tasks[[#This Row],[Task Name]]="","",MAX(1,N(Tasks[[#This Row],[Level]])))</f>
        <v/>
      </c>
      <c r="BU53" s="38" t="n">
        <f aca="false">ROW()-ROW(Tasks[[#Headers],[ID]])</f>
        <v>48</v>
      </c>
      <c r="BV53" s="38" t="n">
        <f aca="false">IF(OR(Tasks[[#This Row],[Task Name]]="",Tasks[[#This Row],[_Level]]&lt;=1),0,IFERROR(LOOKUP(2,1/(Tasks[[#Headers],[_Level]]:Tasks[[#This Row],[_Level]]=Tasks[[#This Row],[_Level]]-1),ROW(Tasks[[#Headers],[_Level]]:Tasks[[#This Row],[_Level]])),0))</f>
        <v>0</v>
      </c>
      <c r="BW53" s="38" t="n">
        <f aca="false">IFERROR(N(INDEX(Tasks[_Level],Tasks[[#This Row],[_Row]]+1)),0)</f>
        <v>0</v>
      </c>
      <c r="BX53" s="114" t="b">
        <f aca="false">AND(Tasks[[#This Row],[Task Name]]&lt;&gt;"",Tasks[[#This Row],[_NextLevel]]&gt;Tasks[[#This Row],[_Level]])</f>
        <v>0</v>
      </c>
      <c r="BY53" s="38" t="n">
        <f aca="false">IF(Tasks[[#This Row],[_IsSummary]],COUNTIF(Tasks[WBS],Tasks[[#This Row],[WBS]]&amp;".*"),0)</f>
        <v>0</v>
      </c>
      <c r="BZ53" s="38" t="n">
        <f aca="false">IF(AND(Tasks[[#This Row],[Task Name]]&lt;&gt;"",NOT(Tasks[[#This Row],[_IsSummary]])),1,0)</f>
        <v>0</v>
      </c>
      <c r="CA53" s="38" t="n">
        <f aca="false">IF(N(Tasks[[#This Row],[Pred1 UID]])=0,0,IFERROR(MATCH(Tasks[[#This Row],[Pred1 UID]],Tasks[UID],0),-1))</f>
        <v>0</v>
      </c>
      <c r="CB53" s="38" t="n">
        <f aca="false">IF(N(Tasks[[#This Row],[Pred2 UID]])=0,0,IFERROR(MATCH(Tasks[[#This Row],[Pred2 UID]],Tasks[UID],0),-1))</f>
        <v>0</v>
      </c>
      <c r="CC53" s="38" t="n">
        <f aca="false">IF(N(Tasks[[#This Row],[Pred3 UID]])=0,0,IFERROR(MATCH(Tasks[[#This Row],[Pred3 UID]],Tasks[UID],0),-1))</f>
        <v>0</v>
      </c>
      <c r="CD53" s="38" t="n">
        <f aca="false">IF(N(Tasks[[#This Row],[Pred4 UID]])=0,0,IFERROR(MATCH(Tasks[[#This Row],[Pred4 UID]],Tasks[UID],0),-1))</f>
        <v>0</v>
      </c>
      <c r="CE5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3" s="115" t="n">
        <f aca="false">IF(OR(Tasks[[#This Row],[_ConstraintCode]]=2,Tasks[[#This Row],[_ConstraintCode]]=3,Tasks[[#This Row],[_ConstraintCode]]=4,Tasks[[#This Row],[_ConstraintCode]]=6),Tasks[[#This Row],[_ConstraintStart]],0)</f>
        <v>0</v>
      </c>
      <c r="CH53" s="115" t="n">
        <f aca="false">IF(OR(Tasks[[#This Row],[_ConstraintCode]]=2,Tasks[[#This Row],[_ConstraintCode]]=3,Tasks[[#This Row],[_ConstraintCode]]=5,Tasks[[#This Row],[_ConstraintCode]]=7),Tasks[[#This Row],[_ConstraintStart]],2958465)</f>
        <v>2958465</v>
      </c>
      <c r="CI5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3" s="115" t="str">
        <f aca="false">IF(NOT(Tasks[[#This Row],[_IsLeaf]]=1),"",IF(N(Tasks[[#This Row],[Duration]])&lt;=0,Tasks[[#This Row],[_LeafCalcStart]],WORKDAY.INTL(Tasks[[#This Row],[_LeafCalcStart]],Tasks[[#This Row],[Duration]]-1,WorkWeek,Holidays)))</f>
        <v/>
      </c>
      <c r="CK5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3" s="38" t="n">
        <f aca="false">IF(NOT(Tasks[[#This Row],[_IsLeaf]]=1),0,IF(N(Tasks[[#This Row],[Actual Finish]])&gt;0,1,MIN(1,N(Tasks[[#This Row],[% Complete]]))))</f>
        <v>0</v>
      </c>
      <c r="CN53" s="38" t="n">
        <f aca="false">IF(OR(NOT(Tasks[[#This Row],[_IsLeaf]]=1),Tasks[[#This Row],[Resource]]=""),0,N(Tasks[[#This Row],[Duration]])*HoursPerDay*IF(Tasks[[#This Row],[Units]]="",DefaultUnits,Tasks[[#This Row],[Units]]))</f>
        <v>0</v>
      </c>
      <c r="CO53" s="38" t="n">
        <f aca="false">IF(Tasks[[#This Row],[_LeafWork]]=0,0,Tasks[[#This Row],[_LeafWork]]*IFERROR(INDEX(res_Rate,MATCH(Tasks[[#This Row],[Resource]],res_Name,0)),0))</f>
        <v>0</v>
      </c>
      <c r="CP53" s="38" t="n">
        <f aca="false">Tasks[[#This Row],[_LeafWork]]+IF(Tasks[[#This Row],[_IsLeaf]]=1,SUMIFS(asg_Work,asg_TaskUID,Tasks[[#This Row],[UID]],asg_Valid,1),0)</f>
        <v>0</v>
      </c>
      <c r="CQ53" s="38" t="n">
        <f aca="false">Tasks[[#This Row],[_LeafCost]]+IF(Tasks[[#This Row],[_IsLeaf]]=1,SUMIFS(asg_Cost,asg_TaskUID,Tasks[[#This Row],[UID]],asg_Valid,1),0)</f>
        <v>0</v>
      </c>
      <c r="CR53" s="38" t="n">
        <f aca="false">IF(Tasks[[#This Row],[_LeafTotalCost]]=0,Tasks[[#This Row],[_LeafAC]],Tasks[[#This Row],[_LeafAC]]*Tasks[[#This Row],[_LeafCost]]/Tasks[[#This Row],[_LeafTotalCost]])</f>
        <v>0</v>
      </c>
      <c r="CS5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3" s="38" t="n">
        <f aca="false">IF(NOT(Tasks[[#This Row],[_IsLeaf]]=1),0,MAX(_xlfn.MAXIFS(Tasks[_Row],Tasks[Pred1 UID],Tasks[[#This Row],[UID]]),_xlfn.MAXIFS(Tasks[_Row],Tasks[Pred2 UID],Tasks[[#This Row],[UID]]),_xlfn.MAXIFS(Tasks[_Row],Tasks[Pred3 UID],Tasks[[#This Row],[UID]]),_xlfn.MAXIFS(Tasks[_Row],Tasks[Pred4 UID],Tasks[[#This Row],[UID]])))</f>
        <v>0</v>
      </c>
      <c r="DB5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3" s="115" t="str">
        <f aca="false">IF(NOT(Tasks[[#This Row],[_IsLeaf]]=1),"",IF(N(Tasks[[#This Row],[Duration]])&lt;=0,Tasks[[#This Row],[_LeafLateFinish]],WORKDAY.INTL(Tasks[[#This Row],[_LeafLateFinish]],-(Tasks[[#This Row],[Duration]]-1),WorkWeek,Holidays)))</f>
        <v/>
      </c>
      <c r="DE5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3" s="114" t="b">
        <f aca="false">AND(Tasks[[#This Row],[_IsLeaf]]=1,Tasks[[#This Row],[_LeafProgress]]&lt;1,N(Tasks[[#This Row],[_LeafTotalSlack]])&lt;=CriticalSlackDays)</f>
        <v>0</v>
      </c>
      <c r="DG53" s="38" t="n">
        <f aca="false">IF(AND(Tasks[[#This Row],[_IsLeaf]]=1,Tasks[[#This Row],[_ConstraintCode]]=1,Tasks[[#This Row],[Mode]]&lt;&gt;"Manual",N(Tasks[[#This Row],[Actual Start]])=0),MAX(0,N(Tasks[[#This Row],[Free Slack]])),0)</f>
        <v>0</v>
      </c>
      <c r="DH53" s="115" t="str">
        <f aca="false">IF(NOT(Tasks[[#This Row],[_IsLeaf]]=1),"",IF(Tasks[[#This Row],[_AlapShift]]=0,Tasks[[#This Row],[_LeafCalcStart]],WORKDAY.INTL(Tasks[[#This Row],[_LeafCalcStart]],Tasks[[#This Row],[_AlapShift]],WorkWeek,Holidays)))</f>
        <v/>
      </c>
      <c r="DI53" s="115" t="str">
        <f aca="false">IF(NOT(Tasks[[#This Row],[_IsLeaf]]=1),"",IF(Tasks[[#This Row],[_AlapShift]]=0,Tasks[[#This Row],[_LeafCalcFinish]],WORKDAY.INTL(Tasks[[#This Row],[_LeafCalcFinish]],Tasks[[#This Row],[_AlapShift]],WorkWeek,Holidays)))</f>
        <v/>
      </c>
      <c r="DJ53" s="115" t="str">
        <f aca="false">IF(NOT(Tasks[[#This Row],[_IsLeaf]]=1),"",IF(Tasks[[#This Row],[_AlapShift]]=0,Tasks[[#This Row],[_LeafFcstStart]],WORKDAY.INTL(Tasks[[#This Row],[_LeafFcstStart]],Tasks[[#This Row],[_AlapShift]],WorkWeek,Holidays)))</f>
        <v/>
      </c>
      <c r="DK53" s="115" t="str">
        <f aca="false">IF(NOT(Tasks[[#This Row],[_IsLeaf]]=1),"",IF(Tasks[[#This Row],[_AlapShift]]=0,Tasks[[#This Row],[_LeafFcstFinish]],WORKDAY.INTL(Tasks[[#This Row],[_LeafFcstFinish]],Tasks[[#This Row],[_AlapShift]],WorkWeek,Holidays)))</f>
        <v/>
      </c>
      <c r="DL53" s="115" t="str">
        <f aca="false">IF(Tasks[[#This Row],[Task Name]]="","",IF(Tasks[[#This Row],[_IsSummary]],MIN(INDEX(Tasks[_ShownCalcStart],Tasks[[#This Row],[_Row]]+1):INDEX(Tasks[_ShownCalcStart],Tasks[[#This Row],[_Row]]+Tasks[[#This Row],[_Descendants]])),Tasks[[#This Row],[_ShownCalcStart]]))</f>
        <v/>
      </c>
      <c r="DM53" s="115" t="str">
        <f aca="false">IF(Tasks[[#This Row],[Task Name]]="","",IF(Tasks[[#This Row],[_IsSummary]],MAX(INDEX(Tasks[_ShownCalcFinish],Tasks[[#This Row],[_Row]]+1):INDEX(Tasks[_ShownCalcFinish],Tasks[[#This Row],[_Row]]+Tasks[[#This Row],[_Descendants]])),Tasks[[#This Row],[_ShownCalcFinish]]))</f>
        <v/>
      </c>
      <c r="DN5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3" s="38" t="n">
        <f aca="false">IF(AND(Tasks[[#This Row],[_IsLeaf]]=1,Tasks[[#This Row],[_LeafTotalWork]]&gt;0),NETWORKDAYS.INTL(ProjectStart,Tasks[[#This Row],[_ShownFcstStart]],WorkWeek,Holidays),0)</f>
        <v>0</v>
      </c>
      <c r="EA53" s="38" t="n">
        <f aca="false">IF(AND(Tasks[[#This Row],[_IsLeaf]]=1,Tasks[[#This Row],[_LeafTotalWork]]&gt;0),MAX(Tasks[[#This Row],[_StartWorkday]],NETWORKDAYS.INTL(ProjectStart,Tasks[[#This Row],[_ShownFcstFinish]],WorkWeek,Holidays)),0)</f>
        <v>0</v>
      </c>
      <c r="EB53" s="38" t="n">
        <f aca="false">IF(AND(Tasks[[#This Row],[_IsLeaf]]=1,Tasks[[#This Row],[_LeafTotalWork]]&gt;0),Tasks[[#This Row],[_LeafWork]]/(Tasks[[#This Row],[_FinishWorkday]]-Tasks[[#This Row],[_StartWorkday]]+1),0)</f>
        <v>0</v>
      </c>
      <c r="EC53" s="38" t="n">
        <f aca="false">Tasks[[#This Row],[_WorkPerWorkday]]*(Tasks[[#This Row],[_StartWorkday]]-1)</f>
        <v>-0</v>
      </c>
      <c r="ED53" s="38" t="n">
        <f aca="false">IF(Tasks[[#This Row],[_IsLeaf]]=1,MAX(N(Tasks[[#This Row],[Duration]]),0.1),0)</f>
        <v>0</v>
      </c>
      <c r="EE53" s="38" t="n">
        <f aca="false">Tasks[[#This Row],[_WeightDur]]*Tasks[[#This Row],[_LeafProgress]]</f>
        <v>0</v>
      </c>
      <c r="EF5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3" s="38" t="str">
        <f aca="false">IF(AND(Tasks[[#This Row],[_IsLeaf]]=1,N(Tasks[[#This Row],[Duration]])=0,Tasks[[#This Row],[_LeafProgress]]&lt;1),Tasks[[#This Row],[_ShownFcstFinish]]+Tasks[[#This Row],[_Row]]/100000,"")</f>
        <v/>
      </c>
      <c r="EH5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3" s="38" t="n">
        <f aca="false">IF(NOT(Tasks[[#This Row],[_IsLeaf]]=1),0,IF(Tasks[[#This Row],[Baseline Cost]]="",Tasks[[#This Row],[_LeafTotalCost]],N(Tasks[[#This Row],[Baseline Cost]])))</f>
        <v>0</v>
      </c>
      <c r="EJ53" s="38" t="n">
        <f aca="false">Tasks[[#This Row],[_LeafBudget]]*Tasks[[#This Row],[_PlannedPct]]</f>
        <v>0</v>
      </c>
      <c r="EK53" s="38" t="n">
        <f aca="false">Tasks[[#This Row],[_LeafBudget]]*Tasks[[#This Row],[_LeafProgress]]</f>
        <v>0</v>
      </c>
      <c r="EL53" s="38" t="n">
        <f aca="false">IF(NOT(Tasks[[#This Row],[_IsLeaf]]=1),0,IF(Tasks[[#This Row],[Actual Cost]]="",Tasks[[#This Row],[_LeafTotalCost]]*Tasks[[#This Row],[_LeafProgress]],N(Tasks[[#This Row],[Actual Cost]])))</f>
        <v>0</v>
      </c>
      <c r="EM53" s="38" t="str">
        <f aca="false">IF(Tasks[[#This Row],[Task Name]]="","",LEFT(Tasks[[#This Row],[WBS]],FIND(".",Tasks[[#This Row],[WBS]]&amp;".")-1))</f>
        <v/>
      </c>
      <c r="EN53" s="38" t="str">
        <f aca="false">IF(AND(Tasks[[#This Row],[Task Name]]&lt;&gt;"",Tasks[[#This Row],[_Level]]=1),Tasks[[#This Row],[_Row]],"")</f>
        <v/>
      </c>
      <c r="EO53" s="38" t="str">
        <f aca="false">IF(AND(Tasks[[#This Row],[_IsLeaf]]=1,N(Tasks[[#This Row],[Duration]])=0),Tasks[[#This Row],[Planned Finish]]+Tasks[[#This Row],[_Row]]/100000,"")</f>
        <v/>
      </c>
      <c r="EP53" s="38" t="str">
        <f aca="false">IF(AND(Tasks[[#This Row],[_IsLeaf]]=1,Tasks[[#This Row],[_LeafProgress]]&lt;1,OR(N(Tasks[[#This Row],[Finish Var]])&gt;0,Tasks[[#This Row],[Status]]="Late Start")),MAX(0,Tasks[[#This Row],[Finish Var]])+1-Tasks[[#This Row],[_Row]]/1000000,"")</f>
        <v/>
      </c>
      <c r="EQ53" s="38" t="str">
        <f aca="false">IF(AND(Tasks[[#This Row],[_IsLeaf]]=1,N(Tasks[[#This Row],[Actual Start]])=0,Tasks[[#This Row],[_ShownFcstStart]]&gt;=StatusDate,Tasks[[#This Row],[_ShownFcstStart]]&lt;=LookaheadEnd),Tasks[[#This Row],[_ShownFcstStart]]+Tasks[[#This Row],[_Row]]/100000,"")</f>
        <v/>
      </c>
      <c r="ER53" s="38" t="str">
        <f aca="false">IF(AND(Tasks[[#This Row],[_IsLeaf]]=1,Tasks[[#This Row],[_LeafProgress]]&lt;1,Tasks[[#This Row],[_ShownFcstFinish]]&gt;=StatusDate,Tasks[[#This Row],[_ShownFcstFinish]]&lt;=LookaheadEnd),Tasks[[#This Row],[_ShownFcstFinish]]+Tasks[[#This Row],[_Row]]/100000,"")</f>
        <v/>
      </c>
      <c r="ES53" s="38" t="str">
        <f aca="false">IF(Tasks[[#This Row],[_LeafCritical]],Tasks[[#This Row],[_ShownFcstStart]]+Tasks[[#This Row],[_Row]]/100000,"")</f>
        <v/>
      </c>
      <c r="ET53" s="38" t="n">
        <f aca="false">Tasks[[#This Row],[_LeafWork]]*Tasks[[#This Row],[_LeafProgress]]</f>
        <v>0</v>
      </c>
      <c r="EU53" s="115" t="str">
        <f aca="false">IF(AND(Tasks[[#This Row],[_IsLeaf]]=1,Tasks[[#This Row],[_LeafProgress]]&gt;=1),IF(N(Tasks[[#This Row],[Actual Finish]])&gt;0,Tasks[[#This Row],[Actual Finish]],Tasks[[#This Row],[_ShownFcstFinish]]),"")</f>
        <v/>
      </c>
      <c r="EV53" s="38" t="n">
        <f aca="false">IF(Tasks[[#This Row],[_IsLeaf]]=1,N(Tasks[[#This Row],[Story Points]]),0)</f>
        <v>0</v>
      </c>
      <c r="EW53" s="38" t="str">
        <f aca="false">IF(AND(Tasks[[#This Row],[_IsLeaf]]=1,CurrentSprint&lt;&gt;"",Tasks[[#This Row],[Sprint]]=CurrentSprint),Tasks[[#This Row],[_Row]],"")</f>
        <v/>
      </c>
    </row>
    <row r="54" customFormat="false" ht="15" hidden="false" customHeight="false" outlineLevel="0" collapsed="false">
      <c r="A54" s="51" t="str">
        <f aca="false">IF(Tasks[[#This Row],[Task Name]]="","",COUNTA(Tasks[[#Headers],[Task Name]]:Tasks[[#This Row],[Task Name]])-1)</f>
        <v/>
      </c>
      <c r="B54" s="52" t="n">
        <v>49</v>
      </c>
      <c r="C5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52"/>
      <c r="E54" s="53"/>
      <c r="F54" s="52"/>
      <c r="G54" s="52"/>
      <c r="H54" s="52"/>
      <c r="I54" s="52"/>
      <c r="J54" s="52"/>
      <c r="K54" s="52"/>
      <c r="L54" s="52"/>
      <c r="M54" s="52"/>
      <c r="N54" s="52"/>
      <c r="O54" s="52"/>
      <c r="P54" s="52"/>
      <c r="Q54" s="52"/>
      <c r="R54" s="52"/>
      <c r="S54" s="53"/>
      <c r="T54" s="102"/>
      <c r="U54" s="102"/>
      <c r="V54" s="7"/>
      <c r="W54" s="7"/>
      <c r="X54" s="53"/>
      <c r="Y54" s="31" t="str">
        <f aca="false">IF(Tasks[[#This Row],[Task Name]]="","",IF(Tasks[[#This Row],[_IsSummary]],MIN(INDEX(Tasks[_ShownFcstStart],Tasks[[#This Row],[_Row]]+1):INDEX(Tasks[_ShownFcstStart],Tasks[[#This Row],[_Row]]+Tasks[[#This Row],[_Descendants]])),Tasks[[#This Row],[_ShownFcstStart]]))</f>
        <v/>
      </c>
      <c r="Z54" s="31" t="str">
        <f aca="false">IF(Tasks[[#This Row],[Task Name]]="","",IF(Tasks[[#This Row],[_IsSummary]],MAX(INDEX(Tasks[_ShownFcstFinish],Tasks[[#This Row],[_Row]]+1):INDEX(Tasks[_ShownFcstFinish],Tasks[[#This Row],[_Row]]+Tasks[[#This Row],[_Descendants]])),Tasks[[#This Row],[_ShownFcstFinish]]))</f>
        <v/>
      </c>
      <c r="AA54" s="51" t="str">
        <f aca="false">IF(Tasks[[#This Row],[Task Name]]="","",IF(Tasks[[#This Row],[Progress]]&gt;=1,"Complete",IF(OR(N(Tasks[[#This Row],[Actual Start]])&gt;0,Tasks[[#This Row],[Progress]]&gt;0),IF(Tasks[[#This Row],[Finish Var]]&gt;0,"Behind","In Progress"),IF(Tasks[[#This Row],[Planned Start]]&lt;StatusDate,"Late Start","Not Started"))))</f>
        <v/>
      </c>
      <c r="AB54" s="51" t="str">
        <f aca="false">IF(Tasks[[#This Row],[Task Name]]="","",IF(IF(Tasks[[#This Row],[_IsSummary]],COUNTIF(INDEX(Tasks[_LeafCritical],Tasks[[#This Row],[_Row]]+1):INDEX(Tasks[_LeafCritical],Tasks[[#This Row],[_Row]]+Tasks[[#This Row],[_Descendants]]),TRUE())&gt;0,Tasks[[#This Row],[_LeafCritical]]),"Yes",""))</f>
        <v/>
      </c>
      <c r="AC5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4" s="51" t="str">
        <f aca="false">IF(Tasks[[#This Row],[Task Name]]="","",IF(Tasks[[#This Row],[_Level]]&lt;=OutlineShowLevel,"Yes","No"))</f>
        <v/>
      </c>
      <c r="AE54" s="7"/>
      <c r="AF54" s="52"/>
      <c r="AG54" s="53"/>
      <c r="AH54" s="7"/>
      <c r="AI5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4" s="31" t="str">
        <f aca="false">IF(Tasks[[#This Row],[Task Name]]="","",IF(N(Tasks[[#This Row],[Baseline Start]])&gt;0,Tasks[[#This Row],[Baseline Start]],Tasks[[#This Row],[_CalcStart]]))</f>
        <v/>
      </c>
      <c r="AK54" s="31" t="str">
        <f aca="false">IF(Tasks[[#This Row],[Task Name]]="","",IF(N(Tasks[[#This Row],[Baseline Finish]])&gt;0,Tasks[[#This Row],[Baseline Finish]],Tasks[[#This Row],[_CalcFinish]]))</f>
        <v/>
      </c>
      <c r="AL5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4" s="31" t="str">
        <f aca="false">IF(Tasks[[#This Row],[Task Name]]="","",IF(Tasks[[#This Row],[_IsSummary]],MIN(INDEX(Tasks[_LeafLateStart],Tasks[[#This Row],[_Row]]+1):INDEX(Tasks[_LeafLateStart],Tasks[[#This Row],[_Row]]+Tasks[[#This Row],[_Descendants]])),Tasks[[#This Row],[_LeafLateStart]]))</f>
        <v/>
      </c>
      <c r="AN54" s="31" t="str">
        <f aca="false">IF(Tasks[[#This Row],[Task Name]]="","",IF(Tasks[[#This Row],[_IsSummary]],MAX(INDEX(Tasks[_LeafLateFinish],Tasks[[#This Row],[_Row]]+1):INDEX(Tasks[_LeafLateFinish],Tasks[[#This Row],[_Row]]+Tasks[[#This Row],[_Descendants]])),Tasks[[#This Row],[_LeafLateFinish]]))</f>
        <v/>
      </c>
      <c r="AO54" s="51" t="str">
        <f aca="false">IF(Tasks[[#This Row],[Task Name]]="","",IF(Tasks[[#This Row],[_IsSummary]],MIN(INDEX(Tasks[_LeafTotalSlack],Tasks[[#This Row],[_Row]]+1):INDEX(Tasks[_LeafTotalSlack],Tasks[[#This Row],[_Row]]+Tasks[[#This Row],[_Descendants]])),Tasks[[#This Row],[_LeafTotalSlack]]))</f>
        <v/>
      </c>
      <c r="AP5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4" s="110" t="str">
        <f aca="false">IF(Tasks[[#This Row],[Task Name]]="","",IF(Tasks[[#This Row],[_IsSummary]],SUM(INDEX(Tasks[_LeafTotalWork],Tasks[[#This Row],[_Row]]+1):INDEX(Tasks[_LeafTotalWork],Tasks[[#This Row],[_Row]]+Tasks[[#This Row],[_Descendants]])),Tasks[[#This Row],[_LeafTotalWork]]))</f>
        <v/>
      </c>
      <c r="AV5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4" s="111" t="str">
        <f aca="false">IF(Tasks[[#This Row],[Task Name]]="","",IF(Tasks[[#This Row],[_IsSummary]],SUM(INDEX(Tasks[_LeafTotalCost],Tasks[[#This Row],[_Row]]+1):INDEX(Tasks[_LeafTotalCost],Tasks[[#This Row],[_Row]]+Tasks[[#This Row],[_Descendants]])),Tasks[[#This Row],[_LeafTotalCost]]))</f>
        <v/>
      </c>
      <c r="AY54" s="112"/>
      <c r="AZ5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4" s="52"/>
      <c r="BB54" s="98"/>
      <c r="BC54" s="51" t="str">
        <f aca="false">IF(OR(Tasks[[#This Row],[Task Name]]="",Tasks[[#This Row],[Baseline Duration]]=""),"",Tasks[[#This Row],[BL Source Duration]]-N(Tasks[[#This Row],[Baseline Duration]]))</f>
        <v/>
      </c>
      <c r="BD54" s="110" t="str">
        <f aca="false">IF(OR(Tasks[[#This Row],[Task Name]]="",Tasks[[#This Row],[Baseline Work]]=""),"",Tasks[[#This Row],[Work]]-N(Tasks[[#This Row],[Baseline Work]]))</f>
        <v/>
      </c>
      <c r="BE54" s="111" t="str">
        <f aca="false">IF(OR(Tasks[[#This Row],[Task Name]]="",Tasks[[#This Row],[Baseline Cost]]=""),"",Tasks[[#This Row],[Cost]]-N(Tasks[[#This Row],[Baseline Cost]]))</f>
        <v/>
      </c>
      <c r="BF54" s="31" t="str">
        <f aca="false">IF(Tasks[[#This Row],[Task Name]]="","",Tasks[[#This Row],[Forecast Start]])</f>
        <v/>
      </c>
      <c r="BG54" s="31" t="str">
        <f aca="false">IF(Tasks[[#This Row],[Task Name]]="","",Tasks[[#This Row],[Forecast Finish]])</f>
        <v/>
      </c>
      <c r="BH54" s="51" t="str">
        <f aca="false">IF(Tasks[[#This Row],[Task Name]]="","",IF(Tasks[[#This Row],[_IsSummary]],NETWORKDAYS.INTL(Tasks[[#This Row],[Forecast Start]],Tasks[[#This Row],[Forecast Finish]],WorkWeek,Holidays),N(Tasks[[#This Row],[Duration]])))</f>
        <v/>
      </c>
      <c r="BI54" s="110" t="str">
        <f aca="false">IF(Tasks[[#This Row],[Task Name]]="","",Tasks[[#This Row],[Work]])</f>
        <v/>
      </c>
      <c r="BJ54" s="111" t="str">
        <f aca="false">IF(Tasks[[#This Row],[Task Name]]="","",Tasks[[#This Row],[Cost]])</f>
        <v/>
      </c>
      <c r="BK54" s="7"/>
      <c r="BL54" s="7"/>
      <c r="BM54" s="52"/>
      <c r="BN54" s="113"/>
      <c r="BO54" s="112"/>
      <c r="BP54" s="111" t="str">
        <f aca="false">IF(Tasks[[#This Row],[Task Name]]="","",IF(Tasks[[#This Row],[_IsSummary]],SUM(INDEX(Tasks[_LeafEV],Tasks[[#This Row],[_Row]]+1):INDEX(Tasks[_LeafEV],Tasks[[#This Row],[_Row]]+Tasks[[#This Row],[_Descendants]])),Tasks[[#This Row],[_LeafEV]]))</f>
        <v/>
      </c>
      <c r="BQ54" s="111" t="str">
        <f aca="false">IF(Tasks[[#This Row],[Task Name]]="","",IF(Tasks[[#This Row],[_IsSummary]],SUM(INDEX(Tasks[_LeafBudget],Tasks[[#This Row],[_Row]]+1):INDEX(Tasks[_LeafBudget],Tasks[[#This Row],[_Row]]+Tasks[[#This Row],[_Descendants]])),Tasks[[#This Row],[_LeafBudget]]))</f>
        <v/>
      </c>
      <c r="BR54" s="111" t="str">
        <f aca="false">IF(Tasks[[#This Row],[Task Name]]="","",IF(Tasks[[#This Row],[_IsSummary]],SUM(INDEX(Tasks[_LeafPV],Tasks[[#This Row],[_Row]]+1):INDEX(Tasks[_LeafPV],Tasks[[#This Row],[_Row]]+Tasks[[#This Row],[_Descendants]])),Tasks[[#This Row],[_LeafPV]]))</f>
        <v/>
      </c>
      <c r="BS54" s="111" t="str">
        <f aca="false">IF(Tasks[[#This Row],[Task Name]]="","",IF(Tasks[[#This Row],[_IsSummary]],SUM(INDEX(Tasks[_LeafAC],Tasks[[#This Row],[_Row]]+1):INDEX(Tasks[_LeafAC],Tasks[[#This Row],[_Row]]+Tasks[[#This Row],[_Descendants]])),Tasks[[#This Row],[_LeafAC]]))</f>
        <v/>
      </c>
      <c r="BT54" s="38" t="str">
        <f aca="false">IF(Tasks[[#This Row],[Task Name]]="","",MAX(1,N(Tasks[[#This Row],[Level]])))</f>
        <v/>
      </c>
      <c r="BU54" s="38" t="n">
        <f aca="false">ROW()-ROW(Tasks[[#Headers],[ID]])</f>
        <v>49</v>
      </c>
      <c r="BV54" s="38" t="n">
        <f aca="false">IF(OR(Tasks[[#This Row],[Task Name]]="",Tasks[[#This Row],[_Level]]&lt;=1),0,IFERROR(LOOKUP(2,1/(Tasks[[#Headers],[_Level]]:Tasks[[#This Row],[_Level]]=Tasks[[#This Row],[_Level]]-1),ROW(Tasks[[#Headers],[_Level]]:Tasks[[#This Row],[_Level]])),0))</f>
        <v>0</v>
      </c>
      <c r="BW54" s="38" t="n">
        <f aca="false">IFERROR(N(INDEX(Tasks[_Level],Tasks[[#This Row],[_Row]]+1)),0)</f>
        <v>0</v>
      </c>
      <c r="BX54" s="114" t="b">
        <f aca="false">AND(Tasks[[#This Row],[Task Name]]&lt;&gt;"",Tasks[[#This Row],[_NextLevel]]&gt;Tasks[[#This Row],[_Level]])</f>
        <v>0</v>
      </c>
      <c r="BY54" s="38" t="n">
        <f aca="false">IF(Tasks[[#This Row],[_IsSummary]],COUNTIF(Tasks[WBS],Tasks[[#This Row],[WBS]]&amp;".*"),0)</f>
        <v>0</v>
      </c>
      <c r="BZ54" s="38" t="n">
        <f aca="false">IF(AND(Tasks[[#This Row],[Task Name]]&lt;&gt;"",NOT(Tasks[[#This Row],[_IsSummary]])),1,0)</f>
        <v>0</v>
      </c>
      <c r="CA54" s="38" t="n">
        <f aca="false">IF(N(Tasks[[#This Row],[Pred1 UID]])=0,0,IFERROR(MATCH(Tasks[[#This Row],[Pred1 UID]],Tasks[UID],0),-1))</f>
        <v>0</v>
      </c>
      <c r="CB54" s="38" t="n">
        <f aca="false">IF(N(Tasks[[#This Row],[Pred2 UID]])=0,0,IFERROR(MATCH(Tasks[[#This Row],[Pred2 UID]],Tasks[UID],0),-1))</f>
        <v>0</v>
      </c>
      <c r="CC54" s="38" t="n">
        <f aca="false">IF(N(Tasks[[#This Row],[Pred3 UID]])=0,0,IFERROR(MATCH(Tasks[[#This Row],[Pred3 UID]],Tasks[UID],0),-1))</f>
        <v>0</v>
      </c>
      <c r="CD54" s="38" t="n">
        <f aca="false">IF(N(Tasks[[#This Row],[Pred4 UID]])=0,0,IFERROR(MATCH(Tasks[[#This Row],[Pred4 UID]],Tasks[UID],0),-1))</f>
        <v>0</v>
      </c>
      <c r="CE5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4" s="115" t="n">
        <f aca="false">IF(OR(Tasks[[#This Row],[_ConstraintCode]]=2,Tasks[[#This Row],[_ConstraintCode]]=3,Tasks[[#This Row],[_ConstraintCode]]=4,Tasks[[#This Row],[_ConstraintCode]]=6),Tasks[[#This Row],[_ConstraintStart]],0)</f>
        <v>0</v>
      </c>
      <c r="CH54" s="115" t="n">
        <f aca="false">IF(OR(Tasks[[#This Row],[_ConstraintCode]]=2,Tasks[[#This Row],[_ConstraintCode]]=3,Tasks[[#This Row],[_ConstraintCode]]=5,Tasks[[#This Row],[_ConstraintCode]]=7),Tasks[[#This Row],[_ConstraintStart]],2958465)</f>
        <v>2958465</v>
      </c>
      <c r="CI5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4" s="115" t="str">
        <f aca="false">IF(NOT(Tasks[[#This Row],[_IsLeaf]]=1),"",IF(N(Tasks[[#This Row],[Duration]])&lt;=0,Tasks[[#This Row],[_LeafCalcStart]],WORKDAY.INTL(Tasks[[#This Row],[_LeafCalcStart]],Tasks[[#This Row],[Duration]]-1,WorkWeek,Holidays)))</f>
        <v/>
      </c>
      <c r="CK5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4" s="38" t="n">
        <f aca="false">IF(NOT(Tasks[[#This Row],[_IsLeaf]]=1),0,IF(N(Tasks[[#This Row],[Actual Finish]])&gt;0,1,MIN(1,N(Tasks[[#This Row],[% Complete]]))))</f>
        <v>0</v>
      </c>
      <c r="CN54" s="38" t="n">
        <f aca="false">IF(OR(NOT(Tasks[[#This Row],[_IsLeaf]]=1),Tasks[[#This Row],[Resource]]=""),0,N(Tasks[[#This Row],[Duration]])*HoursPerDay*IF(Tasks[[#This Row],[Units]]="",DefaultUnits,Tasks[[#This Row],[Units]]))</f>
        <v>0</v>
      </c>
      <c r="CO54" s="38" t="n">
        <f aca="false">IF(Tasks[[#This Row],[_LeafWork]]=0,0,Tasks[[#This Row],[_LeafWork]]*IFERROR(INDEX(res_Rate,MATCH(Tasks[[#This Row],[Resource]],res_Name,0)),0))</f>
        <v>0</v>
      </c>
      <c r="CP54" s="38" t="n">
        <f aca="false">Tasks[[#This Row],[_LeafWork]]+IF(Tasks[[#This Row],[_IsLeaf]]=1,SUMIFS(asg_Work,asg_TaskUID,Tasks[[#This Row],[UID]],asg_Valid,1),0)</f>
        <v>0</v>
      </c>
      <c r="CQ54" s="38" t="n">
        <f aca="false">Tasks[[#This Row],[_LeafCost]]+IF(Tasks[[#This Row],[_IsLeaf]]=1,SUMIFS(asg_Cost,asg_TaskUID,Tasks[[#This Row],[UID]],asg_Valid,1),0)</f>
        <v>0</v>
      </c>
      <c r="CR54" s="38" t="n">
        <f aca="false">IF(Tasks[[#This Row],[_LeafTotalCost]]=0,Tasks[[#This Row],[_LeafAC]],Tasks[[#This Row],[_LeafAC]]*Tasks[[#This Row],[_LeafCost]]/Tasks[[#This Row],[_LeafTotalCost]])</f>
        <v>0</v>
      </c>
      <c r="CS5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4" s="38" t="n">
        <f aca="false">IF(NOT(Tasks[[#This Row],[_IsLeaf]]=1),0,MAX(_xlfn.MAXIFS(Tasks[_Row],Tasks[Pred1 UID],Tasks[[#This Row],[UID]]),_xlfn.MAXIFS(Tasks[_Row],Tasks[Pred2 UID],Tasks[[#This Row],[UID]]),_xlfn.MAXIFS(Tasks[_Row],Tasks[Pred3 UID],Tasks[[#This Row],[UID]]),_xlfn.MAXIFS(Tasks[_Row],Tasks[Pred4 UID],Tasks[[#This Row],[UID]])))</f>
        <v>0</v>
      </c>
      <c r="DB5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4" s="115" t="str">
        <f aca="false">IF(NOT(Tasks[[#This Row],[_IsLeaf]]=1),"",IF(N(Tasks[[#This Row],[Duration]])&lt;=0,Tasks[[#This Row],[_LeafLateFinish]],WORKDAY.INTL(Tasks[[#This Row],[_LeafLateFinish]],-(Tasks[[#This Row],[Duration]]-1),WorkWeek,Holidays)))</f>
        <v/>
      </c>
      <c r="DE5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4" s="114" t="b">
        <f aca="false">AND(Tasks[[#This Row],[_IsLeaf]]=1,Tasks[[#This Row],[_LeafProgress]]&lt;1,N(Tasks[[#This Row],[_LeafTotalSlack]])&lt;=CriticalSlackDays)</f>
        <v>0</v>
      </c>
      <c r="DG54" s="38" t="n">
        <f aca="false">IF(AND(Tasks[[#This Row],[_IsLeaf]]=1,Tasks[[#This Row],[_ConstraintCode]]=1,Tasks[[#This Row],[Mode]]&lt;&gt;"Manual",N(Tasks[[#This Row],[Actual Start]])=0),MAX(0,N(Tasks[[#This Row],[Free Slack]])),0)</f>
        <v>0</v>
      </c>
      <c r="DH54" s="115" t="str">
        <f aca="false">IF(NOT(Tasks[[#This Row],[_IsLeaf]]=1),"",IF(Tasks[[#This Row],[_AlapShift]]=0,Tasks[[#This Row],[_LeafCalcStart]],WORKDAY.INTL(Tasks[[#This Row],[_LeafCalcStart]],Tasks[[#This Row],[_AlapShift]],WorkWeek,Holidays)))</f>
        <v/>
      </c>
      <c r="DI54" s="115" t="str">
        <f aca="false">IF(NOT(Tasks[[#This Row],[_IsLeaf]]=1),"",IF(Tasks[[#This Row],[_AlapShift]]=0,Tasks[[#This Row],[_LeafCalcFinish]],WORKDAY.INTL(Tasks[[#This Row],[_LeafCalcFinish]],Tasks[[#This Row],[_AlapShift]],WorkWeek,Holidays)))</f>
        <v/>
      </c>
      <c r="DJ54" s="115" t="str">
        <f aca="false">IF(NOT(Tasks[[#This Row],[_IsLeaf]]=1),"",IF(Tasks[[#This Row],[_AlapShift]]=0,Tasks[[#This Row],[_LeafFcstStart]],WORKDAY.INTL(Tasks[[#This Row],[_LeafFcstStart]],Tasks[[#This Row],[_AlapShift]],WorkWeek,Holidays)))</f>
        <v/>
      </c>
      <c r="DK54" s="115" t="str">
        <f aca="false">IF(NOT(Tasks[[#This Row],[_IsLeaf]]=1),"",IF(Tasks[[#This Row],[_AlapShift]]=0,Tasks[[#This Row],[_LeafFcstFinish]],WORKDAY.INTL(Tasks[[#This Row],[_LeafFcstFinish]],Tasks[[#This Row],[_AlapShift]],WorkWeek,Holidays)))</f>
        <v/>
      </c>
      <c r="DL54" s="115" t="str">
        <f aca="false">IF(Tasks[[#This Row],[Task Name]]="","",IF(Tasks[[#This Row],[_IsSummary]],MIN(INDEX(Tasks[_ShownCalcStart],Tasks[[#This Row],[_Row]]+1):INDEX(Tasks[_ShownCalcStart],Tasks[[#This Row],[_Row]]+Tasks[[#This Row],[_Descendants]])),Tasks[[#This Row],[_ShownCalcStart]]))</f>
        <v/>
      </c>
      <c r="DM54" s="115" t="str">
        <f aca="false">IF(Tasks[[#This Row],[Task Name]]="","",IF(Tasks[[#This Row],[_IsSummary]],MAX(INDEX(Tasks[_ShownCalcFinish],Tasks[[#This Row],[_Row]]+1):INDEX(Tasks[_ShownCalcFinish],Tasks[[#This Row],[_Row]]+Tasks[[#This Row],[_Descendants]])),Tasks[[#This Row],[_ShownCalcFinish]]))</f>
        <v/>
      </c>
      <c r="DN5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4" s="38" t="n">
        <f aca="false">IF(AND(Tasks[[#This Row],[_IsLeaf]]=1,Tasks[[#This Row],[_LeafTotalWork]]&gt;0),NETWORKDAYS.INTL(ProjectStart,Tasks[[#This Row],[_ShownFcstStart]],WorkWeek,Holidays),0)</f>
        <v>0</v>
      </c>
      <c r="EA54" s="38" t="n">
        <f aca="false">IF(AND(Tasks[[#This Row],[_IsLeaf]]=1,Tasks[[#This Row],[_LeafTotalWork]]&gt;0),MAX(Tasks[[#This Row],[_StartWorkday]],NETWORKDAYS.INTL(ProjectStart,Tasks[[#This Row],[_ShownFcstFinish]],WorkWeek,Holidays)),0)</f>
        <v>0</v>
      </c>
      <c r="EB54" s="38" t="n">
        <f aca="false">IF(AND(Tasks[[#This Row],[_IsLeaf]]=1,Tasks[[#This Row],[_LeafTotalWork]]&gt;0),Tasks[[#This Row],[_LeafWork]]/(Tasks[[#This Row],[_FinishWorkday]]-Tasks[[#This Row],[_StartWorkday]]+1),0)</f>
        <v>0</v>
      </c>
      <c r="EC54" s="38" t="n">
        <f aca="false">Tasks[[#This Row],[_WorkPerWorkday]]*(Tasks[[#This Row],[_StartWorkday]]-1)</f>
        <v>-0</v>
      </c>
      <c r="ED54" s="38" t="n">
        <f aca="false">IF(Tasks[[#This Row],[_IsLeaf]]=1,MAX(N(Tasks[[#This Row],[Duration]]),0.1),0)</f>
        <v>0</v>
      </c>
      <c r="EE54" s="38" t="n">
        <f aca="false">Tasks[[#This Row],[_WeightDur]]*Tasks[[#This Row],[_LeafProgress]]</f>
        <v>0</v>
      </c>
      <c r="EF5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4" s="38" t="str">
        <f aca="false">IF(AND(Tasks[[#This Row],[_IsLeaf]]=1,N(Tasks[[#This Row],[Duration]])=0,Tasks[[#This Row],[_LeafProgress]]&lt;1),Tasks[[#This Row],[_ShownFcstFinish]]+Tasks[[#This Row],[_Row]]/100000,"")</f>
        <v/>
      </c>
      <c r="EH5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4" s="38" t="n">
        <f aca="false">IF(NOT(Tasks[[#This Row],[_IsLeaf]]=1),0,IF(Tasks[[#This Row],[Baseline Cost]]="",Tasks[[#This Row],[_LeafTotalCost]],N(Tasks[[#This Row],[Baseline Cost]])))</f>
        <v>0</v>
      </c>
      <c r="EJ54" s="38" t="n">
        <f aca="false">Tasks[[#This Row],[_LeafBudget]]*Tasks[[#This Row],[_PlannedPct]]</f>
        <v>0</v>
      </c>
      <c r="EK54" s="38" t="n">
        <f aca="false">Tasks[[#This Row],[_LeafBudget]]*Tasks[[#This Row],[_LeafProgress]]</f>
        <v>0</v>
      </c>
      <c r="EL54" s="38" t="n">
        <f aca="false">IF(NOT(Tasks[[#This Row],[_IsLeaf]]=1),0,IF(Tasks[[#This Row],[Actual Cost]]="",Tasks[[#This Row],[_LeafTotalCost]]*Tasks[[#This Row],[_LeafProgress]],N(Tasks[[#This Row],[Actual Cost]])))</f>
        <v>0</v>
      </c>
      <c r="EM54" s="38" t="str">
        <f aca="false">IF(Tasks[[#This Row],[Task Name]]="","",LEFT(Tasks[[#This Row],[WBS]],FIND(".",Tasks[[#This Row],[WBS]]&amp;".")-1))</f>
        <v/>
      </c>
      <c r="EN54" s="38" t="str">
        <f aca="false">IF(AND(Tasks[[#This Row],[Task Name]]&lt;&gt;"",Tasks[[#This Row],[_Level]]=1),Tasks[[#This Row],[_Row]],"")</f>
        <v/>
      </c>
      <c r="EO54" s="38" t="str">
        <f aca="false">IF(AND(Tasks[[#This Row],[_IsLeaf]]=1,N(Tasks[[#This Row],[Duration]])=0),Tasks[[#This Row],[Planned Finish]]+Tasks[[#This Row],[_Row]]/100000,"")</f>
        <v/>
      </c>
      <c r="EP54" s="38" t="str">
        <f aca="false">IF(AND(Tasks[[#This Row],[_IsLeaf]]=1,Tasks[[#This Row],[_LeafProgress]]&lt;1,OR(N(Tasks[[#This Row],[Finish Var]])&gt;0,Tasks[[#This Row],[Status]]="Late Start")),MAX(0,Tasks[[#This Row],[Finish Var]])+1-Tasks[[#This Row],[_Row]]/1000000,"")</f>
        <v/>
      </c>
      <c r="EQ54" s="38" t="str">
        <f aca="false">IF(AND(Tasks[[#This Row],[_IsLeaf]]=1,N(Tasks[[#This Row],[Actual Start]])=0,Tasks[[#This Row],[_ShownFcstStart]]&gt;=StatusDate,Tasks[[#This Row],[_ShownFcstStart]]&lt;=LookaheadEnd),Tasks[[#This Row],[_ShownFcstStart]]+Tasks[[#This Row],[_Row]]/100000,"")</f>
        <v/>
      </c>
      <c r="ER54" s="38" t="str">
        <f aca="false">IF(AND(Tasks[[#This Row],[_IsLeaf]]=1,Tasks[[#This Row],[_LeafProgress]]&lt;1,Tasks[[#This Row],[_ShownFcstFinish]]&gt;=StatusDate,Tasks[[#This Row],[_ShownFcstFinish]]&lt;=LookaheadEnd),Tasks[[#This Row],[_ShownFcstFinish]]+Tasks[[#This Row],[_Row]]/100000,"")</f>
        <v/>
      </c>
      <c r="ES54" s="38" t="str">
        <f aca="false">IF(Tasks[[#This Row],[_LeafCritical]],Tasks[[#This Row],[_ShownFcstStart]]+Tasks[[#This Row],[_Row]]/100000,"")</f>
        <v/>
      </c>
      <c r="ET54" s="38" t="n">
        <f aca="false">Tasks[[#This Row],[_LeafWork]]*Tasks[[#This Row],[_LeafProgress]]</f>
        <v>0</v>
      </c>
      <c r="EU54" s="115" t="str">
        <f aca="false">IF(AND(Tasks[[#This Row],[_IsLeaf]]=1,Tasks[[#This Row],[_LeafProgress]]&gt;=1),IF(N(Tasks[[#This Row],[Actual Finish]])&gt;0,Tasks[[#This Row],[Actual Finish]],Tasks[[#This Row],[_ShownFcstFinish]]),"")</f>
        <v/>
      </c>
      <c r="EV54" s="38" t="n">
        <f aca="false">IF(Tasks[[#This Row],[_IsLeaf]]=1,N(Tasks[[#This Row],[Story Points]]),0)</f>
        <v>0</v>
      </c>
      <c r="EW54" s="38" t="str">
        <f aca="false">IF(AND(Tasks[[#This Row],[_IsLeaf]]=1,CurrentSprint&lt;&gt;"",Tasks[[#This Row],[Sprint]]=CurrentSprint),Tasks[[#This Row],[_Row]],"")</f>
        <v/>
      </c>
    </row>
    <row r="55" customFormat="false" ht="15" hidden="false" customHeight="false" outlineLevel="0" collapsed="false">
      <c r="A55" s="51" t="str">
        <f aca="false">IF(Tasks[[#This Row],[Task Name]]="","",COUNTA(Tasks[[#Headers],[Task Name]]:Tasks[[#This Row],[Task Name]])-1)</f>
        <v/>
      </c>
      <c r="B55" s="52" t="n">
        <v>50</v>
      </c>
      <c r="C5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52"/>
      <c r="E55" s="53"/>
      <c r="F55" s="52"/>
      <c r="G55" s="52"/>
      <c r="H55" s="52"/>
      <c r="I55" s="52"/>
      <c r="J55" s="52"/>
      <c r="K55" s="52"/>
      <c r="L55" s="52"/>
      <c r="M55" s="52"/>
      <c r="N55" s="52"/>
      <c r="O55" s="52"/>
      <c r="P55" s="52"/>
      <c r="Q55" s="52"/>
      <c r="R55" s="52"/>
      <c r="S55" s="53"/>
      <c r="T55" s="102"/>
      <c r="U55" s="102"/>
      <c r="V55" s="7"/>
      <c r="W55" s="7"/>
      <c r="X55" s="53"/>
      <c r="Y55" s="31" t="str">
        <f aca="false">IF(Tasks[[#This Row],[Task Name]]="","",IF(Tasks[[#This Row],[_IsSummary]],MIN(INDEX(Tasks[_ShownFcstStart],Tasks[[#This Row],[_Row]]+1):INDEX(Tasks[_ShownFcstStart],Tasks[[#This Row],[_Row]]+Tasks[[#This Row],[_Descendants]])),Tasks[[#This Row],[_ShownFcstStart]]))</f>
        <v/>
      </c>
      <c r="Z55" s="31" t="str">
        <f aca="false">IF(Tasks[[#This Row],[Task Name]]="","",IF(Tasks[[#This Row],[_IsSummary]],MAX(INDEX(Tasks[_ShownFcstFinish],Tasks[[#This Row],[_Row]]+1):INDEX(Tasks[_ShownFcstFinish],Tasks[[#This Row],[_Row]]+Tasks[[#This Row],[_Descendants]])),Tasks[[#This Row],[_ShownFcstFinish]]))</f>
        <v/>
      </c>
      <c r="AA55" s="51" t="str">
        <f aca="false">IF(Tasks[[#This Row],[Task Name]]="","",IF(Tasks[[#This Row],[Progress]]&gt;=1,"Complete",IF(OR(N(Tasks[[#This Row],[Actual Start]])&gt;0,Tasks[[#This Row],[Progress]]&gt;0),IF(Tasks[[#This Row],[Finish Var]]&gt;0,"Behind","In Progress"),IF(Tasks[[#This Row],[Planned Start]]&lt;StatusDate,"Late Start","Not Started"))))</f>
        <v/>
      </c>
      <c r="AB55" s="51" t="str">
        <f aca="false">IF(Tasks[[#This Row],[Task Name]]="","",IF(IF(Tasks[[#This Row],[_IsSummary]],COUNTIF(INDEX(Tasks[_LeafCritical],Tasks[[#This Row],[_Row]]+1):INDEX(Tasks[_LeafCritical],Tasks[[#This Row],[_Row]]+Tasks[[#This Row],[_Descendants]]),TRUE())&gt;0,Tasks[[#This Row],[_LeafCritical]]),"Yes",""))</f>
        <v/>
      </c>
      <c r="AC5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5" s="51" t="str">
        <f aca="false">IF(Tasks[[#This Row],[Task Name]]="","",IF(Tasks[[#This Row],[_Level]]&lt;=OutlineShowLevel,"Yes","No"))</f>
        <v/>
      </c>
      <c r="AE55" s="7"/>
      <c r="AF55" s="52"/>
      <c r="AG55" s="53"/>
      <c r="AH55" s="7"/>
      <c r="AI5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5" s="31" t="str">
        <f aca="false">IF(Tasks[[#This Row],[Task Name]]="","",IF(N(Tasks[[#This Row],[Baseline Start]])&gt;0,Tasks[[#This Row],[Baseline Start]],Tasks[[#This Row],[_CalcStart]]))</f>
        <v/>
      </c>
      <c r="AK55" s="31" t="str">
        <f aca="false">IF(Tasks[[#This Row],[Task Name]]="","",IF(N(Tasks[[#This Row],[Baseline Finish]])&gt;0,Tasks[[#This Row],[Baseline Finish]],Tasks[[#This Row],[_CalcFinish]]))</f>
        <v/>
      </c>
      <c r="AL5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5" s="31" t="str">
        <f aca="false">IF(Tasks[[#This Row],[Task Name]]="","",IF(Tasks[[#This Row],[_IsSummary]],MIN(INDEX(Tasks[_LeafLateStart],Tasks[[#This Row],[_Row]]+1):INDEX(Tasks[_LeafLateStart],Tasks[[#This Row],[_Row]]+Tasks[[#This Row],[_Descendants]])),Tasks[[#This Row],[_LeafLateStart]]))</f>
        <v/>
      </c>
      <c r="AN55" s="31" t="str">
        <f aca="false">IF(Tasks[[#This Row],[Task Name]]="","",IF(Tasks[[#This Row],[_IsSummary]],MAX(INDEX(Tasks[_LeafLateFinish],Tasks[[#This Row],[_Row]]+1):INDEX(Tasks[_LeafLateFinish],Tasks[[#This Row],[_Row]]+Tasks[[#This Row],[_Descendants]])),Tasks[[#This Row],[_LeafLateFinish]]))</f>
        <v/>
      </c>
      <c r="AO55" s="51" t="str">
        <f aca="false">IF(Tasks[[#This Row],[Task Name]]="","",IF(Tasks[[#This Row],[_IsSummary]],MIN(INDEX(Tasks[_LeafTotalSlack],Tasks[[#This Row],[_Row]]+1):INDEX(Tasks[_LeafTotalSlack],Tasks[[#This Row],[_Row]]+Tasks[[#This Row],[_Descendants]])),Tasks[[#This Row],[_LeafTotalSlack]]))</f>
        <v/>
      </c>
      <c r="AP5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5" s="110" t="str">
        <f aca="false">IF(Tasks[[#This Row],[Task Name]]="","",IF(Tasks[[#This Row],[_IsSummary]],SUM(INDEX(Tasks[_LeafTotalWork],Tasks[[#This Row],[_Row]]+1):INDEX(Tasks[_LeafTotalWork],Tasks[[#This Row],[_Row]]+Tasks[[#This Row],[_Descendants]])),Tasks[[#This Row],[_LeafTotalWork]]))</f>
        <v/>
      </c>
      <c r="AV5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5" s="111" t="str">
        <f aca="false">IF(Tasks[[#This Row],[Task Name]]="","",IF(Tasks[[#This Row],[_IsSummary]],SUM(INDEX(Tasks[_LeafTotalCost],Tasks[[#This Row],[_Row]]+1):INDEX(Tasks[_LeafTotalCost],Tasks[[#This Row],[_Row]]+Tasks[[#This Row],[_Descendants]])),Tasks[[#This Row],[_LeafTotalCost]]))</f>
        <v/>
      </c>
      <c r="AY55" s="112"/>
      <c r="AZ5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5" s="52"/>
      <c r="BB55" s="98"/>
      <c r="BC55" s="51" t="str">
        <f aca="false">IF(OR(Tasks[[#This Row],[Task Name]]="",Tasks[[#This Row],[Baseline Duration]]=""),"",Tasks[[#This Row],[BL Source Duration]]-N(Tasks[[#This Row],[Baseline Duration]]))</f>
        <v/>
      </c>
      <c r="BD55" s="110" t="str">
        <f aca="false">IF(OR(Tasks[[#This Row],[Task Name]]="",Tasks[[#This Row],[Baseline Work]]=""),"",Tasks[[#This Row],[Work]]-N(Tasks[[#This Row],[Baseline Work]]))</f>
        <v/>
      </c>
      <c r="BE55" s="111" t="str">
        <f aca="false">IF(OR(Tasks[[#This Row],[Task Name]]="",Tasks[[#This Row],[Baseline Cost]]=""),"",Tasks[[#This Row],[Cost]]-N(Tasks[[#This Row],[Baseline Cost]]))</f>
        <v/>
      </c>
      <c r="BF55" s="31" t="str">
        <f aca="false">IF(Tasks[[#This Row],[Task Name]]="","",Tasks[[#This Row],[Forecast Start]])</f>
        <v/>
      </c>
      <c r="BG55" s="31" t="str">
        <f aca="false">IF(Tasks[[#This Row],[Task Name]]="","",Tasks[[#This Row],[Forecast Finish]])</f>
        <v/>
      </c>
      <c r="BH55" s="51" t="str">
        <f aca="false">IF(Tasks[[#This Row],[Task Name]]="","",IF(Tasks[[#This Row],[_IsSummary]],NETWORKDAYS.INTL(Tasks[[#This Row],[Forecast Start]],Tasks[[#This Row],[Forecast Finish]],WorkWeek,Holidays),N(Tasks[[#This Row],[Duration]])))</f>
        <v/>
      </c>
      <c r="BI55" s="110" t="str">
        <f aca="false">IF(Tasks[[#This Row],[Task Name]]="","",Tasks[[#This Row],[Work]])</f>
        <v/>
      </c>
      <c r="BJ55" s="111" t="str">
        <f aca="false">IF(Tasks[[#This Row],[Task Name]]="","",Tasks[[#This Row],[Cost]])</f>
        <v/>
      </c>
      <c r="BK55" s="7"/>
      <c r="BL55" s="7"/>
      <c r="BM55" s="52"/>
      <c r="BN55" s="113"/>
      <c r="BO55" s="112"/>
      <c r="BP55" s="111" t="str">
        <f aca="false">IF(Tasks[[#This Row],[Task Name]]="","",IF(Tasks[[#This Row],[_IsSummary]],SUM(INDEX(Tasks[_LeafEV],Tasks[[#This Row],[_Row]]+1):INDEX(Tasks[_LeafEV],Tasks[[#This Row],[_Row]]+Tasks[[#This Row],[_Descendants]])),Tasks[[#This Row],[_LeafEV]]))</f>
        <v/>
      </c>
      <c r="BQ55" s="111" t="str">
        <f aca="false">IF(Tasks[[#This Row],[Task Name]]="","",IF(Tasks[[#This Row],[_IsSummary]],SUM(INDEX(Tasks[_LeafBudget],Tasks[[#This Row],[_Row]]+1):INDEX(Tasks[_LeafBudget],Tasks[[#This Row],[_Row]]+Tasks[[#This Row],[_Descendants]])),Tasks[[#This Row],[_LeafBudget]]))</f>
        <v/>
      </c>
      <c r="BR55" s="111" t="str">
        <f aca="false">IF(Tasks[[#This Row],[Task Name]]="","",IF(Tasks[[#This Row],[_IsSummary]],SUM(INDEX(Tasks[_LeafPV],Tasks[[#This Row],[_Row]]+1):INDEX(Tasks[_LeafPV],Tasks[[#This Row],[_Row]]+Tasks[[#This Row],[_Descendants]])),Tasks[[#This Row],[_LeafPV]]))</f>
        <v/>
      </c>
      <c r="BS55" s="111" t="str">
        <f aca="false">IF(Tasks[[#This Row],[Task Name]]="","",IF(Tasks[[#This Row],[_IsSummary]],SUM(INDEX(Tasks[_LeafAC],Tasks[[#This Row],[_Row]]+1):INDEX(Tasks[_LeafAC],Tasks[[#This Row],[_Row]]+Tasks[[#This Row],[_Descendants]])),Tasks[[#This Row],[_LeafAC]]))</f>
        <v/>
      </c>
      <c r="BT55" s="38" t="str">
        <f aca="false">IF(Tasks[[#This Row],[Task Name]]="","",MAX(1,N(Tasks[[#This Row],[Level]])))</f>
        <v/>
      </c>
      <c r="BU55" s="38" t="n">
        <f aca="false">ROW()-ROW(Tasks[[#Headers],[ID]])</f>
        <v>50</v>
      </c>
      <c r="BV55" s="38" t="n">
        <f aca="false">IF(OR(Tasks[[#This Row],[Task Name]]="",Tasks[[#This Row],[_Level]]&lt;=1),0,IFERROR(LOOKUP(2,1/(Tasks[[#Headers],[_Level]]:Tasks[[#This Row],[_Level]]=Tasks[[#This Row],[_Level]]-1),ROW(Tasks[[#Headers],[_Level]]:Tasks[[#This Row],[_Level]])),0))</f>
        <v>0</v>
      </c>
      <c r="BW55" s="38" t="n">
        <f aca="false">IFERROR(N(INDEX(Tasks[_Level],Tasks[[#This Row],[_Row]]+1)),0)</f>
        <v>0</v>
      </c>
      <c r="BX55" s="114" t="b">
        <f aca="false">AND(Tasks[[#This Row],[Task Name]]&lt;&gt;"",Tasks[[#This Row],[_NextLevel]]&gt;Tasks[[#This Row],[_Level]])</f>
        <v>0</v>
      </c>
      <c r="BY55" s="38" t="n">
        <f aca="false">IF(Tasks[[#This Row],[_IsSummary]],COUNTIF(Tasks[WBS],Tasks[[#This Row],[WBS]]&amp;".*"),0)</f>
        <v>0</v>
      </c>
      <c r="BZ55" s="38" t="n">
        <f aca="false">IF(AND(Tasks[[#This Row],[Task Name]]&lt;&gt;"",NOT(Tasks[[#This Row],[_IsSummary]])),1,0)</f>
        <v>0</v>
      </c>
      <c r="CA55" s="38" t="n">
        <f aca="false">IF(N(Tasks[[#This Row],[Pred1 UID]])=0,0,IFERROR(MATCH(Tasks[[#This Row],[Pred1 UID]],Tasks[UID],0),-1))</f>
        <v>0</v>
      </c>
      <c r="CB55" s="38" t="n">
        <f aca="false">IF(N(Tasks[[#This Row],[Pred2 UID]])=0,0,IFERROR(MATCH(Tasks[[#This Row],[Pred2 UID]],Tasks[UID],0),-1))</f>
        <v>0</v>
      </c>
      <c r="CC55" s="38" t="n">
        <f aca="false">IF(N(Tasks[[#This Row],[Pred3 UID]])=0,0,IFERROR(MATCH(Tasks[[#This Row],[Pred3 UID]],Tasks[UID],0),-1))</f>
        <v>0</v>
      </c>
      <c r="CD55" s="38" t="n">
        <f aca="false">IF(N(Tasks[[#This Row],[Pred4 UID]])=0,0,IFERROR(MATCH(Tasks[[#This Row],[Pred4 UID]],Tasks[UID],0),-1))</f>
        <v>0</v>
      </c>
      <c r="CE5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5" s="115" t="n">
        <f aca="false">IF(OR(Tasks[[#This Row],[_ConstraintCode]]=2,Tasks[[#This Row],[_ConstraintCode]]=3,Tasks[[#This Row],[_ConstraintCode]]=4,Tasks[[#This Row],[_ConstraintCode]]=6),Tasks[[#This Row],[_ConstraintStart]],0)</f>
        <v>0</v>
      </c>
      <c r="CH55" s="115" t="n">
        <f aca="false">IF(OR(Tasks[[#This Row],[_ConstraintCode]]=2,Tasks[[#This Row],[_ConstraintCode]]=3,Tasks[[#This Row],[_ConstraintCode]]=5,Tasks[[#This Row],[_ConstraintCode]]=7),Tasks[[#This Row],[_ConstraintStart]],2958465)</f>
        <v>2958465</v>
      </c>
      <c r="CI5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5" s="115" t="str">
        <f aca="false">IF(NOT(Tasks[[#This Row],[_IsLeaf]]=1),"",IF(N(Tasks[[#This Row],[Duration]])&lt;=0,Tasks[[#This Row],[_LeafCalcStart]],WORKDAY.INTL(Tasks[[#This Row],[_LeafCalcStart]],Tasks[[#This Row],[Duration]]-1,WorkWeek,Holidays)))</f>
        <v/>
      </c>
      <c r="CK5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5" s="38" t="n">
        <f aca="false">IF(NOT(Tasks[[#This Row],[_IsLeaf]]=1),0,IF(N(Tasks[[#This Row],[Actual Finish]])&gt;0,1,MIN(1,N(Tasks[[#This Row],[% Complete]]))))</f>
        <v>0</v>
      </c>
      <c r="CN55" s="38" t="n">
        <f aca="false">IF(OR(NOT(Tasks[[#This Row],[_IsLeaf]]=1),Tasks[[#This Row],[Resource]]=""),0,N(Tasks[[#This Row],[Duration]])*HoursPerDay*IF(Tasks[[#This Row],[Units]]="",DefaultUnits,Tasks[[#This Row],[Units]]))</f>
        <v>0</v>
      </c>
      <c r="CO55" s="38" t="n">
        <f aca="false">IF(Tasks[[#This Row],[_LeafWork]]=0,0,Tasks[[#This Row],[_LeafWork]]*IFERROR(INDEX(res_Rate,MATCH(Tasks[[#This Row],[Resource]],res_Name,0)),0))</f>
        <v>0</v>
      </c>
      <c r="CP55" s="38" t="n">
        <f aca="false">Tasks[[#This Row],[_LeafWork]]+IF(Tasks[[#This Row],[_IsLeaf]]=1,SUMIFS(asg_Work,asg_TaskUID,Tasks[[#This Row],[UID]],asg_Valid,1),0)</f>
        <v>0</v>
      </c>
      <c r="CQ55" s="38" t="n">
        <f aca="false">Tasks[[#This Row],[_LeafCost]]+IF(Tasks[[#This Row],[_IsLeaf]]=1,SUMIFS(asg_Cost,asg_TaskUID,Tasks[[#This Row],[UID]],asg_Valid,1),0)</f>
        <v>0</v>
      </c>
      <c r="CR55" s="38" t="n">
        <f aca="false">IF(Tasks[[#This Row],[_LeafTotalCost]]=0,Tasks[[#This Row],[_LeafAC]],Tasks[[#This Row],[_LeafAC]]*Tasks[[#This Row],[_LeafCost]]/Tasks[[#This Row],[_LeafTotalCost]])</f>
        <v>0</v>
      </c>
      <c r="CS5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5" s="38" t="n">
        <f aca="false">IF(NOT(Tasks[[#This Row],[_IsLeaf]]=1),0,MAX(_xlfn.MAXIFS(Tasks[_Row],Tasks[Pred1 UID],Tasks[[#This Row],[UID]]),_xlfn.MAXIFS(Tasks[_Row],Tasks[Pred2 UID],Tasks[[#This Row],[UID]]),_xlfn.MAXIFS(Tasks[_Row],Tasks[Pred3 UID],Tasks[[#This Row],[UID]]),_xlfn.MAXIFS(Tasks[_Row],Tasks[Pred4 UID],Tasks[[#This Row],[UID]])))</f>
        <v>0</v>
      </c>
      <c r="DB5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5" s="115" t="str">
        <f aca="false">IF(NOT(Tasks[[#This Row],[_IsLeaf]]=1),"",IF(N(Tasks[[#This Row],[Duration]])&lt;=0,Tasks[[#This Row],[_LeafLateFinish]],WORKDAY.INTL(Tasks[[#This Row],[_LeafLateFinish]],-(Tasks[[#This Row],[Duration]]-1),WorkWeek,Holidays)))</f>
        <v/>
      </c>
      <c r="DE5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5" s="114" t="b">
        <f aca="false">AND(Tasks[[#This Row],[_IsLeaf]]=1,Tasks[[#This Row],[_LeafProgress]]&lt;1,N(Tasks[[#This Row],[_LeafTotalSlack]])&lt;=CriticalSlackDays)</f>
        <v>0</v>
      </c>
      <c r="DG55" s="38" t="n">
        <f aca="false">IF(AND(Tasks[[#This Row],[_IsLeaf]]=1,Tasks[[#This Row],[_ConstraintCode]]=1,Tasks[[#This Row],[Mode]]&lt;&gt;"Manual",N(Tasks[[#This Row],[Actual Start]])=0),MAX(0,N(Tasks[[#This Row],[Free Slack]])),0)</f>
        <v>0</v>
      </c>
      <c r="DH55" s="115" t="str">
        <f aca="false">IF(NOT(Tasks[[#This Row],[_IsLeaf]]=1),"",IF(Tasks[[#This Row],[_AlapShift]]=0,Tasks[[#This Row],[_LeafCalcStart]],WORKDAY.INTL(Tasks[[#This Row],[_LeafCalcStart]],Tasks[[#This Row],[_AlapShift]],WorkWeek,Holidays)))</f>
        <v/>
      </c>
      <c r="DI55" s="115" t="str">
        <f aca="false">IF(NOT(Tasks[[#This Row],[_IsLeaf]]=1),"",IF(Tasks[[#This Row],[_AlapShift]]=0,Tasks[[#This Row],[_LeafCalcFinish]],WORKDAY.INTL(Tasks[[#This Row],[_LeafCalcFinish]],Tasks[[#This Row],[_AlapShift]],WorkWeek,Holidays)))</f>
        <v/>
      </c>
      <c r="DJ55" s="115" t="str">
        <f aca="false">IF(NOT(Tasks[[#This Row],[_IsLeaf]]=1),"",IF(Tasks[[#This Row],[_AlapShift]]=0,Tasks[[#This Row],[_LeafFcstStart]],WORKDAY.INTL(Tasks[[#This Row],[_LeafFcstStart]],Tasks[[#This Row],[_AlapShift]],WorkWeek,Holidays)))</f>
        <v/>
      </c>
      <c r="DK55" s="115" t="str">
        <f aca="false">IF(NOT(Tasks[[#This Row],[_IsLeaf]]=1),"",IF(Tasks[[#This Row],[_AlapShift]]=0,Tasks[[#This Row],[_LeafFcstFinish]],WORKDAY.INTL(Tasks[[#This Row],[_LeafFcstFinish]],Tasks[[#This Row],[_AlapShift]],WorkWeek,Holidays)))</f>
        <v/>
      </c>
      <c r="DL55" s="115" t="str">
        <f aca="false">IF(Tasks[[#This Row],[Task Name]]="","",IF(Tasks[[#This Row],[_IsSummary]],MIN(INDEX(Tasks[_ShownCalcStart],Tasks[[#This Row],[_Row]]+1):INDEX(Tasks[_ShownCalcStart],Tasks[[#This Row],[_Row]]+Tasks[[#This Row],[_Descendants]])),Tasks[[#This Row],[_ShownCalcStart]]))</f>
        <v/>
      </c>
      <c r="DM55" s="115" t="str">
        <f aca="false">IF(Tasks[[#This Row],[Task Name]]="","",IF(Tasks[[#This Row],[_IsSummary]],MAX(INDEX(Tasks[_ShownCalcFinish],Tasks[[#This Row],[_Row]]+1):INDEX(Tasks[_ShownCalcFinish],Tasks[[#This Row],[_Row]]+Tasks[[#This Row],[_Descendants]])),Tasks[[#This Row],[_ShownCalcFinish]]))</f>
        <v/>
      </c>
      <c r="DN5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5" s="38" t="n">
        <f aca="false">IF(AND(Tasks[[#This Row],[_IsLeaf]]=1,Tasks[[#This Row],[_LeafTotalWork]]&gt;0),NETWORKDAYS.INTL(ProjectStart,Tasks[[#This Row],[_ShownFcstStart]],WorkWeek,Holidays),0)</f>
        <v>0</v>
      </c>
      <c r="EA55" s="38" t="n">
        <f aca="false">IF(AND(Tasks[[#This Row],[_IsLeaf]]=1,Tasks[[#This Row],[_LeafTotalWork]]&gt;0),MAX(Tasks[[#This Row],[_StartWorkday]],NETWORKDAYS.INTL(ProjectStart,Tasks[[#This Row],[_ShownFcstFinish]],WorkWeek,Holidays)),0)</f>
        <v>0</v>
      </c>
      <c r="EB55" s="38" t="n">
        <f aca="false">IF(AND(Tasks[[#This Row],[_IsLeaf]]=1,Tasks[[#This Row],[_LeafTotalWork]]&gt;0),Tasks[[#This Row],[_LeafWork]]/(Tasks[[#This Row],[_FinishWorkday]]-Tasks[[#This Row],[_StartWorkday]]+1),0)</f>
        <v>0</v>
      </c>
      <c r="EC55" s="38" t="n">
        <f aca="false">Tasks[[#This Row],[_WorkPerWorkday]]*(Tasks[[#This Row],[_StartWorkday]]-1)</f>
        <v>-0</v>
      </c>
      <c r="ED55" s="38" t="n">
        <f aca="false">IF(Tasks[[#This Row],[_IsLeaf]]=1,MAX(N(Tasks[[#This Row],[Duration]]),0.1),0)</f>
        <v>0</v>
      </c>
      <c r="EE55" s="38" t="n">
        <f aca="false">Tasks[[#This Row],[_WeightDur]]*Tasks[[#This Row],[_LeafProgress]]</f>
        <v>0</v>
      </c>
      <c r="EF5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5" s="38" t="str">
        <f aca="false">IF(AND(Tasks[[#This Row],[_IsLeaf]]=1,N(Tasks[[#This Row],[Duration]])=0,Tasks[[#This Row],[_LeafProgress]]&lt;1),Tasks[[#This Row],[_ShownFcstFinish]]+Tasks[[#This Row],[_Row]]/100000,"")</f>
        <v/>
      </c>
      <c r="EH5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5" s="38" t="n">
        <f aca="false">IF(NOT(Tasks[[#This Row],[_IsLeaf]]=1),0,IF(Tasks[[#This Row],[Baseline Cost]]="",Tasks[[#This Row],[_LeafTotalCost]],N(Tasks[[#This Row],[Baseline Cost]])))</f>
        <v>0</v>
      </c>
      <c r="EJ55" s="38" t="n">
        <f aca="false">Tasks[[#This Row],[_LeafBudget]]*Tasks[[#This Row],[_PlannedPct]]</f>
        <v>0</v>
      </c>
      <c r="EK55" s="38" t="n">
        <f aca="false">Tasks[[#This Row],[_LeafBudget]]*Tasks[[#This Row],[_LeafProgress]]</f>
        <v>0</v>
      </c>
      <c r="EL55" s="38" t="n">
        <f aca="false">IF(NOT(Tasks[[#This Row],[_IsLeaf]]=1),0,IF(Tasks[[#This Row],[Actual Cost]]="",Tasks[[#This Row],[_LeafTotalCost]]*Tasks[[#This Row],[_LeafProgress]],N(Tasks[[#This Row],[Actual Cost]])))</f>
        <v>0</v>
      </c>
      <c r="EM55" s="38" t="str">
        <f aca="false">IF(Tasks[[#This Row],[Task Name]]="","",LEFT(Tasks[[#This Row],[WBS]],FIND(".",Tasks[[#This Row],[WBS]]&amp;".")-1))</f>
        <v/>
      </c>
      <c r="EN55" s="38" t="str">
        <f aca="false">IF(AND(Tasks[[#This Row],[Task Name]]&lt;&gt;"",Tasks[[#This Row],[_Level]]=1),Tasks[[#This Row],[_Row]],"")</f>
        <v/>
      </c>
      <c r="EO55" s="38" t="str">
        <f aca="false">IF(AND(Tasks[[#This Row],[_IsLeaf]]=1,N(Tasks[[#This Row],[Duration]])=0),Tasks[[#This Row],[Planned Finish]]+Tasks[[#This Row],[_Row]]/100000,"")</f>
        <v/>
      </c>
      <c r="EP55" s="38" t="str">
        <f aca="false">IF(AND(Tasks[[#This Row],[_IsLeaf]]=1,Tasks[[#This Row],[_LeafProgress]]&lt;1,OR(N(Tasks[[#This Row],[Finish Var]])&gt;0,Tasks[[#This Row],[Status]]="Late Start")),MAX(0,Tasks[[#This Row],[Finish Var]])+1-Tasks[[#This Row],[_Row]]/1000000,"")</f>
        <v/>
      </c>
      <c r="EQ55" s="38" t="str">
        <f aca="false">IF(AND(Tasks[[#This Row],[_IsLeaf]]=1,N(Tasks[[#This Row],[Actual Start]])=0,Tasks[[#This Row],[_ShownFcstStart]]&gt;=StatusDate,Tasks[[#This Row],[_ShownFcstStart]]&lt;=LookaheadEnd),Tasks[[#This Row],[_ShownFcstStart]]+Tasks[[#This Row],[_Row]]/100000,"")</f>
        <v/>
      </c>
      <c r="ER55" s="38" t="str">
        <f aca="false">IF(AND(Tasks[[#This Row],[_IsLeaf]]=1,Tasks[[#This Row],[_LeafProgress]]&lt;1,Tasks[[#This Row],[_ShownFcstFinish]]&gt;=StatusDate,Tasks[[#This Row],[_ShownFcstFinish]]&lt;=LookaheadEnd),Tasks[[#This Row],[_ShownFcstFinish]]+Tasks[[#This Row],[_Row]]/100000,"")</f>
        <v/>
      </c>
      <c r="ES55" s="38" t="str">
        <f aca="false">IF(Tasks[[#This Row],[_LeafCritical]],Tasks[[#This Row],[_ShownFcstStart]]+Tasks[[#This Row],[_Row]]/100000,"")</f>
        <v/>
      </c>
      <c r="ET55" s="38" t="n">
        <f aca="false">Tasks[[#This Row],[_LeafWork]]*Tasks[[#This Row],[_LeafProgress]]</f>
        <v>0</v>
      </c>
      <c r="EU55" s="115" t="str">
        <f aca="false">IF(AND(Tasks[[#This Row],[_IsLeaf]]=1,Tasks[[#This Row],[_LeafProgress]]&gt;=1),IF(N(Tasks[[#This Row],[Actual Finish]])&gt;0,Tasks[[#This Row],[Actual Finish]],Tasks[[#This Row],[_ShownFcstFinish]]),"")</f>
        <v/>
      </c>
      <c r="EV55" s="38" t="n">
        <f aca="false">IF(Tasks[[#This Row],[_IsLeaf]]=1,N(Tasks[[#This Row],[Story Points]]),0)</f>
        <v>0</v>
      </c>
      <c r="EW55" s="38" t="str">
        <f aca="false">IF(AND(Tasks[[#This Row],[_IsLeaf]]=1,CurrentSprint&lt;&gt;"",Tasks[[#This Row],[Sprint]]=CurrentSprint),Tasks[[#This Row],[_Row]],"")</f>
        <v/>
      </c>
    </row>
    <row r="56" customFormat="false" ht="15" hidden="false" customHeight="false" outlineLevel="0" collapsed="false">
      <c r="A56" s="51" t="str">
        <f aca="false">IF(Tasks[[#This Row],[Task Name]]="","",COUNTA(Tasks[[#Headers],[Task Name]]:Tasks[[#This Row],[Task Name]])-1)</f>
        <v/>
      </c>
      <c r="B56" s="52" t="n">
        <v>51</v>
      </c>
      <c r="C5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52"/>
      <c r="E56" s="53"/>
      <c r="F56" s="52"/>
      <c r="G56" s="52"/>
      <c r="H56" s="52"/>
      <c r="I56" s="52"/>
      <c r="J56" s="52"/>
      <c r="K56" s="52"/>
      <c r="L56" s="52"/>
      <c r="M56" s="52"/>
      <c r="N56" s="52"/>
      <c r="O56" s="52"/>
      <c r="P56" s="52"/>
      <c r="Q56" s="52"/>
      <c r="R56" s="52"/>
      <c r="S56" s="53"/>
      <c r="T56" s="102"/>
      <c r="U56" s="102"/>
      <c r="V56" s="7"/>
      <c r="W56" s="7"/>
      <c r="X56" s="53"/>
      <c r="Y56" s="31" t="str">
        <f aca="false">IF(Tasks[[#This Row],[Task Name]]="","",IF(Tasks[[#This Row],[_IsSummary]],MIN(INDEX(Tasks[_ShownFcstStart],Tasks[[#This Row],[_Row]]+1):INDEX(Tasks[_ShownFcstStart],Tasks[[#This Row],[_Row]]+Tasks[[#This Row],[_Descendants]])),Tasks[[#This Row],[_ShownFcstStart]]))</f>
        <v/>
      </c>
      <c r="Z56" s="31" t="str">
        <f aca="false">IF(Tasks[[#This Row],[Task Name]]="","",IF(Tasks[[#This Row],[_IsSummary]],MAX(INDEX(Tasks[_ShownFcstFinish],Tasks[[#This Row],[_Row]]+1):INDEX(Tasks[_ShownFcstFinish],Tasks[[#This Row],[_Row]]+Tasks[[#This Row],[_Descendants]])),Tasks[[#This Row],[_ShownFcstFinish]]))</f>
        <v/>
      </c>
      <c r="AA56" s="51" t="str">
        <f aca="false">IF(Tasks[[#This Row],[Task Name]]="","",IF(Tasks[[#This Row],[Progress]]&gt;=1,"Complete",IF(OR(N(Tasks[[#This Row],[Actual Start]])&gt;0,Tasks[[#This Row],[Progress]]&gt;0),IF(Tasks[[#This Row],[Finish Var]]&gt;0,"Behind","In Progress"),IF(Tasks[[#This Row],[Planned Start]]&lt;StatusDate,"Late Start","Not Started"))))</f>
        <v/>
      </c>
      <c r="AB56" s="51" t="str">
        <f aca="false">IF(Tasks[[#This Row],[Task Name]]="","",IF(IF(Tasks[[#This Row],[_IsSummary]],COUNTIF(INDEX(Tasks[_LeafCritical],Tasks[[#This Row],[_Row]]+1):INDEX(Tasks[_LeafCritical],Tasks[[#This Row],[_Row]]+Tasks[[#This Row],[_Descendants]]),TRUE())&gt;0,Tasks[[#This Row],[_LeafCritical]]),"Yes",""))</f>
        <v/>
      </c>
      <c r="AC5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6" s="51" t="str">
        <f aca="false">IF(Tasks[[#This Row],[Task Name]]="","",IF(Tasks[[#This Row],[_Level]]&lt;=OutlineShowLevel,"Yes","No"))</f>
        <v/>
      </c>
      <c r="AE56" s="7"/>
      <c r="AF56" s="52"/>
      <c r="AG56" s="53"/>
      <c r="AH56" s="7"/>
      <c r="AI5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6" s="31" t="str">
        <f aca="false">IF(Tasks[[#This Row],[Task Name]]="","",IF(N(Tasks[[#This Row],[Baseline Start]])&gt;0,Tasks[[#This Row],[Baseline Start]],Tasks[[#This Row],[_CalcStart]]))</f>
        <v/>
      </c>
      <c r="AK56" s="31" t="str">
        <f aca="false">IF(Tasks[[#This Row],[Task Name]]="","",IF(N(Tasks[[#This Row],[Baseline Finish]])&gt;0,Tasks[[#This Row],[Baseline Finish]],Tasks[[#This Row],[_CalcFinish]]))</f>
        <v/>
      </c>
      <c r="AL5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6" s="31" t="str">
        <f aca="false">IF(Tasks[[#This Row],[Task Name]]="","",IF(Tasks[[#This Row],[_IsSummary]],MIN(INDEX(Tasks[_LeafLateStart],Tasks[[#This Row],[_Row]]+1):INDEX(Tasks[_LeafLateStart],Tasks[[#This Row],[_Row]]+Tasks[[#This Row],[_Descendants]])),Tasks[[#This Row],[_LeafLateStart]]))</f>
        <v/>
      </c>
      <c r="AN56" s="31" t="str">
        <f aca="false">IF(Tasks[[#This Row],[Task Name]]="","",IF(Tasks[[#This Row],[_IsSummary]],MAX(INDEX(Tasks[_LeafLateFinish],Tasks[[#This Row],[_Row]]+1):INDEX(Tasks[_LeafLateFinish],Tasks[[#This Row],[_Row]]+Tasks[[#This Row],[_Descendants]])),Tasks[[#This Row],[_LeafLateFinish]]))</f>
        <v/>
      </c>
      <c r="AO56" s="51" t="str">
        <f aca="false">IF(Tasks[[#This Row],[Task Name]]="","",IF(Tasks[[#This Row],[_IsSummary]],MIN(INDEX(Tasks[_LeafTotalSlack],Tasks[[#This Row],[_Row]]+1):INDEX(Tasks[_LeafTotalSlack],Tasks[[#This Row],[_Row]]+Tasks[[#This Row],[_Descendants]])),Tasks[[#This Row],[_LeafTotalSlack]]))</f>
        <v/>
      </c>
      <c r="AP5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6" s="110" t="str">
        <f aca="false">IF(Tasks[[#This Row],[Task Name]]="","",IF(Tasks[[#This Row],[_IsSummary]],SUM(INDEX(Tasks[_LeafTotalWork],Tasks[[#This Row],[_Row]]+1):INDEX(Tasks[_LeafTotalWork],Tasks[[#This Row],[_Row]]+Tasks[[#This Row],[_Descendants]])),Tasks[[#This Row],[_LeafTotalWork]]))</f>
        <v/>
      </c>
      <c r="AV5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6" s="111" t="str">
        <f aca="false">IF(Tasks[[#This Row],[Task Name]]="","",IF(Tasks[[#This Row],[_IsSummary]],SUM(INDEX(Tasks[_LeafTotalCost],Tasks[[#This Row],[_Row]]+1):INDEX(Tasks[_LeafTotalCost],Tasks[[#This Row],[_Row]]+Tasks[[#This Row],[_Descendants]])),Tasks[[#This Row],[_LeafTotalCost]]))</f>
        <v/>
      </c>
      <c r="AY56" s="112"/>
      <c r="AZ5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6" s="52"/>
      <c r="BB56" s="98"/>
      <c r="BC56" s="51" t="str">
        <f aca="false">IF(OR(Tasks[[#This Row],[Task Name]]="",Tasks[[#This Row],[Baseline Duration]]=""),"",Tasks[[#This Row],[BL Source Duration]]-N(Tasks[[#This Row],[Baseline Duration]]))</f>
        <v/>
      </c>
      <c r="BD56" s="110" t="str">
        <f aca="false">IF(OR(Tasks[[#This Row],[Task Name]]="",Tasks[[#This Row],[Baseline Work]]=""),"",Tasks[[#This Row],[Work]]-N(Tasks[[#This Row],[Baseline Work]]))</f>
        <v/>
      </c>
      <c r="BE56" s="111" t="str">
        <f aca="false">IF(OR(Tasks[[#This Row],[Task Name]]="",Tasks[[#This Row],[Baseline Cost]]=""),"",Tasks[[#This Row],[Cost]]-N(Tasks[[#This Row],[Baseline Cost]]))</f>
        <v/>
      </c>
      <c r="BF56" s="31" t="str">
        <f aca="false">IF(Tasks[[#This Row],[Task Name]]="","",Tasks[[#This Row],[Forecast Start]])</f>
        <v/>
      </c>
      <c r="BG56" s="31" t="str">
        <f aca="false">IF(Tasks[[#This Row],[Task Name]]="","",Tasks[[#This Row],[Forecast Finish]])</f>
        <v/>
      </c>
      <c r="BH56" s="51" t="str">
        <f aca="false">IF(Tasks[[#This Row],[Task Name]]="","",IF(Tasks[[#This Row],[_IsSummary]],NETWORKDAYS.INTL(Tasks[[#This Row],[Forecast Start]],Tasks[[#This Row],[Forecast Finish]],WorkWeek,Holidays),N(Tasks[[#This Row],[Duration]])))</f>
        <v/>
      </c>
      <c r="BI56" s="110" t="str">
        <f aca="false">IF(Tasks[[#This Row],[Task Name]]="","",Tasks[[#This Row],[Work]])</f>
        <v/>
      </c>
      <c r="BJ56" s="111" t="str">
        <f aca="false">IF(Tasks[[#This Row],[Task Name]]="","",Tasks[[#This Row],[Cost]])</f>
        <v/>
      </c>
      <c r="BK56" s="7"/>
      <c r="BL56" s="7"/>
      <c r="BM56" s="52"/>
      <c r="BN56" s="113"/>
      <c r="BO56" s="112"/>
      <c r="BP56" s="111" t="str">
        <f aca="false">IF(Tasks[[#This Row],[Task Name]]="","",IF(Tasks[[#This Row],[_IsSummary]],SUM(INDEX(Tasks[_LeafEV],Tasks[[#This Row],[_Row]]+1):INDEX(Tasks[_LeafEV],Tasks[[#This Row],[_Row]]+Tasks[[#This Row],[_Descendants]])),Tasks[[#This Row],[_LeafEV]]))</f>
        <v/>
      </c>
      <c r="BQ56" s="111" t="str">
        <f aca="false">IF(Tasks[[#This Row],[Task Name]]="","",IF(Tasks[[#This Row],[_IsSummary]],SUM(INDEX(Tasks[_LeafBudget],Tasks[[#This Row],[_Row]]+1):INDEX(Tasks[_LeafBudget],Tasks[[#This Row],[_Row]]+Tasks[[#This Row],[_Descendants]])),Tasks[[#This Row],[_LeafBudget]]))</f>
        <v/>
      </c>
      <c r="BR56" s="111" t="str">
        <f aca="false">IF(Tasks[[#This Row],[Task Name]]="","",IF(Tasks[[#This Row],[_IsSummary]],SUM(INDEX(Tasks[_LeafPV],Tasks[[#This Row],[_Row]]+1):INDEX(Tasks[_LeafPV],Tasks[[#This Row],[_Row]]+Tasks[[#This Row],[_Descendants]])),Tasks[[#This Row],[_LeafPV]]))</f>
        <v/>
      </c>
      <c r="BS56" s="111" t="str">
        <f aca="false">IF(Tasks[[#This Row],[Task Name]]="","",IF(Tasks[[#This Row],[_IsSummary]],SUM(INDEX(Tasks[_LeafAC],Tasks[[#This Row],[_Row]]+1):INDEX(Tasks[_LeafAC],Tasks[[#This Row],[_Row]]+Tasks[[#This Row],[_Descendants]])),Tasks[[#This Row],[_LeafAC]]))</f>
        <v/>
      </c>
      <c r="BT56" s="38" t="str">
        <f aca="false">IF(Tasks[[#This Row],[Task Name]]="","",MAX(1,N(Tasks[[#This Row],[Level]])))</f>
        <v/>
      </c>
      <c r="BU56" s="38" t="n">
        <f aca="false">ROW()-ROW(Tasks[[#Headers],[ID]])</f>
        <v>51</v>
      </c>
      <c r="BV56" s="38" t="n">
        <f aca="false">IF(OR(Tasks[[#This Row],[Task Name]]="",Tasks[[#This Row],[_Level]]&lt;=1),0,IFERROR(LOOKUP(2,1/(Tasks[[#Headers],[_Level]]:Tasks[[#This Row],[_Level]]=Tasks[[#This Row],[_Level]]-1),ROW(Tasks[[#Headers],[_Level]]:Tasks[[#This Row],[_Level]])),0))</f>
        <v>0</v>
      </c>
      <c r="BW56" s="38" t="n">
        <f aca="false">IFERROR(N(INDEX(Tasks[_Level],Tasks[[#This Row],[_Row]]+1)),0)</f>
        <v>0</v>
      </c>
      <c r="BX56" s="114" t="b">
        <f aca="false">AND(Tasks[[#This Row],[Task Name]]&lt;&gt;"",Tasks[[#This Row],[_NextLevel]]&gt;Tasks[[#This Row],[_Level]])</f>
        <v>0</v>
      </c>
      <c r="BY56" s="38" t="n">
        <f aca="false">IF(Tasks[[#This Row],[_IsSummary]],COUNTIF(Tasks[WBS],Tasks[[#This Row],[WBS]]&amp;".*"),0)</f>
        <v>0</v>
      </c>
      <c r="BZ56" s="38" t="n">
        <f aca="false">IF(AND(Tasks[[#This Row],[Task Name]]&lt;&gt;"",NOT(Tasks[[#This Row],[_IsSummary]])),1,0)</f>
        <v>0</v>
      </c>
      <c r="CA56" s="38" t="n">
        <f aca="false">IF(N(Tasks[[#This Row],[Pred1 UID]])=0,0,IFERROR(MATCH(Tasks[[#This Row],[Pred1 UID]],Tasks[UID],0),-1))</f>
        <v>0</v>
      </c>
      <c r="CB56" s="38" t="n">
        <f aca="false">IF(N(Tasks[[#This Row],[Pred2 UID]])=0,0,IFERROR(MATCH(Tasks[[#This Row],[Pred2 UID]],Tasks[UID],0),-1))</f>
        <v>0</v>
      </c>
      <c r="CC56" s="38" t="n">
        <f aca="false">IF(N(Tasks[[#This Row],[Pred3 UID]])=0,0,IFERROR(MATCH(Tasks[[#This Row],[Pred3 UID]],Tasks[UID],0),-1))</f>
        <v>0</v>
      </c>
      <c r="CD56" s="38" t="n">
        <f aca="false">IF(N(Tasks[[#This Row],[Pred4 UID]])=0,0,IFERROR(MATCH(Tasks[[#This Row],[Pred4 UID]],Tasks[UID],0),-1))</f>
        <v>0</v>
      </c>
      <c r="CE5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6" s="115" t="n">
        <f aca="false">IF(OR(Tasks[[#This Row],[_ConstraintCode]]=2,Tasks[[#This Row],[_ConstraintCode]]=3,Tasks[[#This Row],[_ConstraintCode]]=4,Tasks[[#This Row],[_ConstraintCode]]=6),Tasks[[#This Row],[_ConstraintStart]],0)</f>
        <v>0</v>
      </c>
      <c r="CH56" s="115" t="n">
        <f aca="false">IF(OR(Tasks[[#This Row],[_ConstraintCode]]=2,Tasks[[#This Row],[_ConstraintCode]]=3,Tasks[[#This Row],[_ConstraintCode]]=5,Tasks[[#This Row],[_ConstraintCode]]=7),Tasks[[#This Row],[_ConstraintStart]],2958465)</f>
        <v>2958465</v>
      </c>
      <c r="CI5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6" s="115" t="str">
        <f aca="false">IF(NOT(Tasks[[#This Row],[_IsLeaf]]=1),"",IF(N(Tasks[[#This Row],[Duration]])&lt;=0,Tasks[[#This Row],[_LeafCalcStart]],WORKDAY.INTL(Tasks[[#This Row],[_LeafCalcStart]],Tasks[[#This Row],[Duration]]-1,WorkWeek,Holidays)))</f>
        <v/>
      </c>
      <c r="CK5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6" s="38" t="n">
        <f aca="false">IF(NOT(Tasks[[#This Row],[_IsLeaf]]=1),0,IF(N(Tasks[[#This Row],[Actual Finish]])&gt;0,1,MIN(1,N(Tasks[[#This Row],[% Complete]]))))</f>
        <v>0</v>
      </c>
      <c r="CN56" s="38" t="n">
        <f aca="false">IF(OR(NOT(Tasks[[#This Row],[_IsLeaf]]=1),Tasks[[#This Row],[Resource]]=""),0,N(Tasks[[#This Row],[Duration]])*HoursPerDay*IF(Tasks[[#This Row],[Units]]="",DefaultUnits,Tasks[[#This Row],[Units]]))</f>
        <v>0</v>
      </c>
      <c r="CO56" s="38" t="n">
        <f aca="false">IF(Tasks[[#This Row],[_LeafWork]]=0,0,Tasks[[#This Row],[_LeafWork]]*IFERROR(INDEX(res_Rate,MATCH(Tasks[[#This Row],[Resource]],res_Name,0)),0))</f>
        <v>0</v>
      </c>
      <c r="CP56" s="38" t="n">
        <f aca="false">Tasks[[#This Row],[_LeafWork]]+IF(Tasks[[#This Row],[_IsLeaf]]=1,SUMIFS(asg_Work,asg_TaskUID,Tasks[[#This Row],[UID]],asg_Valid,1),0)</f>
        <v>0</v>
      </c>
      <c r="CQ56" s="38" t="n">
        <f aca="false">Tasks[[#This Row],[_LeafCost]]+IF(Tasks[[#This Row],[_IsLeaf]]=1,SUMIFS(asg_Cost,asg_TaskUID,Tasks[[#This Row],[UID]],asg_Valid,1),0)</f>
        <v>0</v>
      </c>
      <c r="CR56" s="38" t="n">
        <f aca="false">IF(Tasks[[#This Row],[_LeafTotalCost]]=0,Tasks[[#This Row],[_LeafAC]],Tasks[[#This Row],[_LeafAC]]*Tasks[[#This Row],[_LeafCost]]/Tasks[[#This Row],[_LeafTotalCost]])</f>
        <v>0</v>
      </c>
      <c r="CS5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6" s="38" t="n">
        <f aca="false">IF(NOT(Tasks[[#This Row],[_IsLeaf]]=1),0,MAX(_xlfn.MAXIFS(Tasks[_Row],Tasks[Pred1 UID],Tasks[[#This Row],[UID]]),_xlfn.MAXIFS(Tasks[_Row],Tasks[Pred2 UID],Tasks[[#This Row],[UID]]),_xlfn.MAXIFS(Tasks[_Row],Tasks[Pred3 UID],Tasks[[#This Row],[UID]]),_xlfn.MAXIFS(Tasks[_Row],Tasks[Pred4 UID],Tasks[[#This Row],[UID]])))</f>
        <v>0</v>
      </c>
      <c r="DB5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6" s="115" t="str">
        <f aca="false">IF(NOT(Tasks[[#This Row],[_IsLeaf]]=1),"",IF(N(Tasks[[#This Row],[Duration]])&lt;=0,Tasks[[#This Row],[_LeafLateFinish]],WORKDAY.INTL(Tasks[[#This Row],[_LeafLateFinish]],-(Tasks[[#This Row],[Duration]]-1),WorkWeek,Holidays)))</f>
        <v/>
      </c>
      <c r="DE5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6" s="114" t="b">
        <f aca="false">AND(Tasks[[#This Row],[_IsLeaf]]=1,Tasks[[#This Row],[_LeafProgress]]&lt;1,N(Tasks[[#This Row],[_LeafTotalSlack]])&lt;=CriticalSlackDays)</f>
        <v>0</v>
      </c>
      <c r="DG56" s="38" t="n">
        <f aca="false">IF(AND(Tasks[[#This Row],[_IsLeaf]]=1,Tasks[[#This Row],[_ConstraintCode]]=1,Tasks[[#This Row],[Mode]]&lt;&gt;"Manual",N(Tasks[[#This Row],[Actual Start]])=0),MAX(0,N(Tasks[[#This Row],[Free Slack]])),0)</f>
        <v>0</v>
      </c>
      <c r="DH56" s="115" t="str">
        <f aca="false">IF(NOT(Tasks[[#This Row],[_IsLeaf]]=1),"",IF(Tasks[[#This Row],[_AlapShift]]=0,Tasks[[#This Row],[_LeafCalcStart]],WORKDAY.INTL(Tasks[[#This Row],[_LeafCalcStart]],Tasks[[#This Row],[_AlapShift]],WorkWeek,Holidays)))</f>
        <v/>
      </c>
      <c r="DI56" s="115" t="str">
        <f aca="false">IF(NOT(Tasks[[#This Row],[_IsLeaf]]=1),"",IF(Tasks[[#This Row],[_AlapShift]]=0,Tasks[[#This Row],[_LeafCalcFinish]],WORKDAY.INTL(Tasks[[#This Row],[_LeafCalcFinish]],Tasks[[#This Row],[_AlapShift]],WorkWeek,Holidays)))</f>
        <v/>
      </c>
      <c r="DJ56" s="115" t="str">
        <f aca="false">IF(NOT(Tasks[[#This Row],[_IsLeaf]]=1),"",IF(Tasks[[#This Row],[_AlapShift]]=0,Tasks[[#This Row],[_LeafFcstStart]],WORKDAY.INTL(Tasks[[#This Row],[_LeafFcstStart]],Tasks[[#This Row],[_AlapShift]],WorkWeek,Holidays)))</f>
        <v/>
      </c>
      <c r="DK56" s="115" t="str">
        <f aca="false">IF(NOT(Tasks[[#This Row],[_IsLeaf]]=1),"",IF(Tasks[[#This Row],[_AlapShift]]=0,Tasks[[#This Row],[_LeafFcstFinish]],WORKDAY.INTL(Tasks[[#This Row],[_LeafFcstFinish]],Tasks[[#This Row],[_AlapShift]],WorkWeek,Holidays)))</f>
        <v/>
      </c>
      <c r="DL56" s="115" t="str">
        <f aca="false">IF(Tasks[[#This Row],[Task Name]]="","",IF(Tasks[[#This Row],[_IsSummary]],MIN(INDEX(Tasks[_ShownCalcStart],Tasks[[#This Row],[_Row]]+1):INDEX(Tasks[_ShownCalcStart],Tasks[[#This Row],[_Row]]+Tasks[[#This Row],[_Descendants]])),Tasks[[#This Row],[_ShownCalcStart]]))</f>
        <v/>
      </c>
      <c r="DM56" s="115" t="str">
        <f aca="false">IF(Tasks[[#This Row],[Task Name]]="","",IF(Tasks[[#This Row],[_IsSummary]],MAX(INDEX(Tasks[_ShownCalcFinish],Tasks[[#This Row],[_Row]]+1):INDEX(Tasks[_ShownCalcFinish],Tasks[[#This Row],[_Row]]+Tasks[[#This Row],[_Descendants]])),Tasks[[#This Row],[_ShownCalcFinish]]))</f>
        <v/>
      </c>
      <c r="DN5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6" s="38" t="n">
        <f aca="false">IF(AND(Tasks[[#This Row],[_IsLeaf]]=1,Tasks[[#This Row],[_LeafTotalWork]]&gt;0),NETWORKDAYS.INTL(ProjectStart,Tasks[[#This Row],[_ShownFcstStart]],WorkWeek,Holidays),0)</f>
        <v>0</v>
      </c>
      <c r="EA56" s="38" t="n">
        <f aca="false">IF(AND(Tasks[[#This Row],[_IsLeaf]]=1,Tasks[[#This Row],[_LeafTotalWork]]&gt;0),MAX(Tasks[[#This Row],[_StartWorkday]],NETWORKDAYS.INTL(ProjectStart,Tasks[[#This Row],[_ShownFcstFinish]],WorkWeek,Holidays)),0)</f>
        <v>0</v>
      </c>
      <c r="EB56" s="38" t="n">
        <f aca="false">IF(AND(Tasks[[#This Row],[_IsLeaf]]=1,Tasks[[#This Row],[_LeafTotalWork]]&gt;0),Tasks[[#This Row],[_LeafWork]]/(Tasks[[#This Row],[_FinishWorkday]]-Tasks[[#This Row],[_StartWorkday]]+1),0)</f>
        <v>0</v>
      </c>
      <c r="EC56" s="38" t="n">
        <f aca="false">Tasks[[#This Row],[_WorkPerWorkday]]*(Tasks[[#This Row],[_StartWorkday]]-1)</f>
        <v>-0</v>
      </c>
      <c r="ED56" s="38" t="n">
        <f aca="false">IF(Tasks[[#This Row],[_IsLeaf]]=1,MAX(N(Tasks[[#This Row],[Duration]]),0.1),0)</f>
        <v>0</v>
      </c>
      <c r="EE56" s="38" t="n">
        <f aca="false">Tasks[[#This Row],[_WeightDur]]*Tasks[[#This Row],[_LeafProgress]]</f>
        <v>0</v>
      </c>
      <c r="EF5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6" s="38" t="str">
        <f aca="false">IF(AND(Tasks[[#This Row],[_IsLeaf]]=1,N(Tasks[[#This Row],[Duration]])=0,Tasks[[#This Row],[_LeafProgress]]&lt;1),Tasks[[#This Row],[_ShownFcstFinish]]+Tasks[[#This Row],[_Row]]/100000,"")</f>
        <v/>
      </c>
      <c r="EH5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6" s="38" t="n">
        <f aca="false">IF(NOT(Tasks[[#This Row],[_IsLeaf]]=1),0,IF(Tasks[[#This Row],[Baseline Cost]]="",Tasks[[#This Row],[_LeafTotalCost]],N(Tasks[[#This Row],[Baseline Cost]])))</f>
        <v>0</v>
      </c>
      <c r="EJ56" s="38" t="n">
        <f aca="false">Tasks[[#This Row],[_LeafBudget]]*Tasks[[#This Row],[_PlannedPct]]</f>
        <v>0</v>
      </c>
      <c r="EK56" s="38" t="n">
        <f aca="false">Tasks[[#This Row],[_LeafBudget]]*Tasks[[#This Row],[_LeafProgress]]</f>
        <v>0</v>
      </c>
      <c r="EL56" s="38" t="n">
        <f aca="false">IF(NOT(Tasks[[#This Row],[_IsLeaf]]=1),0,IF(Tasks[[#This Row],[Actual Cost]]="",Tasks[[#This Row],[_LeafTotalCost]]*Tasks[[#This Row],[_LeafProgress]],N(Tasks[[#This Row],[Actual Cost]])))</f>
        <v>0</v>
      </c>
      <c r="EM56" s="38" t="str">
        <f aca="false">IF(Tasks[[#This Row],[Task Name]]="","",LEFT(Tasks[[#This Row],[WBS]],FIND(".",Tasks[[#This Row],[WBS]]&amp;".")-1))</f>
        <v/>
      </c>
      <c r="EN56" s="38" t="str">
        <f aca="false">IF(AND(Tasks[[#This Row],[Task Name]]&lt;&gt;"",Tasks[[#This Row],[_Level]]=1),Tasks[[#This Row],[_Row]],"")</f>
        <v/>
      </c>
      <c r="EO56" s="38" t="str">
        <f aca="false">IF(AND(Tasks[[#This Row],[_IsLeaf]]=1,N(Tasks[[#This Row],[Duration]])=0),Tasks[[#This Row],[Planned Finish]]+Tasks[[#This Row],[_Row]]/100000,"")</f>
        <v/>
      </c>
      <c r="EP56" s="38" t="str">
        <f aca="false">IF(AND(Tasks[[#This Row],[_IsLeaf]]=1,Tasks[[#This Row],[_LeafProgress]]&lt;1,OR(N(Tasks[[#This Row],[Finish Var]])&gt;0,Tasks[[#This Row],[Status]]="Late Start")),MAX(0,Tasks[[#This Row],[Finish Var]])+1-Tasks[[#This Row],[_Row]]/1000000,"")</f>
        <v/>
      </c>
      <c r="EQ56" s="38" t="str">
        <f aca="false">IF(AND(Tasks[[#This Row],[_IsLeaf]]=1,N(Tasks[[#This Row],[Actual Start]])=0,Tasks[[#This Row],[_ShownFcstStart]]&gt;=StatusDate,Tasks[[#This Row],[_ShownFcstStart]]&lt;=LookaheadEnd),Tasks[[#This Row],[_ShownFcstStart]]+Tasks[[#This Row],[_Row]]/100000,"")</f>
        <v/>
      </c>
      <c r="ER56" s="38" t="str">
        <f aca="false">IF(AND(Tasks[[#This Row],[_IsLeaf]]=1,Tasks[[#This Row],[_LeafProgress]]&lt;1,Tasks[[#This Row],[_ShownFcstFinish]]&gt;=StatusDate,Tasks[[#This Row],[_ShownFcstFinish]]&lt;=LookaheadEnd),Tasks[[#This Row],[_ShownFcstFinish]]+Tasks[[#This Row],[_Row]]/100000,"")</f>
        <v/>
      </c>
      <c r="ES56" s="38" t="str">
        <f aca="false">IF(Tasks[[#This Row],[_LeafCritical]],Tasks[[#This Row],[_ShownFcstStart]]+Tasks[[#This Row],[_Row]]/100000,"")</f>
        <v/>
      </c>
      <c r="ET56" s="38" t="n">
        <f aca="false">Tasks[[#This Row],[_LeafWork]]*Tasks[[#This Row],[_LeafProgress]]</f>
        <v>0</v>
      </c>
      <c r="EU56" s="115" t="str">
        <f aca="false">IF(AND(Tasks[[#This Row],[_IsLeaf]]=1,Tasks[[#This Row],[_LeafProgress]]&gt;=1),IF(N(Tasks[[#This Row],[Actual Finish]])&gt;0,Tasks[[#This Row],[Actual Finish]],Tasks[[#This Row],[_ShownFcstFinish]]),"")</f>
        <v/>
      </c>
      <c r="EV56" s="38" t="n">
        <f aca="false">IF(Tasks[[#This Row],[_IsLeaf]]=1,N(Tasks[[#This Row],[Story Points]]),0)</f>
        <v>0</v>
      </c>
      <c r="EW56" s="38" t="str">
        <f aca="false">IF(AND(Tasks[[#This Row],[_IsLeaf]]=1,CurrentSprint&lt;&gt;"",Tasks[[#This Row],[Sprint]]=CurrentSprint),Tasks[[#This Row],[_Row]],"")</f>
        <v/>
      </c>
    </row>
    <row r="57" customFormat="false" ht="15" hidden="false" customHeight="false" outlineLevel="0" collapsed="false">
      <c r="A57" s="51" t="str">
        <f aca="false">IF(Tasks[[#This Row],[Task Name]]="","",COUNTA(Tasks[[#Headers],[Task Name]]:Tasks[[#This Row],[Task Name]])-1)</f>
        <v/>
      </c>
      <c r="B57" s="52" t="n">
        <v>52</v>
      </c>
      <c r="C5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52"/>
      <c r="E57" s="53"/>
      <c r="F57" s="52"/>
      <c r="G57" s="52"/>
      <c r="H57" s="52"/>
      <c r="I57" s="52"/>
      <c r="J57" s="52"/>
      <c r="K57" s="52"/>
      <c r="L57" s="52"/>
      <c r="M57" s="52"/>
      <c r="N57" s="52"/>
      <c r="O57" s="52"/>
      <c r="P57" s="52"/>
      <c r="Q57" s="52"/>
      <c r="R57" s="52"/>
      <c r="S57" s="53"/>
      <c r="T57" s="102"/>
      <c r="U57" s="102"/>
      <c r="V57" s="7"/>
      <c r="W57" s="7"/>
      <c r="X57" s="53"/>
      <c r="Y57" s="31" t="str">
        <f aca="false">IF(Tasks[[#This Row],[Task Name]]="","",IF(Tasks[[#This Row],[_IsSummary]],MIN(INDEX(Tasks[_ShownFcstStart],Tasks[[#This Row],[_Row]]+1):INDEX(Tasks[_ShownFcstStart],Tasks[[#This Row],[_Row]]+Tasks[[#This Row],[_Descendants]])),Tasks[[#This Row],[_ShownFcstStart]]))</f>
        <v/>
      </c>
      <c r="Z57" s="31" t="str">
        <f aca="false">IF(Tasks[[#This Row],[Task Name]]="","",IF(Tasks[[#This Row],[_IsSummary]],MAX(INDEX(Tasks[_ShownFcstFinish],Tasks[[#This Row],[_Row]]+1):INDEX(Tasks[_ShownFcstFinish],Tasks[[#This Row],[_Row]]+Tasks[[#This Row],[_Descendants]])),Tasks[[#This Row],[_ShownFcstFinish]]))</f>
        <v/>
      </c>
      <c r="AA57" s="51" t="str">
        <f aca="false">IF(Tasks[[#This Row],[Task Name]]="","",IF(Tasks[[#This Row],[Progress]]&gt;=1,"Complete",IF(OR(N(Tasks[[#This Row],[Actual Start]])&gt;0,Tasks[[#This Row],[Progress]]&gt;0),IF(Tasks[[#This Row],[Finish Var]]&gt;0,"Behind","In Progress"),IF(Tasks[[#This Row],[Planned Start]]&lt;StatusDate,"Late Start","Not Started"))))</f>
        <v/>
      </c>
      <c r="AB57" s="51" t="str">
        <f aca="false">IF(Tasks[[#This Row],[Task Name]]="","",IF(IF(Tasks[[#This Row],[_IsSummary]],COUNTIF(INDEX(Tasks[_LeafCritical],Tasks[[#This Row],[_Row]]+1):INDEX(Tasks[_LeafCritical],Tasks[[#This Row],[_Row]]+Tasks[[#This Row],[_Descendants]]),TRUE())&gt;0,Tasks[[#This Row],[_LeafCritical]]),"Yes",""))</f>
        <v/>
      </c>
      <c r="AC5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7" s="51" t="str">
        <f aca="false">IF(Tasks[[#This Row],[Task Name]]="","",IF(Tasks[[#This Row],[_Level]]&lt;=OutlineShowLevel,"Yes","No"))</f>
        <v/>
      </c>
      <c r="AE57" s="7"/>
      <c r="AF57" s="52"/>
      <c r="AG57" s="53"/>
      <c r="AH57" s="7"/>
      <c r="AI5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7" s="31" t="str">
        <f aca="false">IF(Tasks[[#This Row],[Task Name]]="","",IF(N(Tasks[[#This Row],[Baseline Start]])&gt;0,Tasks[[#This Row],[Baseline Start]],Tasks[[#This Row],[_CalcStart]]))</f>
        <v/>
      </c>
      <c r="AK57" s="31" t="str">
        <f aca="false">IF(Tasks[[#This Row],[Task Name]]="","",IF(N(Tasks[[#This Row],[Baseline Finish]])&gt;0,Tasks[[#This Row],[Baseline Finish]],Tasks[[#This Row],[_CalcFinish]]))</f>
        <v/>
      </c>
      <c r="AL5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7" s="31" t="str">
        <f aca="false">IF(Tasks[[#This Row],[Task Name]]="","",IF(Tasks[[#This Row],[_IsSummary]],MIN(INDEX(Tasks[_LeafLateStart],Tasks[[#This Row],[_Row]]+1):INDEX(Tasks[_LeafLateStart],Tasks[[#This Row],[_Row]]+Tasks[[#This Row],[_Descendants]])),Tasks[[#This Row],[_LeafLateStart]]))</f>
        <v/>
      </c>
      <c r="AN57" s="31" t="str">
        <f aca="false">IF(Tasks[[#This Row],[Task Name]]="","",IF(Tasks[[#This Row],[_IsSummary]],MAX(INDEX(Tasks[_LeafLateFinish],Tasks[[#This Row],[_Row]]+1):INDEX(Tasks[_LeafLateFinish],Tasks[[#This Row],[_Row]]+Tasks[[#This Row],[_Descendants]])),Tasks[[#This Row],[_LeafLateFinish]]))</f>
        <v/>
      </c>
      <c r="AO57" s="51" t="str">
        <f aca="false">IF(Tasks[[#This Row],[Task Name]]="","",IF(Tasks[[#This Row],[_IsSummary]],MIN(INDEX(Tasks[_LeafTotalSlack],Tasks[[#This Row],[_Row]]+1):INDEX(Tasks[_LeafTotalSlack],Tasks[[#This Row],[_Row]]+Tasks[[#This Row],[_Descendants]])),Tasks[[#This Row],[_LeafTotalSlack]]))</f>
        <v/>
      </c>
      <c r="AP5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7" s="110" t="str">
        <f aca="false">IF(Tasks[[#This Row],[Task Name]]="","",IF(Tasks[[#This Row],[_IsSummary]],SUM(INDEX(Tasks[_LeafTotalWork],Tasks[[#This Row],[_Row]]+1):INDEX(Tasks[_LeafTotalWork],Tasks[[#This Row],[_Row]]+Tasks[[#This Row],[_Descendants]])),Tasks[[#This Row],[_LeafTotalWork]]))</f>
        <v/>
      </c>
      <c r="AV5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7" s="111" t="str">
        <f aca="false">IF(Tasks[[#This Row],[Task Name]]="","",IF(Tasks[[#This Row],[_IsSummary]],SUM(INDEX(Tasks[_LeafTotalCost],Tasks[[#This Row],[_Row]]+1):INDEX(Tasks[_LeafTotalCost],Tasks[[#This Row],[_Row]]+Tasks[[#This Row],[_Descendants]])),Tasks[[#This Row],[_LeafTotalCost]]))</f>
        <v/>
      </c>
      <c r="AY57" s="112"/>
      <c r="AZ5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7" s="52"/>
      <c r="BB57" s="98"/>
      <c r="BC57" s="51" t="str">
        <f aca="false">IF(OR(Tasks[[#This Row],[Task Name]]="",Tasks[[#This Row],[Baseline Duration]]=""),"",Tasks[[#This Row],[BL Source Duration]]-N(Tasks[[#This Row],[Baseline Duration]]))</f>
        <v/>
      </c>
      <c r="BD57" s="110" t="str">
        <f aca="false">IF(OR(Tasks[[#This Row],[Task Name]]="",Tasks[[#This Row],[Baseline Work]]=""),"",Tasks[[#This Row],[Work]]-N(Tasks[[#This Row],[Baseline Work]]))</f>
        <v/>
      </c>
      <c r="BE57" s="111" t="str">
        <f aca="false">IF(OR(Tasks[[#This Row],[Task Name]]="",Tasks[[#This Row],[Baseline Cost]]=""),"",Tasks[[#This Row],[Cost]]-N(Tasks[[#This Row],[Baseline Cost]]))</f>
        <v/>
      </c>
      <c r="BF57" s="31" t="str">
        <f aca="false">IF(Tasks[[#This Row],[Task Name]]="","",Tasks[[#This Row],[Forecast Start]])</f>
        <v/>
      </c>
      <c r="BG57" s="31" t="str">
        <f aca="false">IF(Tasks[[#This Row],[Task Name]]="","",Tasks[[#This Row],[Forecast Finish]])</f>
        <v/>
      </c>
      <c r="BH57" s="51" t="str">
        <f aca="false">IF(Tasks[[#This Row],[Task Name]]="","",IF(Tasks[[#This Row],[_IsSummary]],NETWORKDAYS.INTL(Tasks[[#This Row],[Forecast Start]],Tasks[[#This Row],[Forecast Finish]],WorkWeek,Holidays),N(Tasks[[#This Row],[Duration]])))</f>
        <v/>
      </c>
      <c r="BI57" s="110" t="str">
        <f aca="false">IF(Tasks[[#This Row],[Task Name]]="","",Tasks[[#This Row],[Work]])</f>
        <v/>
      </c>
      <c r="BJ57" s="111" t="str">
        <f aca="false">IF(Tasks[[#This Row],[Task Name]]="","",Tasks[[#This Row],[Cost]])</f>
        <v/>
      </c>
      <c r="BK57" s="7"/>
      <c r="BL57" s="7"/>
      <c r="BM57" s="52"/>
      <c r="BN57" s="113"/>
      <c r="BO57" s="112"/>
      <c r="BP57" s="111" t="str">
        <f aca="false">IF(Tasks[[#This Row],[Task Name]]="","",IF(Tasks[[#This Row],[_IsSummary]],SUM(INDEX(Tasks[_LeafEV],Tasks[[#This Row],[_Row]]+1):INDEX(Tasks[_LeafEV],Tasks[[#This Row],[_Row]]+Tasks[[#This Row],[_Descendants]])),Tasks[[#This Row],[_LeafEV]]))</f>
        <v/>
      </c>
      <c r="BQ57" s="111" t="str">
        <f aca="false">IF(Tasks[[#This Row],[Task Name]]="","",IF(Tasks[[#This Row],[_IsSummary]],SUM(INDEX(Tasks[_LeafBudget],Tasks[[#This Row],[_Row]]+1):INDEX(Tasks[_LeafBudget],Tasks[[#This Row],[_Row]]+Tasks[[#This Row],[_Descendants]])),Tasks[[#This Row],[_LeafBudget]]))</f>
        <v/>
      </c>
      <c r="BR57" s="111" t="str">
        <f aca="false">IF(Tasks[[#This Row],[Task Name]]="","",IF(Tasks[[#This Row],[_IsSummary]],SUM(INDEX(Tasks[_LeafPV],Tasks[[#This Row],[_Row]]+1):INDEX(Tasks[_LeafPV],Tasks[[#This Row],[_Row]]+Tasks[[#This Row],[_Descendants]])),Tasks[[#This Row],[_LeafPV]]))</f>
        <v/>
      </c>
      <c r="BS57" s="111" t="str">
        <f aca="false">IF(Tasks[[#This Row],[Task Name]]="","",IF(Tasks[[#This Row],[_IsSummary]],SUM(INDEX(Tasks[_LeafAC],Tasks[[#This Row],[_Row]]+1):INDEX(Tasks[_LeafAC],Tasks[[#This Row],[_Row]]+Tasks[[#This Row],[_Descendants]])),Tasks[[#This Row],[_LeafAC]]))</f>
        <v/>
      </c>
      <c r="BT57" s="38" t="str">
        <f aca="false">IF(Tasks[[#This Row],[Task Name]]="","",MAX(1,N(Tasks[[#This Row],[Level]])))</f>
        <v/>
      </c>
      <c r="BU57" s="38" t="n">
        <f aca="false">ROW()-ROW(Tasks[[#Headers],[ID]])</f>
        <v>52</v>
      </c>
      <c r="BV57" s="38" t="n">
        <f aca="false">IF(OR(Tasks[[#This Row],[Task Name]]="",Tasks[[#This Row],[_Level]]&lt;=1),0,IFERROR(LOOKUP(2,1/(Tasks[[#Headers],[_Level]]:Tasks[[#This Row],[_Level]]=Tasks[[#This Row],[_Level]]-1),ROW(Tasks[[#Headers],[_Level]]:Tasks[[#This Row],[_Level]])),0))</f>
        <v>0</v>
      </c>
      <c r="BW57" s="38" t="n">
        <f aca="false">IFERROR(N(INDEX(Tasks[_Level],Tasks[[#This Row],[_Row]]+1)),0)</f>
        <v>0</v>
      </c>
      <c r="BX57" s="114" t="b">
        <f aca="false">AND(Tasks[[#This Row],[Task Name]]&lt;&gt;"",Tasks[[#This Row],[_NextLevel]]&gt;Tasks[[#This Row],[_Level]])</f>
        <v>0</v>
      </c>
      <c r="BY57" s="38" t="n">
        <f aca="false">IF(Tasks[[#This Row],[_IsSummary]],COUNTIF(Tasks[WBS],Tasks[[#This Row],[WBS]]&amp;".*"),0)</f>
        <v>0</v>
      </c>
      <c r="BZ57" s="38" t="n">
        <f aca="false">IF(AND(Tasks[[#This Row],[Task Name]]&lt;&gt;"",NOT(Tasks[[#This Row],[_IsSummary]])),1,0)</f>
        <v>0</v>
      </c>
      <c r="CA57" s="38" t="n">
        <f aca="false">IF(N(Tasks[[#This Row],[Pred1 UID]])=0,0,IFERROR(MATCH(Tasks[[#This Row],[Pred1 UID]],Tasks[UID],0),-1))</f>
        <v>0</v>
      </c>
      <c r="CB57" s="38" t="n">
        <f aca="false">IF(N(Tasks[[#This Row],[Pred2 UID]])=0,0,IFERROR(MATCH(Tasks[[#This Row],[Pred2 UID]],Tasks[UID],0),-1))</f>
        <v>0</v>
      </c>
      <c r="CC57" s="38" t="n">
        <f aca="false">IF(N(Tasks[[#This Row],[Pred3 UID]])=0,0,IFERROR(MATCH(Tasks[[#This Row],[Pred3 UID]],Tasks[UID],0),-1))</f>
        <v>0</v>
      </c>
      <c r="CD57" s="38" t="n">
        <f aca="false">IF(N(Tasks[[#This Row],[Pred4 UID]])=0,0,IFERROR(MATCH(Tasks[[#This Row],[Pred4 UID]],Tasks[UID],0),-1))</f>
        <v>0</v>
      </c>
      <c r="CE5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7" s="115" t="n">
        <f aca="false">IF(OR(Tasks[[#This Row],[_ConstraintCode]]=2,Tasks[[#This Row],[_ConstraintCode]]=3,Tasks[[#This Row],[_ConstraintCode]]=4,Tasks[[#This Row],[_ConstraintCode]]=6),Tasks[[#This Row],[_ConstraintStart]],0)</f>
        <v>0</v>
      </c>
      <c r="CH57" s="115" t="n">
        <f aca="false">IF(OR(Tasks[[#This Row],[_ConstraintCode]]=2,Tasks[[#This Row],[_ConstraintCode]]=3,Tasks[[#This Row],[_ConstraintCode]]=5,Tasks[[#This Row],[_ConstraintCode]]=7),Tasks[[#This Row],[_ConstraintStart]],2958465)</f>
        <v>2958465</v>
      </c>
      <c r="CI5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7" s="115" t="str">
        <f aca="false">IF(NOT(Tasks[[#This Row],[_IsLeaf]]=1),"",IF(N(Tasks[[#This Row],[Duration]])&lt;=0,Tasks[[#This Row],[_LeafCalcStart]],WORKDAY.INTL(Tasks[[#This Row],[_LeafCalcStart]],Tasks[[#This Row],[Duration]]-1,WorkWeek,Holidays)))</f>
        <v/>
      </c>
      <c r="CK5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7" s="38" t="n">
        <f aca="false">IF(NOT(Tasks[[#This Row],[_IsLeaf]]=1),0,IF(N(Tasks[[#This Row],[Actual Finish]])&gt;0,1,MIN(1,N(Tasks[[#This Row],[% Complete]]))))</f>
        <v>0</v>
      </c>
      <c r="CN57" s="38" t="n">
        <f aca="false">IF(OR(NOT(Tasks[[#This Row],[_IsLeaf]]=1),Tasks[[#This Row],[Resource]]=""),0,N(Tasks[[#This Row],[Duration]])*HoursPerDay*IF(Tasks[[#This Row],[Units]]="",DefaultUnits,Tasks[[#This Row],[Units]]))</f>
        <v>0</v>
      </c>
      <c r="CO57" s="38" t="n">
        <f aca="false">IF(Tasks[[#This Row],[_LeafWork]]=0,0,Tasks[[#This Row],[_LeafWork]]*IFERROR(INDEX(res_Rate,MATCH(Tasks[[#This Row],[Resource]],res_Name,0)),0))</f>
        <v>0</v>
      </c>
      <c r="CP57" s="38" t="n">
        <f aca="false">Tasks[[#This Row],[_LeafWork]]+IF(Tasks[[#This Row],[_IsLeaf]]=1,SUMIFS(asg_Work,asg_TaskUID,Tasks[[#This Row],[UID]],asg_Valid,1),0)</f>
        <v>0</v>
      </c>
      <c r="CQ57" s="38" t="n">
        <f aca="false">Tasks[[#This Row],[_LeafCost]]+IF(Tasks[[#This Row],[_IsLeaf]]=1,SUMIFS(asg_Cost,asg_TaskUID,Tasks[[#This Row],[UID]],asg_Valid,1),0)</f>
        <v>0</v>
      </c>
      <c r="CR57" s="38" t="n">
        <f aca="false">IF(Tasks[[#This Row],[_LeafTotalCost]]=0,Tasks[[#This Row],[_LeafAC]],Tasks[[#This Row],[_LeafAC]]*Tasks[[#This Row],[_LeafCost]]/Tasks[[#This Row],[_LeafTotalCost]])</f>
        <v>0</v>
      </c>
      <c r="CS5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7" s="38" t="n">
        <f aca="false">IF(NOT(Tasks[[#This Row],[_IsLeaf]]=1),0,MAX(_xlfn.MAXIFS(Tasks[_Row],Tasks[Pred1 UID],Tasks[[#This Row],[UID]]),_xlfn.MAXIFS(Tasks[_Row],Tasks[Pred2 UID],Tasks[[#This Row],[UID]]),_xlfn.MAXIFS(Tasks[_Row],Tasks[Pred3 UID],Tasks[[#This Row],[UID]]),_xlfn.MAXIFS(Tasks[_Row],Tasks[Pred4 UID],Tasks[[#This Row],[UID]])))</f>
        <v>0</v>
      </c>
      <c r="DB5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7" s="115" t="str">
        <f aca="false">IF(NOT(Tasks[[#This Row],[_IsLeaf]]=1),"",IF(N(Tasks[[#This Row],[Duration]])&lt;=0,Tasks[[#This Row],[_LeafLateFinish]],WORKDAY.INTL(Tasks[[#This Row],[_LeafLateFinish]],-(Tasks[[#This Row],[Duration]]-1),WorkWeek,Holidays)))</f>
        <v/>
      </c>
      <c r="DE5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7" s="114" t="b">
        <f aca="false">AND(Tasks[[#This Row],[_IsLeaf]]=1,Tasks[[#This Row],[_LeafProgress]]&lt;1,N(Tasks[[#This Row],[_LeafTotalSlack]])&lt;=CriticalSlackDays)</f>
        <v>0</v>
      </c>
      <c r="DG57" s="38" t="n">
        <f aca="false">IF(AND(Tasks[[#This Row],[_IsLeaf]]=1,Tasks[[#This Row],[_ConstraintCode]]=1,Tasks[[#This Row],[Mode]]&lt;&gt;"Manual",N(Tasks[[#This Row],[Actual Start]])=0),MAX(0,N(Tasks[[#This Row],[Free Slack]])),0)</f>
        <v>0</v>
      </c>
      <c r="DH57" s="115" t="str">
        <f aca="false">IF(NOT(Tasks[[#This Row],[_IsLeaf]]=1),"",IF(Tasks[[#This Row],[_AlapShift]]=0,Tasks[[#This Row],[_LeafCalcStart]],WORKDAY.INTL(Tasks[[#This Row],[_LeafCalcStart]],Tasks[[#This Row],[_AlapShift]],WorkWeek,Holidays)))</f>
        <v/>
      </c>
      <c r="DI57" s="115" t="str">
        <f aca="false">IF(NOT(Tasks[[#This Row],[_IsLeaf]]=1),"",IF(Tasks[[#This Row],[_AlapShift]]=0,Tasks[[#This Row],[_LeafCalcFinish]],WORKDAY.INTL(Tasks[[#This Row],[_LeafCalcFinish]],Tasks[[#This Row],[_AlapShift]],WorkWeek,Holidays)))</f>
        <v/>
      </c>
      <c r="DJ57" s="115" t="str">
        <f aca="false">IF(NOT(Tasks[[#This Row],[_IsLeaf]]=1),"",IF(Tasks[[#This Row],[_AlapShift]]=0,Tasks[[#This Row],[_LeafFcstStart]],WORKDAY.INTL(Tasks[[#This Row],[_LeafFcstStart]],Tasks[[#This Row],[_AlapShift]],WorkWeek,Holidays)))</f>
        <v/>
      </c>
      <c r="DK57" s="115" t="str">
        <f aca="false">IF(NOT(Tasks[[#This Row],[_IsLeaf]]=1),"",IF(Tasks[[#This Row],[_AlapShift]]=0,Tasks[[#This Row],[_LeafFcstFinish]],WORKDAY.INTL(Tasks[[#This Row],[_LeafFcstFinish]],Tasks[[#This Row],[_AlapShift]],WorkWeek,Holidays)))</f>
        <v/>
      </c>
      <c r="DL57" s="115" t="str">
        <f aca="false">IF(Tasks[[#This Row],[Task Name]]="","",IF(Tasks[[#This Row],[_IsSummary]],MIN(INDEX(Tasks[_ShownCalcStart],Tasks[[#This Row],[_Row]]+1):INDEX(Tasks[_ShownCalcStart],Tasks[[#This Row],[_Row]]+Tasks[[#This Row],[_Descendants]])),Tasks[[#This Row],[_ShownCalcStart]]))</f>
        <v/>
      </c>
      <c r="DM57" s="115" t="str">
        <f aca="false">IF(Tasks[[#This Row],[Task Name]]="","",IF(Tasks[[#This Row],[_IsSummary]],MAX(INDEX(Tasks[_ShownCalcFinish],Tasks[[#This Row],[_Row]]+1):INDEX(Tasks[_ShownCalcFinish],Tasks[[#This Row],[_Row]]+Tasks[[#This Row],[_Descendants]])),Tasks[[#This Row],[_ShownCalcFinish]]))</f>
        <v/>
      </c>
      <c r="DN5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7" s="38" t="n">
        <f aca="false">IF(AND(Tasks[[#This Row],[_IsLeaf]]=1,Tasks[[#This Row],[_LeafTotalWork]]&gt;0),NETWORKDAYS.INTL(ProjectStart,Tasks[[#This Row],[_ShownFcstStart]],WorkWeek,Holidays),0)</f>
        <v>0</v>
      </c>
      <c r="EA57" s="38" t="n">
        <f aca="false">IF(AND(Tasks[[#This Row],[_IsLeaf]]=1,Tasks[[#This Row],[_LeafTotalWork]]&gt;0),MAX(Tasks[[#This Row],[_StartWorkday]],NETWORKDAYS.INTL(ProjectStart,Tasks[[#This Row],[_ShownFcstFinish]],WorkWeek,Holidays)),0)</f>
        <v>0</v>
      </c>
      <c r="EB57" s="38" t="n">
        <f aca="false">IF(AND(Tasks[[#This Row],[_IsLeaf]]=1,Tasks[[#This Row],[_LeafTotalWork]]&gt;0),Tasks[[#This Row],[_LeafWork]]/(Tasks[[#This Row],[_FinishWorkday]]-Tasks[[#This Row],[_StartWorkday]]+1),0)</f>
        <v>0</v>
      </c>
      <c r="EC57" s="38" t="n">
        <f aca="false">Tasks[[#This Row],[_WorkPerWorkday]]*(Tasks[[#This Row],[_StartWorkday]]-1)</f>
        <v>-0</v>
      </c>
      <c r="ED57" s="38" t="n">
        <f aca="false">IF(Tasks[[#This Row],[_IsLeaf]]=1,MAX(N(Tasks[[#This Row],[Duration]]),0.1),0)</f>
        <v>0</v>
      </c>
      <c r="EE57" s="38" t="n">
        <f aca="false">Tasks[[#This Row],[_WeightDur]]*Tasks[[#This Row],[_LeafProgress]]</f>
        <v>0</v>
      </c>
      <c r="EF5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7" s="38" t="str">
        <f aca="false">IF(AND(Tasks[[#This Row],[_IsLeaf]]=1,N(Tasks[[#This Row],[Duration]])=0,Tasks[[#This Row],[_LeafProgress]]&lt;1),Tasks[[#This Row],[_ShownFcstFinish]]+Tasks[[#This Row],[_Row]]/100000,"")</f>
        <v/>
      </c>
      <c r="EH5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7" s="38" t="n">
        <f aca="false">IF(NOT(Tasks[[#This Row],[_IsLeaf]]=1),0,IF(Tasks[[#This Row],[Baseline Cost]]="",Tasks[[#This Row],[_LeafTotalCost]],N(Tasks[[#This Row],[Baseline Cost]])))</f>
        <v>0</v>
      </c>
      <c r="EJ57" s="38" t="n">
        <f aca="false">Tasks[[#This Row],[_LeafBudget]]*Tasks[[#This Row],[_PlannedPct]]</f>
        <v>0</v>
      </c>
      <c r="EK57" s="38" t="n">
        <f aca="false">Tasks[[#This Row],[_LeafBudget]]*Tasks[[#This Row],[_LeafProgress]]</f>
        <v>0</v>
      </c>
      <c r="EL57" s="38" t="n">
        <f aca="false">IF(NOT(Tasks[[#This Row],[_IsLeaf]]=1),0,IF(Tasks[[#This Row],[Actual Cost]]="",Tasks[[#This Row],[_LeafTotalCost]]*Tasks[[#This Row],[_LeafProgress]],N(Tasks[[#This Row],[Actual Cost]])))</f>
        <v>0</v>
      </c>
      <c r="EM57" s="38" t="str">
        <f aca="false">IF(Tasks[[#This Row],[Task Name]]="","",LEFT(Tasks[[#This Row],[WBS]],FIND(".",Tasks[[#This Row],[WBS]]&amp;".")-1))</f>
        <v/>
      </c>
      <c r="EN57" s="38" t="str">
        <f aca="false">IF(AND(Tasks[[#This Row],[Task Name]]&lt;&gt;"",Tasks[[#This Row],[_Level]]=1),Tasks[[#This Row],[_Row]],"")</f>
        <v/>
      </c>
      <c r="EO57" s="38" t="str">
        <f aca="false">IF(AND(Tasks[[#This Row],[_IsLeaf]]=1,N(Tasks[[#This Row],[Duration]])=0),Tasks[[#This Row],[Planned Finish]]+Tasks[[#This Row],[_Row]]/100000,"")</f>
        <v/>
      </c>
      <c r="EP57" s="38" t="str">
        <f aca="false">IF(AND(Tasks[[#This Row],[_IsLeaf]]=1,Tasks[[#This Row],[_LeafProgress]]&lt;1,OR(N(Tasks[[#This Row],[Finish Var]])&gt;0,Tasks[[#This Row],[Status]]="Late Start")),MAX(0,Tasks[[#This Row],[Finish Var]])+1-Tasks[[#This Row],[_Row]]/1000000,"")</f>
        <v/>
      </c>
      <c r="EQ57" s="38" t="str">
        <f aca="false">IF(AND(Tasks[[#This Row],[_IsLeaf]]=1,N(Tasks[[#This Row],[Actual Start]])=0,Tasks[[#This Row],[_ShownFcstStart]]&gt;=StatusDate,Tasks[[#This Row],[_ShownFcstStart]]&lt;=LookaheadEnd),Tasks[[#This Row],[_ShownFcstStart]]+Tasks[[#This Row],[_Row]]/100000,"")</f>
        <v/>
      </c>
      <c r="ER57" s="38" t="str">
        <f aca="false">IF(AND(Tasks[[#This Row],[_IsLeaf]]=1,Tasks[[#This Row],[_LeafProgress]]&lt;1,Tasks[[#This Row],[_ShownFcstFinish]]&gt;=StatusDate,Tasks[[#This Row],[_ShownFcstFinish]]&lt;=LookaheadEnd),Tasks[[#This Row],[_ShownFcstFinish]]+Tasks[[#This Row],[_Row]]/100000,"")</f>
        <v/>
      </c>
      <c r="ES57" s="38" t="str">
        <f aca="false">IF(Tasks[[#This Row],[_LeafCritical]],Tasks[[#This Row],[_ShownFcstStart]]+Tasks[[#This Row],[_Row]]/100000,"")</f>
        <v/>
      </c>
      <c r="ET57" s="38" t="n">
        <f aca="false">Tasks[[#This Row],[_LeafWork]]*Tasks[[#This Row],[_LeafProgress]]</f>
        <v>0</v>
      </c>
      <c r="EU57" s="115" t="str">
        <f aca="false">IF(AND(Tasks[[#This Row],[_IsLeaf]]=1,Tasks[[#This Row],[_LeafProgress]]&gt;=1),IF(N(Tasks[[#This Row],[Actual Finish]])&gt;0,Tasks[[#This Row],[Actual Finish]],Tasks[[#This Row],[_ShownFcstFinish]]),"")</f>
        <v/>
      </c>
      <c r="EV57" s="38" t="n">
        <f aca="false">IF(Tasks[[#This Row],[_IsLeaf]]=1,N(Tasks[[#This Row],[Story Points]]),0)</f>
        <v>0</v>
      </c>
      <c r="EW57" s="38" t="str">
        <f aca="false">IF(AND(Tasks[[#This Row],[_IsLeaf]]=1,CurrentSprint&lt;&gt;"",Tasks[[#This Row],[Sprint]]=CurrentSprint),Tasks[[#This Row],[_Row]],"")</f>
        <v/>
      </c>
    </row>
    <row r="58" customFormat="false" ht="15" hidden="false" customHeight="false" outlineLevel="0" collapsed="false">
      <c r="A58" s="51" t="str">
        <f aca="false">IF(Tasks[[#This Row],[Task Name]]="","",COUNTA(Tasks[[#Headers],[Task Name]]:Tasks[[#This Row],[Task Name]])-1)</f>
        <v/>
      </c>
      <c r="B58" s="52" t="n">
        <v>53</v>
      </c>
      <c r="C5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52"/>
      <c r="E58" s="53"/>
      <c r="F58" s="52"/>
      <c r="G58" s="52"/>
      <c r="H58" s="52"/>
      <c r="I58" s="52"/>
      <c r="J58" s="52"/>
      <c r="K58" s="52"/>
      <c r="L58" s="52"/>
      <c r="M58" s="52"/>
      <c r="N58" s="52"/>
      <c r="O58" s="52"/>
      <c r="P58" s="52"/>
      <c r="Q58" s="52"/>
      <c r="R58" s="52"/>
      <c r="S58" s="53"/>
      <c r="T58" s="102"/>
      <c r="U58" s="102"/>
      <c r="V58" s="7"/>
      <c r="W58" s="7"/>
      <c r="X58" s="53"/>
      <c r="Y58" s="31" t="str">
        <f aca="false">IF(Tasks[[#This Row],[Task Name]]="","",IF(Tasks[[#This Row],[_IsSummary]],MIN(INDEX(Tasks[_ShownFcstStart],Tasks[[#This Row],[_Row]]+1):INDEX(Tasks[_ShownFcstStart],Tasks[[#This Row],[_Row]]+Tasks[[#This Row],[_Descendants]])),Tasks[[#This Row],[_ShownFcstStart]]))</f>
        <v/>
      </c>
      <c r="Z58" s="31" t="str">
        <f aca="false">IF(Tasks[[#This Row],[Task Name]]="","",IF(Tasks[[#This Row],[_IsSummary]],MAX(INDEX(Tasks[_ShownFcstFinish],Tasks[[#This Row],[_Row]]+1):INDEX(Tasks[_ShownFcstFinish],Tasks[[#This Row],[_Row]]+Tasks[[#This Row],[_Descendants]])),Tasks[[#This Row],[_ShownFcstFinish]]))</f>
        <v/>
      </c>
      <c r="AA58" s="51" t="str">
        <f aca="false">IF(Tasks[[#This Row],[Task Name]]="","",IF(Tasks[[#This Row],[Progress]]&gt;=1,"Complete",IF(OR(N(Tasks[[#This Row],[Actual Start]])&gt;0,Tasks[[#This Row],[Progress]]&gt;0),IF(Tasks[[#This Row],[Finish Var]]&gt;0,"Behind","In Progress"),IF(Tasks[[#This Row],[Planned Start]]&lt;StatusDate,"Late Start","Not Started"))))</f>
        <v/>
      </c>
      <c r="AB58" s="51" t="str">
        <f aca="false">IF(Tasks[[#This Row],[Task Name]]="","",IF(IF(Tasks[[#This Row],[_IsSummary]],COUNTIF(INDEX(Tasks[_LeafCritical],Tasks[[#This Row],[_Row]]+1):INDEX(Tasks[_LeafCritical],Tasks[[#This Row],[_Row]]+Tasks[[#This Row],[_Descendants]]),TRUE())&gt;0,Tasks[[#This Row],[_LeafCritical]]),"Yes",""))</f>
        <v/>
      </c>
      <c r="AC5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8" s="51" t="str">
        <f aca="false">IF(Tasks[[#This Row],[Task Name]]="","",IF(Tasks[[#This Row],[_Level]]&lt;=OutlineShowLevel,"Yes","No"))</f>
        <v/>
      </c>
      <c r="AE58" s="7"/>
      <c r="AF58" s="52"/>
      <c r="AG58" s="53"/>
      <c r="AH58" s="7"/>
      <c r="AI5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8" s="31" t="str">
        <f aca="false">IF(Tasks[[#This Row],[Task Name]]="","",IF(N(Tasks[[#This Row],[Baseline Start]])&gt;0,Tasks[[#This Row],[Baseline Start]],Tasks[[#This Row],[_CalcStart]]))</f>
        <v/>
      </c>
      <c r="AK58" s="31" t="str">
        <f aca="false">IF(Tasks[[#This Row],[Task Name]]="","",IF(N(Tasks[[#This Row],[Baseline Finish]])&gt;0,Tasks[[#This Row],[Baseline Finish]],Tasks[[#This Row],[_CalcFinish]]))</f>
        <v/>
      </c>
      <c r="AL5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8" s="31" t="str">
        <f aca="false">IF(Tasks[[#This Row],[Task Name]]="","",IF(Tasks[[#This Row],[_IsSummary]],MIN(INDEX(Tasks[_LeafLateStart],Tasks[[#This Row],[_Row]]+1):INDEX(Tasks[_LeafLateStart],Tasks[[#This Row],[_Row]]+Tasks[[#This Row],[_Descendants]])),Tasks[[#This Row],[_LeafLateStart]]))</f>
        <v/>
      </c>
      <c r="AN58" s="31" t="str">
        <f aca="false">IF(Tasks[[#This Row],[Task Name]]="","",IF(Tasks[[#This Row],[_IsSummary]],MAX(INDEX(Tasks[_LeafLateFinish],Tasks[[#This Row],[_Row]]+1):INDEX(Tasks[_LeafLateFinish],Tasks[[#This Row],[_Row]]+Tasks[[#This Row],[_Descendants]])),Tasks[[#This Row],[_LeafLateFinish]]))</f>
        <v/>
      </c>
      <c r="AO58" s="51" t="str">
        <f aca="false">IF(Tasks[[#This Row],[Task Name]]="","",IF(Tasks[[#This Row],[_IsSummary]],MIN(INDEX(Tasks[_LeafTotalSlack],Tasks[[#This Row],[_Row]]+1):INDEX(Tasks[_LeafTotalSlack],Tasks[[#This Row],[_Row]]+Tasks[[#This Row],[_Descendants]])),Tasks[[#This Row],[_LeafTotalSlack]]))</f>
        <v/>
      </c>
      <c r="AP5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8" s="110" t="str">
        <f aca="false">IF(Tasks[[#This Row],[Task Name]]="","",IF(Tasks[[#This Row],[_IsSummary]],SUM(INDEX(Tasks[_LeafTotalWork],Tasks[[#This Row],[_Row]]+1):INDEX(Tasks[_LeafTotalWork],Tasks[[#This Row],[_Row]]+Tasks[[#This Row],[_Descendants]])),Tasks[[#This Row],[_LeafTotalWork]]))</f>
        <v/>
      </c>
      <c r="AV5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8" s="111" t="str">
        <f aca="false">IF(Tasks[[#This Row],[Task Name]]="","",IF(Tasks[[#This Row],[_IsSummary]],SUM(INDEX(Tasks[_LeafTotalCost],Tasks[[#This Row],[_Row]]+1):INDEX(Tasks[_LeafTotalCost],Tasks[[#This Row],[_Row]]+Tasks[[#This Row],[_Descendants]])),Tasks[[#This Row],[_LeafTotalCost]]))</f>
        <v/>
      </c>
      <c r="AY58" s="112"/>
      <c r="AZ5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8" s="52"/>
      <c r="BB58" s="98"/>
      <c r="BC58" s="51" t="str">
        <f aca="false">IF(OR(Tasks[[#This Row],[Task Name]]="",Tasks[[#This Row],[Baseline Duration]]=""),"",Tasks[[#This Row],[BL Source Duration]]-N(Tasks[[#This Row],[Baseline Duration]]))</f>
        <v/>
      </c>
      <c r="BD58" s="110" t="str">
        <f aca="false">IF(OR(Tasks[[#This Row],[Task Name]]="",Tasks[[#This Row],[Baseline Work]]=""),"",Tasks[[#This Row],[Work]]-N(Tasks[[#This Row],[Baseline Work]]))</f>
        <v/>
      </c>
      <c r="BE58" s="111" t="str">
        <f aca="false">IF(OR(Tasks[[#This Row],[Task Name]]="",Tasks[[#This Row],[Baseline Cost]]=""),"",Tasks[[#This Row],[Cost]]-N(Tasks[[#This Row],[Baseline Cost]]))</f>
        <v/>
      </c>
      <c r="BF58" s="31" t="str">
        <f aca="false">IF(Tasks[[#This Row],[Task Name]]="","",Tasks[[#This Row],[Forecast Start]])</f>
        <v/>
      </c>
      <c r="BG58" s="31" t="str">
        <f aca="false">IF(Tasks[[#This Row],[Task Name]]="","",Tasks[[#This Row],[Forecast Finish]])</f>
        <v/>
      </c>
      <c r="BH58" s="51" t="str">
        <f aca="false">IF(Tasks[[#This Row],[Task Name]]="","",IF(Tasks[[#This Row],[_IsSummary]],NETWORKDAYS.INTL(Tasks[[#This Row],[Forecast Start]],Tasks[[#This Row],[Forecast Finish]],WorkWeek,Holidays),N(Tasks[[#This Row],[Duration]])))</f>
        <v/>
      </c>
      <c r="BI58" s="110" t="str">
        <f aca="false">IF(Tasks[[#This Row],[Task Name]]="","",Tasks[[#This Row],[Work]])</f>
        <v/>
      </c>
      <c r="BJ58" s="111" t="str">
        <f aca="false">IF(Tasks[[#This Row],[Task Name]]="","",Tasks[[#This Row],[Cost]])</f>
        <v/>
      </c>
      <c r="BK58" s="7"/>
      <c r="BL58" s="7"/>
      <c r="BM58" s="52"/>
      <c r="BN58" s="113"/>
      <c r="BO58" s="112"/>
      <c r="BP58" s="111" t="str">
        <f aca="false">IF(Tasks[[#This Row],[Task Name]]="","",IF(Tasks[[#This Row],[_IsSummary]],SUM(INDEX(Tasks[_LeafEV],Tasks[[#This Row],[_Row]]+1):INDEX(Tasks[_LeafEV],Tasks[[#This Row],[_Row]]+Tasks[[#This Row],[_Descendants]])),Tasks[[#This Row],[_LeafEV]]))</f>
        <v/>
      </c>
      <c r="BQ58" s="111" t="str">
        <f aca="false">IF(Tasks[[#This Row],[Task Name]]="","",IF(Tasks[[#This Row],[_IsSummary]],SUM(INDEX(Tasks[_LeafBudget],Tasks[[#This Row],[_Row]]+1):INDEX(Tasks[_LeafBudget],Tasks[[#This Row],[_Row]]+Tasks[[#This Row],[_Descendants]])),Tasks[[#This Row],[_LeafBudget]]))</f>
        <v/>
      </c>
      <c r="BR58" s="111" t="str">
        <f aca="false">IF(Tasks[[#This Row],[Task Name]]="","",IF(Tasks[[#This Row],[_IsSummary]],SUM(INDEX(Tasks[_LeafPV],Tasks[[#This Row],[_Row]]+1):INDEX(Tasks[_LeafPV],Tasks[[#This Row],[_Row]]+Tasks[[#This Row],[_Descendants]])),Tasks[[#This Row],[_LeafPV]]))</f>
        <v/>
      </c>
      <c r="BS58" s="111" t="str">
        <f aca="false">IF(Tasks[[#This Row],[Task Name]]="","",IF(Tasks[[#This Row],[_IsSummary]],SUM(INDEX(Tasks[_LeafAC],Tasks[[#This Row],[_Row]]+1):INDEX(Tasks[_LeafAC],Tasks[[#This Row],[_Row]]+Tasks[[#This Row],[_Descendants]])),Tasks[[#This Row],[_LeafAC]]))</f>
        <v/>
      </c>
      <c r="BT58" s="38" t="str">
        <f aca="false">IF(Tasks[[#This Row],[Task Name]]="","",MAX(1,N(Tasks[[#This Row],[Level]])))</f>
        <v/>
      </c>
      <c r="BU58" s="38" t="n">
        <f aca="false">ROW()-ROW(Tasks[[#Headers],[ID]])</f>
        <v>53</v>
      </c>
      <c r="BV58" s="38" t="n">
        <f aca="false">IF(OR(Tasks[[#This Row],[Task Name]]="",Tasks[[#This Row],[_Level]]&lt;=1),0,IFERROR(LOOKUP(2,1/(Tasks[[#Headers],[_Level]]:Tasks[[#This Row],[_Level]]=Tasks[[#This Row],[_Level]]-1),ROW(Tasks[[#Headers],[_Level]]:Tasks[[#This Row],[_Level]])),0))</f>
        <v>0</v>
      </c>
      <c r="BW58" s="38" t="n">
        <f aca="false">IFERROR(N(INDEX(Tasks[_Level],Tasks[[#This Row],[_Row]]+1)),0)</f>
        <v>0</v>
      </c>
      <c r="BX58" s="114" t="b">
        <f aca="false">AND(Tasks[[#This Row],[Task Name]]&lt;&gt;"",Tasks[[#This Row],[_NextLevel]]&gt;Tasks[[#This Row],[_Level]])</f>
        <v>0</v>
      </c>
      <c r="BY58" s="38" t="n">
        <f aca="false">IF(Tasks[[#This Row],[_IsSummary]],COUNTIF(Tasks[WBS],Tasks[[#This Row],[WBS]]&amp;".*"),0)</f>
        <v>0</v>
      </c>
      <c r="BZ58" s="38" t="n">
        <f aca="false">IF(AND(Tasks[[#This Row],[Task Name]]&lt;&gt;"",NOT(Tasks[[#This Row],[_IsSummary]])),1,0)</f>
        <v>0</v>
      </c>
      <c r="CA58" s="38" t="n">
        <f aca="false">IF(N(Tasks[[#This Row],[Pred1 UID]])=0,0,IFERROR(MATCH(Tasks[[#This Row],[Pred1 UID]],Tasks[UID],0),-1))</f>
        <v>0</v>
      </c>
      <c r="CB58" s="38" t="n">
        <f aca="false">IF(N(Tasks[[#This Row],[Pred2 UID]])=0,0,IFERROR(MATCH(Tasks[[#This Row],[Pred2 UID]],Tasks[UID],0),-1))</f>
        <v>0</v>
      </c>
      <c r="CC58" s="38" t="n">
        <f aca="false">IF(N(Tasks[[#This Row],[Pred3 UID]])=0,0,IFERROR(MATCH(Tasks[[#This Row],[Pred3 UID]],Tasks[UID],0),-1))</f>
        <v>0</v>
      </c>
      <c r="CD58" s="38" t="n">
        <f aca="false">IF(N(Tasks[[#This Row],[Pred4 UID]])=0,0,IFERROR(MATCH(Tasks[[#This Row],[Pred4 UID]],Tasks[UID],0),-1))</f>
        <v>0</v>
      </c>
      <c r="CE5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8" s="115" t="n">
        <f aca="false">IF(OR(Tasks[[#This Row],[_ConstraintCode]]=2,Tasks[[#This Row],[_ConstraintCode]]=3,Tasks[[#This Row],[_ConstraintCode]]=4,Tasks[[#This Row],[_ConstraintCode]]=6),Tasks[[#This Row],[_ConstraintStart]],0)</f>
        <v>0</v>
      </c>
      <c r="CH58" s="115" t="n">
        <f aca="false">IF(OR(Tasks[[#This Row],[_ConstraintCode]]=2,Tasks[[#This Row],[_ConstraintCode]]=3,Tasks[[#This Row],[_ConstraintCode]]=5,Tasks[[#This Row],[_ConstraintCode]]=7),Tasks[[#This Row],[_ConstraintStart]],2958465)</f>
        <v>2958465</v>
      </c>
      <c r="CI5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8" s="115" t="str">
        <f aca="false">IF(NOT(Tasks[[#This Row],[_IsLeaf]]=1),"",IF(N(Tasks[[#This Row],[Duration]])&lt;=0,Tasks[[#This Row],[_LeafCalcStart]],WORKDAY.INTL(Tasks[[#This Row],[_LeafCalcStart]],Tasks[[#This Row],[Duration]]-1,WorkWeek,Holidays)))</f>
        <v/>
      </c>
      <c r="CK5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8" s="38" t="n">
        <f aca="false">IF(NOT(Tasks[[#This Row],[_IsLeaf]]=1),0,IF(N(Tasks[[#This Row],[Actual Finish]])&gt;0,1,MIN(1,N(Tasks[[#This Row],[% Complete]]))))</f>
        <v>0</v>
      </c>
      <c r="CN58" s="38" t="n">
        <f aca="false">IF(OR(NOT(Tasks[[#This Row],[_IsLeaf]]=1),Tasks[[#This Row],[Resource]]=""),0,N(Tasks[[#This Row],[Duration]])*HoursPerDay*IF(Tasks[[#This Row],[Units]]="",DefaultUnits,Tasks[[#This Row],[Units]]))</f>
        <v>0</v>
      </c>
      <c r="CO58" s="38" t="n">
        <f aca="false">IF(Tasks[[#This Row],[_LeafWork]]=0,0,Tasks[[#This Row],[_LeafWork]]*IFERROR(INDEX(res_Rate,MATCH(Tasks[[#This Row],[Resource]],res_Name,0)),0))</f>
        <v>0</v>
      </c>
      <c r="CP58" s="38" t="n">
        <f aca="false">Tasks[[#This Row],[_LeafWork]]+IF(Tasks[[#This Row],[_IsLeaf]]=1,SUMIFS(asg_Work,asg_TaskUID,Tasks[[#This Row],[UID]],asg_Valid,1),0)</f>
        <v>0</v>
      </c>
      <c r="CQ58" s="38" t="n">
        <f aca="false">Tasks[[#This Row],[_LeafCost]]+IF(Tasks[[#This Row],[_IsLeaf]]=1,SUMIFS(asg_Cost,asg_TaskUID,Tasks[[#This Row],[UID]],asg_Valid,1),0)</f>
        <v>0</v>
      </c>
      <c r="CR58" s="38" t="n">
        <f aca="false">IF(Tasks[[#This Row],[_LeafTotalCost]]=0,Tasks[[#This Row],[_LeafAC]],Tasks[[#This Row],[_LeafAC]]*Tasks[[#This Row],[_LeafCost]]/Tasks[[#This Row],[_LeafTotalCost]])</f>
        <v>0</v>
      </c>
      <c r="CS5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8" s="38" t="n">
        <f aca="false">IF(NOT(Tasks[[#This Row],[_IsLeaf]]=1),0,MAX(_xlfn.MAXIFS(Tasks[_Row],Tasks[Pred1 UID],Tasks[[#This Row],[UID]]),_xlfn.MAXIFS(Tasks[_Row],Tasks[Pred2 UID],Tasks[[#This Row],[UID]]),_xlfn.MAXIFS(Tasks[_Row],Tasks[Pred3 UID],Tasks[[#This Row],[UID]]),_xlfn.MAXIFS(Tasks[_Row],Tasks[Pred4 UID],Tasks[[#This Row],[UID]])))</f>
        <v>0</v>
      </c>
      <c r="DB5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8" s="115" t="str">
        <f aca="false">IF(NOT(Tasks[[#This Row],[_IsLeaf]]=1),"",IF(N(Tasks[[#This Row],[Duration]])&lt;=0,Tasks[[#This Row],[_LeafLateFinish]],WORKDAY.INTL(Tasks[[#This Row],[_LeafLateFinish]],-(Tasks[[#This Row],[Duration]]-1),WorkWeek,Holidays)))</f>
        <v/>
      </c>
      <c r="DE5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8" s="114" t="b">
        <f aca="false">AND(Tasks[[#This Row],[_IsLeaf]]=1,Tasks[[#This Row],[_LeafProgress]]&lt;1,N(Tasks[[#This Row],[_LeafTotalSlack]])&lt;=CriticalSlackDays)</f>
        <v>0</v>
      </c>
      <c r="DG58" s="38" t="n">
        <f aca="false">IF(AND(Tasks[[#This Row],[_IsLeaf]]=1,Tasks[[#This Row],[_ConstraintCode]]=1,Tasks[[#This Row],[Mode]]&lt;&gt;"Manual",N(Tasks[[#This Row],[Actual Start]])=0),MAX(0,N(Tasks[[#This Row],[Free Slack]])),0)</f>
        <v>0</v>
      </c>
      <c r="DH58" s="115" t="str">
        <f aca="false">IF(NOT(Tasks[[#This Row],[_IsLeaf]]=1),"",IF(Tasks[[#This Row],[_AlapShift]]=0,Tasks[[#This Row],[_LeafCalcStart]],WORKDAY.INTL(Tasks[[#This Row],[_LeafCalcStart]],Tasks[[#This Row],[_AlapShift]],WorkWeek,Holidays)))</f>
        <v/>
      </c>
      <c r="DI58" s="115" t="str">
        <f aca="false">IF(NOT(Tasks[[#This Row],[_IsLeaf]]=1),"",IF(Tasks[[#This Row],[_AlapShift]]=0,Tasks[[#This Row],[_LeafCalcFinish]],WORKDAY.INTL(Tasks[[#This Row],[_LeafCalcFinish]],Tasks[[#This Row],[_AlapShift]],WorkWeek,Holidays)))</f>
        <v/>
      </c>
      <c r="DJ58" s="115" t="str">
        <f aca="false">IF(NOT(Tasks[[#This Row],[_IsLeaf]]=1),"",IF(Tasks[[#This Row],[_AlapShift]]=0,Tasks[[#This Row],[_LeafFcstStart]],WORKDAY.INTL(Tasks[[#This Row],[_LeafFcstStart]],Tasks[[#This Row],[_AlapShift]],WorkWeek,Holidays)))</f>
        <v/>
      </c>
      <c r="DK58" s="115" t="str">
        <f aca="false">IF(NOT(Tasks[[#This Row],[_IsLeaf]]=1),"",IF(Tasks[[#This Row],[_AlapShift]]=0,Tasks[[#This Row],[_LeafFcstFinish]],WORKDAY.INTL(Tasks[[#This Row],[_LeafFcstFinish]],Tasks[[#This Row],[_AlapShift]],WorkWeek,Holidays)))</f>
        <v/>
      </c>
      <c r="DL58" s="115" t="str">
        <f aca="false">IF(Tasks[[#This Row],[Task Name]]="","",IF(Tasks[[#This Row],[_IsSummary]],MIN(INDEX(Tasks[_ShownCalcStart],Tasks[[#This Row],[_Row]]+1):INDEX(Tasks[_ShownCalcStart],Tasks[[#This Row],[_Row]]+Tasks[[#This Row],[_Descendants]])),Tasks[[#This Row],[_ShownCalcStart]]))</f>
        <v/>
      </c>
      <c r="DM58" s="115" t="str">
        <f aca="false">IF(Tasks[[#This Row],[Task Name]]="","",IF(Tasks[[#This Row],[_IsSummary]],MAX(INDEX(Tasks[_ShownCalcFinish],Tasks[[#This Row],[_Row]]+1):INDEX(Tasks[_ShownCalcFinish],Tasks[[#This Row],[_Row]]+Tasks[[#This Row],[_Descendants]])),Tasks[[#This Row],[_ShownCalcFinish]]))</f>
        <v/>
      </c>
      <c r="DN5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8" s="38" t="n">
        <f aca="false">IF(AND(Tasks[[#This Row],[_IsLeaf]]=1,Tasks[[#This Row],[_LeafTotalWork]]&gt;0),NETWORKDAYS.INTL(ProjectStart,Tasks[[#This Row],[_ShownFcstStart]],WorkWeek,Holidays),0)</f>
        <v>0</v>
      </c>
      <c r="EA58" s="38" t="n">
        <f aca="false">IF(AND(Tasks[[#This Row],[_IsLeaf]]=1,Tasks[[#This Row],[_LeafTotalWork]]&gt;0),MAX(Tasks[[#This Row],[_StartWorkday]],NETWORKDAYS.INTL(ProjectStart,Tasks[[#This Row],[_ShownFcstFinish]],WorkWeek,Holidays)),0)</f>
        <v>0</v>
      </c>
      <c r="EB58" s="38" t="n">
        <f aca="false">IF(AND(Tasks[[#This Row],[_IsLeaf]]=1,Tasks[[#This Row],[_LeafTotalWork]]&gt;0),Tasks[[#This Row],[_LeafWork]]/(Tasks[[#This Row],[_FinishWorkday]]-Tasks[[#This Row],[_StartWorkday]]+1),0)</f>
        <v>0</v>
      </c>
      <c r="EC58" s="38" t="n">
        <f aca="false">Tasks[[#This Row],[_WorkPerWorkday]]*(Tasks[[#This Row],[_StartWorkday]]-1)</f>
        <v>-0</v>
      </c>
      <c r="ED58" s="38" t="n">
        <f aca="false">IF(Tasks[[#This Row],[_IsLeaf]]=1,MAX(N(Tasks[[#This Row],[Duration]]),0.1),0)</f>
        <v>0</v>
      </c>
      <c r="EE58" s="38" t="n">
        <f aca="false">Tasks[[#This Row],[_WeightDur]]*Tasks[[#This Row],[_LeafProgress]]</f>
        <v>0</v>
      </c>
      <c r="EF5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8" s="38" t="str">
        <f aca="false">IF(AND(Tasks[[#This Row],[_IsLeaf]]=1,N(Tasks[[#This Row],[Duration]])=0,Tasks[[#This Row],[_LeafProgress]]&lt;1),Tasks[[#This Row],[_ShownFcstFinish]]+Tasks[[#This Row],[_Row]]/100000,"")</f>
        <v/>
      </c>
      <c r="EH5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8" s="38" t="n">
        <f aca="false">IF(NOT(Tasks[[#This Row],[_IsLeaf]]=1),0,IF(Tasks[[#This Row],[Baseline Cost]]="",Tasks[[#This Row],[_LeafTotalCost]],N(Tasks[[#This Row],[Baseline Cost]])))</f>
        <v>0</v>
      </c>
      <c r="EJ58" s="38" t="n">
        <f aca="false">Tasks[[#This Row],[_LeafBudget]]*Tasks[[#This Row],[_PlannedPct]]</f>
        <v>0</v>
      </c>
      <c r="EK58" s="38" t="n">
        <f aca="false">Tasks[[#This Row],[_LeafBudget]]*Tasks[[#This Row],[_LeafProgress]]</f>
        <v>0</v>
      </c>
      <c r="EL58" s="38" t="n">
        <f aca="false">IF(NOT(Tasks[[#This Row],[_IsLeaf]]=1),0,IF(Tasks[[#This Row],[Actual Cost]]="",Tasks[[#This Row],[_LeafTotalCost]]*Tasks[[#This Row],[_LeafProgress]],N(Tasks[[#This Row],[Actual Cost]])))</f>
        <v>0</v>
      </c>
      <c r="EM58" s="38" t="str">
        <f aca="false">IF(Tasks[[#This Row],[Task Name]]="","",LEFT(Tasks[[#This Row],[WBS]],FIND(".",Tasks[[#This Row],[WBS]]&amp;".")-1))</f>
        <v/>
      </c>
      <c r="EN58" s="38" t="str">
        <f aca="false">IF(AND(Tasks[[#This Row],[Task Name]]&lt;&gt;"",Tasks[[#This Row],[_Level]]=1),Tasks[[#This Row],[_Row]],"")</f>
        <v/>
      </c>
      <c r="EO58" s="38" t="str">
        <f aca="false">IF(AND(Tasks[[#This Row],[_IsLeaf]]=1,N(Tasks[[#This Row],[Duration]])=0),Tasks[[#This Row],[Planned Finish]]+Tasks[[#This Row],[_Row]]/100000,"")</f>
        <v/>
      </c>
      <c r="EP58" s="38" t="str">
        <f aca="false">IF(AND(Tasks[[#This Row],[_IsLeaf]]=1,Tasks[[#This Row],[_LeafProgress]]&lt;1,OR(N(Tasks[[#This Row],[Finish Var]])&gt;0,Tasks[[#This Row],[Status]]="Late Start")),MAX(0,Tasks[[#This Row],[Finish Var]])+1-Tasks[[#This Row],[_Row]]/1000000,"")</f>
        <v/>
      </c>
      <c r="EQ58" s="38" t="str">
        <f aca="false">IF(AND(Tasks[[#This Row],[_IsLeaf]]=1,N(Tasks[[#This Row],[Actual Start]])=0,Tasks[[#This Row],[_ShownFcstStart]]&gt;=StatusDate,Tasks[[#This Row],[_ShownFcstStart]]&lt;=LookaheadEnd),Tasks[[#This Row],[_ShownFcstStart]]+Tasks[[#This Row],[_Row]]/100000,"")</f>
        <v/>
      </c>
      <c r="ER58" s="38" t="str">
        <f aca="false">IF(AND(Tasks[[#This Row],[_IsLeaf]]=1,Tasks[[#This Row],[_LeafProgress]]&lt;1,Tasks[[#This Row],[_ShownFcstFinish]]&gt;=StatusDate,Tasks[[#This Row],[_ShownFcstFinish]]&lt;=LookaheadEnd),Tasks[[#This Row],[_ShownFcstFinish]]+Tasks[[#This Row],[_Row]]/100000,"")</f>
        <v/>
      </c>
      <c r="ES58" s="38" t="str">
        <f aca="false">IF(Tasks[[#This Row],[_LeafCritical]],Tasks[[#This Row],[_ShownFcstStart]]+Tasks[[#This Row],[_Row]]/100000,"")</f>
        <v/>
      </c>
      <c r="ET58" s="38" t="n">
        <f aca="false">Tasks[[#This Row],[_LeafWork]]*Tasks[[#This Row],[_LeafProgress]]</f>
        <v>0</v>
      </c>
      <c r="EU58" s="115" t="str">
        <f aca="false">IF(AND(Tasks[[#This Row],[_IsLeaf]]=1,Tasks[[#This Row],[_LeafProgress]]&gt;=1),IF(N(Tasks[[#This Row],[Actual Finish]])&gt;0,Tasks[[#This Row],[Actual Finish]],Tasks[[#This Row],[_ShownFcstFinish]]),"")</f>
        <v/>
      </c>
      <c r="EV58" s="38" t="n">
        <f aca="false">IF(Tasks[[#This Row],[_IsLeaf]]=1,N(Tasks[[#This Row],[Story Points]]),0)</f>
        <v>0</v>
      </c>
      <c r="EW58" s="38" t="str">
        <f aca="false">IF(AND(Tasks[[#This Row],[_IsLeaf]]=1,CurrentSprint&lt;&gt;"",Tasks[[#This Row],[Sprint]]=CurrentSprint),Tasks[[#This Row],[_Row]],"")</f>
        <v/>
      </c>
    </row>
    <row r="59" customFormat="false" ht="15" hidden="false" customHeight="false" outlineLevel="0" collapsed="false">
      <c r="A59" s="51" t="str">
        <f aca="false">IF(Tasks[[#This Row],[Task Name]]="","",COUNTA(Tasks[[#Headers],[Task Name]]:Tasks[[#This Row],[Task Name]])-1)</f>
        <v/>
      </c>
      <c r="B59" s="52" t="n">
        <v>54</v>
      </c>
      <c r="C5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52"/>
      <c r="E59" s="53"/>
      <c r="F59" s="52"/>
      <c r="G59" s="52"/>
      <c r="H59" s="52"/>
      <c r="I59" s="52"/>
      <c r="J59" s="52"/>
      <c r="K59" s="52"/>
      <c r="L59" s="52"/>
      <c r="M59" s="52"/>
      <c r="N59" s="52"/>
      <c r="O59" s="52"/>
      <c r="P59" s="52"/>
      <c r="Q59" s="52"/>
      <c r="R59" s="52"/>
      <c r="S59" s="53"/>
      <c r="T59" s="102"/>
      <c r="U59" s="102"/>
      <c r="V59" s="7"/>
      <c r="W59" s="7"/>
      <c r="X59" s="53"/>
      <c r="Y59" s="31" t="str">
        <f aca="false">IF(Tasks[[#This Row],[Task Name]]="","",IF(Tasks[[#This Row],[_IsSummary]],MIN(INDEX(Tasks[_ShownFcstStart],Tasks[[#This Row],[_Row]]+1):INDEX(Tasks[_ShownFcstStart],Tasks[[#This Row],[_Row]]+Tasks[[#This Row],[_Descendants]])),Tasks[[#This Row],[_ShownFcstStart]]))</f>
        <v/>
      </c>
      <c r="Z59" s="31" t="str">
        <f aca="false">IF(Tasks[[#This Row],[Task Name]]="","",IF(Tasks[[#This Row],[_IsSummary]],MAX(INDEX(Tasks[_ShownFcstFinish],Tasks[[#This Row],[_Row]]+1):INDEX(Tasks[_ShownFcstFinish],Tasks[[#This Row],[_Row]]+Tasks[[#This Row],[_Descendants]])),Tasks[[#This Row],[_ShownFcstFinish]]))</f>
        <v/>
      </c>
      <c r="AA59" s="51" t="str">
        <f aca="false">IF(Tasks[[#This Row],[Task Name]]="","",IF(Tasks[[#This Row],[Progress]]&gt;=1,"Complete",IF(OR(N(Tasks[[#This Row],[Actual Start]])&gt;0,Tasks[[#This Row],[Progress]]&gt;0),IF(Tasks[[#This Row],[Finish Var]]&gt;0,"Behind","In Progress"),IF(Tasks[[#This Row],[Planned Start]]&lt;StatusDate,"Late Start","Not Started"))))</f>
        <v/>
      </c>
      <c r="AB59" s="51" t="str">
        <f aca="false">IF(Tasks[[#This Row],[Task Name]]="","",IF(IF(Tasks[[#This Row],[_IsSummary]],COUNTIF(INDEX(Tasks[_LeafCritical],Tasks[[#This Row],[_Row]]+1):INDEX(Tasks[_LeafCritical],Tasks[[#This Row],[_Row]]+Tasks[[#This Row],[_Descendants]]),TRUE())&gt;0,Tasks[[#This Row],[_LeafCritical]]),"Yes",""))</f>
        <v/>
      </c>
      <c r="AC5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9" s="51" t="str">
        <f aca="false">IF(Tasks[[#This Row],[Task Name]]="","",IF(Tasks[[#This Row],[_Level]]&lt;=OutlineShowLevel,"Yes","No"))</f>
        <v/>
      </c>
      <c r="AE59" s="7"/>
      <c r="AF59" s="52"/>
      <c r="AG59" s="53"/>
      <c r="AH59" s="7"/>
      <c r="AI5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9" s="31" t="str">
        <f aca="false">IF(Tasks[[#This Row],[Task Name]]="","",IF(N(Tasks[[#This Row],[Baseline Start]])&gt;0,Tasks[[#This Row],[Baseline Start]],Tasks[[#This Row],[_CalcStart]]))</f>
        <v/>
      </c>
      <c r="AK59" s="31" t="str">
        <f aca="false">IF(Tasks[[#This Row],[Task Name]]="","",IF(N(Tasks[[#This Row],[Baseline Finish]])&gt;0,Tasks[[#This Row],[Baseline Finish]],Tasks[[#This Row],[_CalcFinish]]))</f>
        <v/>
      </c>
      <c r="AL5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9" s="31" t="str">
        <f aca="false">IF(Tasks[[#This Row],[Task Name]]="","",IF(Tasks[[#This Row],[_IsSummary]],MIN(INDEX(Tasks[_LeafLateStart],Tasks[[#This Row],[_Row]]+1):INDEX(Tasks[_LeafLateStart],Tasks[[#This Row],[_Row]]+Tasks[[#This Row],[_Descendants]])),Tasks[[#This Row],[_LeafLateStart]]))</f>
        <v/>
      </c>
      <c r="AN59" s="31" t="str">
        <f aca="false">IF(Tasks[[#This Row],[Task Name]]="","",IF(Tasks[[#This Row],[_IsSummary]],MAX(INDEX(Tasks[_LeafLateFinish],Tasks[[#This Row],[_Row]]+1):INDEX(Tasks[_LeafLateFinish],Tasks[[#This Row],[_Row]]+Tasks[[#This Row],[_Descendants]])),Tasks[[#This Row],[_LeafLateFinish]]))</f>
        <v/>
      </c>
      <c r="AO59" s="51" t="str">
        <f aca="false">IF(Tasks[[#This Row],[Task Name]]="","",IF(Tasks[[#This Row],[_IsSummary]],MIN(INDEX(Tasks[_LeafTotalSlack],Tasks[[#This Row],[_Row]]+1):INDEX(Tasks[_LeafTotalSlack],Tasks[[#This Row],[_Row]]+Tasks[[#This Row],[_Descendants]])),Tasks[[#This Row],[_LeafTotalSlack]]))</f>
        <v/>
      </c>
      <c r="AP5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9" s="110" t="str">
        <f aca="false">IF(Tasks[[#This Row],[Task Name]]="","",IF(Tasks[[#This Row],[_IsSummary]],SUM(INDEX(Tasks[_LeafTotalWork],Tasks[[#This Row],[_Row]]+1):INDEX(Tasks[_LeafTotalWork],Tasks[[#This Row],[_Row]]+Tasks[[#This Row],[_Descendants]])),Tasks[[#This Row],[_LeafTotalWork]]))</f>
        <v/>
      </c>
      <c r="AV5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9" s="111" t="str">
        <f aca="false">IF(Tasks[[#This Row],[Task Name]]="","",IF(Tasks[[#This Row],[_IsSummary]],SUM(INDEX(Tasks[_LeafTotalCost],Tasks[[#This Row],[_Row]]+1):INDEX(Tasks[_LeafTotalCost],Tasks[[#This Row],[_Row]]+Tasks[[#This Row],[_Descendants]])),Tasks[[#This Row],[_LeafTotalCost]]))</f>
        <v/>
      </c>
      <c r="AY59" s="112"/>
      <c r="AZ5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9" s="52"/>
      <c r="BB59" s="98"/>
      <c r="BC59" s="51" t="str">
        <f aca="false">IF(OR(Tasks[[#This Row],[Task Name]]="",Tasks[[#This Row],[Baseline Duration]]=""),"",Tasks[[#This Row],[BL Source Duration]]-N(Tasks[[#This Row],[Baseline Duration]]))</f>
        <v/>
      </c>
      <c r="BD59" s="110" t="str">
        <f aca="false">IF(OR(Tasks[[#This Row],[Task Name]]="",Tasks[[#This Row],[Baseline Work]]=""),"",Tasks[[#This Row],[Work]]-N(Tasks[[#This Row],[Baseline Work]]))</f>
        <v/>
      </c>
      <c r="BE59" s="111" t="str">
        <f aca="false">IF(OR(Tasks[[#This Row],[Task Name]]="",Tasks[[#This Row],[Baseline Cost]]=""),"",Tasks[[#This Row],[Cost]]-N(Tasks[[#This Row],[Baseline Cost]]))</f>
        <v/>
      </c>
      <c r="BF59" s="31" t="str">
        <f aca="false">IF(Tasks[[#This Row],[Task Name]]="","",Tasks[[#This Row],[Forecast Start]])</f>
        <v/>
      </c>
      <c r="BG59" s="31" t="str">
        <f aca="false">IF(Tasks[[#This Row],[Task Name]]="","",Tasks[[#This Row],[Forecast Finish]])</f>
        <v/>
      </c>
      <c r="BH59" s="51" t="str">
        <f aca="false">IF(Tasks[[#This Row],[Task Name]]="","",IF(Tasks[[#This Row],[_IsSummary]],NETWORKDAYS.INTL(Tasks[[#This Row],[Forecast Start]],Tasks[[#This Row],[Forecast Finish]],WorkWeek,Holidays),N(Tasks[[#This Row],[Duration]])))</f>
        <v/>
      </c>
      <c r="BI59" s="110" t="str">
        <f aca="false">IF(Tasks[[#This Row],[Task Name]]="","",Tasks[[#This Row],[Work]])</f>
        <v/>
      </c>
      <c r="BJ59" s="111" t="str">
        <f aca="false">IF(Tasks[[#This Row],[Task Name]]="","",Tasks[[#This Row],[Cost]])</f>
        <v/>
      </c>
      <c r="BK59" s="7"/>
      <c r="BL59" s="7"/>
      <c r="BM59" s="52"/>
      <c r="BN59" s="113"/>
      <c r="BO59" s="112"/>
      <c r="BP59" s="111" t="str">
        <f aca="false">IF(Tasks[[#This Row],[Task Name]]="","",IF(Tasks[[#This Row],[_IsSummary]],SUM(INDEX(Tasks[_LeafEV],Tasks[[#This Row],[_Row]]+1):INDEX(Tasks[_LeafEV],Tasks[[#This Row],[_Row]]+Tasks[[#This Row],[_Descendants]])),Tasks[[#This Row],[_LeafEV]]))</f>
        <v/>
      </c>
      <c r="BQ59" s="111" t="str">
        <f aca="false">IF(Tasks[[#This Row],[Task Name]]="","",IF(Tasks[[#This Row],[_IsSummary]],SUM(INDEX(Tasks[_LeafBudget],Tasks[[#This Row],[_Row]]+1):INDEX(Tasks[_LeafBudget],Tasks[[#This Row],[_Row]]+Tasks[[#This Row],[_Descendants]])),Tasks[[#This Row],[_LeafBudget]]))</f>
        <v/>
      </c>
      <c r="BR59" s="111" t="str">
        <f aca="false">IF(Tasks[[#This Row],[Task Name]]="","",IF(Tasks[[#This Row],[_IsSummary]],SUM(INDEX(Tasks[_LeafPV],Tasks[[#This Row],[_Row]]+1):INDEX(Tasks[_LeafPV],Tasks[[#This Row],[_Row]]+Tasks[[#This Row],[_Descendants]])),Tasks[[#This Row],[_LeafPV]]))</f>
        <v/>
      </c>
      <c r="BS59" s="111" t="str">
        <f aca="false">IF(Tasks[[#This Row],[Task Name]]="","",IF(Tasks[[#This Row],[_IsSummary]],SUM(INDEX(Tasks[_LeafAC],Tasks[[#This Row],[_Row]]+1):INDEX(Tasks[_LeafAC],Tasks[[#This Row],[_Row]]+Tasks[[#This Row],[_Descendants]])),Tasks[[#This Row],[_LeafAC]]))</f>
        <v/>
      </c>
      <c r="BT59" s="38" t="str">
        <f aca="false">IF(Tasks[[#This Row],[Task Name]]="","",MAX(1,N(Tasks[[#This Row],[Level]])))</f>
        <v/>
      </c>
      <c r="BU59" s="38" t="n">
        <f aca="false">ROW()-ROW(Tasks[[#Headers],[ID]])</f>
        <v>54</v>
      </c>
      <c r="BV59" s="38" t="n">
        <f aca="false">IF(OR(Tasks[[#This Row],[Task Name]]="",Tasks[[#This Row],[_Level]]&lt;=1),0,IFERROR(LOOKUP(2,1/(Tasks[[#Headers],[_Level]]:Tasks[[#This Row],[_Level]]=Tasks[[#This Row],[_Level]]-1),ROW(Tasks[[#Headers],[_Level]]:Tasks[[#This Row],[_Level]])),0))</f>
        <v>0</v>
      </c>
      <c r="BW59" s="38" t="n">
        <f aca="false">IFERROR(N(INDEX(Tasks[_Level],Tasks[[#This Row],[_Row]]+1)),0)</f>
        <v>0</v>
      </c>
      <c r="BX59" s="114" t="b">
        <f aca="false">AND(Tasks[[#This Row],[Task Name]]&lt;&gt;"",Tasks[[#This Row],[_NextLevel]]&gt;Tasks[[#This Row],[_Level]])</f>
        <v>0</v>
      </c>
      <c r="BY59" s="38" t="n">
        <f aca="false">IF(Tasks[[#This Row],[_IsSummary]],COUNTIF(Tasks[WBS],Tasks[[#This Row],[WBS]]&amp;".*"),0)</f>
        <v>0</v>
      </c>
      <c r="BZ59" s="38" t="n">
        <f aca="false">IF(AND(Tasks[[#This Row],[Task Name]]&lt;&gt;"",NOT(Tasks[[#This Row],[_IsSummary]])),1,0)</f>
        <v>0</v>
      </c>
      <c r="CA59" s="38" t="n">
        <f aca="false">IF(N(Tasks[[#This Row],[Pred1 UID]])=0,0,IFERROR(MATCH(Tasks[[#This Row],[Pred1 UID]],Tasks[UID],0),-1))</f>
        <v>0</v>
      </c>
      <c r="CB59" s="38" t="n">
        <f aca="false">IF(N(Tasks[[#This Row],[Pred2 UID]])=0,0,IFERROR(MATCH(Tasks[[#This Row],[Pred2 UID]],Tasks[UID],0),-1))</f>
        <v>0</v>
      </c>
      <c r="CC59" s="38" t="n">
        <f aca="false">IF(N(Tasks[[#This Row],[Pred3 UID]])=0,0,IFERROR(MATCH(Tasks[[#This Row],[Pred3 UID]],Tasks[UID],0),-1))</f>
        <v>0</v>
      </c>
      <c r="CD59" s="38" t="n">
        <f aca="false">IF(N(Tasks[[#This Row],[Pred4 UID]])=0,0,IFERROR(MATCH(Tasks[[#This Row],[Pred4 UID]],Tasks[UID],0),-1))</f>
        <v>0</v>
      </c>
      <c r="CE5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9" s="115" t="n">
        <f aca="false">IF(OR(Tasks[[#This Row],[_ConstraintCode]]=2,Tasks[[#This Row],[_ConstraintCode]]=3,Tasks[[#This Row],[_ConstraintCode]]=4,Tasks[[#This Row],[_ConstraintCode]]=6),Tasks[[#This Row],[_ConstraintStart]],0)</f>
        <v>0</v>
      </c>
      <c r="CH59" s="115" t="n">
        <f aca="false">IF(OR(Tasks[[#This Row],[_ConstraintCode]]=2,Tasks[[#This Row],[_ConstraintCode]]=3,Tasks[[#This Row],[_ConstraintCode]]=5,Tasks[[#This Row],[_ConstraintCode]]=7),Tasks[[#This Row],[_ConstraintStart]],2958465)</f>
        <v>2958465</v>
      </c>
      <c r="CI5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9" s="115" t="str">
        <f aca="false">IF(NOT(Tasks[[#This Row],[_IsLeaf]]=1),"",IF(N(Tasks[[#This Row],[Duration]])&lt;=0,Tasks[[#This Row],[_LeafCalcStart]],WORKDAY.INTL(Tasks[[#This Row],[_LeafCalcStart]],Tasks[[#This Row],[Duration]]-1,WorkWeek,Holidays)))</f>
        <v/>
      </c>
      <c r="CK5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9" s="38" t="n">
        <f aca="false">IF(NOT(Tasks[[#This Row],[_IsLeaf]]=1),0,IF(N(Tasks[[#This Row],[Actual Finish]])&gt;0,1,MIN(1,N(Tasks[[#This Row],[% Complete]]))))</f>
        <v>0</v>
      </c>
      <c r="CN59" s="38" t="n">
        <f aca="false">IF(OR(NOT(Tasks[[#This Row],[_IsLeaf]]=1),Tasks[[#This Row],[Resource]]=""),0,N(Tasks[[#This Row],[Duration]])*HoursPerDay*IF(Tasks[[#This Row],[Units]]="",DefaultUnits,Tasks[[#This Row],[Units]]))</f>
        <v>0</v>
      </c>
      <c r="CO59" s="38" t="n">
        <f aca="false">IF(Tasks[[#This Row],[_LeafWork]]=0,0,Tasks[[#This Row],[_LeafWork]]*IFERROR(INDEX(res_Rate,MATCH(Tasks[[#This Row],[Resource]],res_Name,0)),0))</f>
        <v>0</v>
      </c>
      <c r="CP59" s="38" t="n">
        <f aca="false">Tasks[[#This Row],[_LeafWork]]+IF(Tasks[[#This Row],[_IsLeaf]]=1,SUMIFS(asg_Work,asg_TaskUID,Tasks[[#This Row],[UID]],asg_Valid,1),0)</f>
        <v>0</v>
      </c>
      <c r="CQ59" s="38" t="n">
        <f aca="false">Tasks[[#This Row],[_LeafCost]]+IF(Tasks[[#This Row],[_IsLeaf]]=1,SUMIFS(asg_Cost,asg_TaskUID,Tasks[[#This Row],[UID]],asg_Valid,1),0)</f>
        <v>0</v>
      </c>
      <c r="CR59" s="38" t="n">
        <f aca="false">IF(Tasks[[#This Row],[_LeafTotalCost]]=0,Tasks[[#This Row],[_LeafAC]],Tasks[[#This Row],[_LeafAC]]*Tasks[[#This Row],[_LeafCost]]/Tasks[[#This Row],[_LeafTotalCost]])</f>
        <v>0</v>
      </c>
      <c r="CS5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9" s="38" t="n">
        <f aca="false">IF(NOT(Tasks[[#This Row],[_IsLeaf]]=1),0,MAX(_xlfn.MAXIFS(Tasks[_Row],Tasks[Pred1 UID],Tasks[[#This Row],[UID]]),_xlfn.MAXIFS(Tasks[_Row],Tasks[Pred2 UID],Tasks[[#This Row],[UID]]),_xlfn.MAXIFS(Tasks[_Row],Tasks[Pred3 UID],Tasks[[#This Row],[UID]]),_xlfn.MAXIFS(Tasks[_Row],Tasks[Pred4 UID],Tasks[[#This Row],[UID]])))</f>
        <v>0</v>
      </c>
      <c r="DB5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9" s="115" t="str">
        <f aca="false">IF(NOT(Tasks[[#This Row],[_IsLeaf]]=1),"",IF(N(Tasks[[#This Row],[Duration]])&lt;=0,Tasks[[#This Row],[_LeafLateFinish]],WORKDAY.INTL(Tasks[[#This Row],[_LeafLateFinish]],-(Tasks[[#This Row],[Duration]]-1),WorkWeek,Holidays)))</f>
        <v/>
      </c>
      <c r="DE5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9" s="114" t="b">
        <f aca="false">AND(Tasks[[#This Row],[_IsLeaf]]=1,Tasks[[#This Row],[_LeafProgress]]&lt;1,N(Tasks[[#This Row],[_LeafTotalSlack]])&lt;=CriticalSlackDays)</f>
        <v>0</v>
      </c>
      <c r="DG59" s="38" t="n">
        <f aca="false">IF(AND(Tasks[[#This Row],[_IsLeaf]]=1,Tasks[[#This Row],[_ConstraintCode]]=1,Tasks[[#This Row],[Mode]]&lt;&gt;"Manual",N(Tasks[[#This Row],[Actual Start]])=0),MAX(0,N(Tasks[[#This Row],[Free Slack]])),0)</f>
        <v>0</v>
      </c>
      <c r="DH59" s="115" t="str">
        <f aca="false">IF(NOT(Tasks[[#This Row],[_IsLeaf]]=1),"",IF(Tasks[[#This Row],[_AlapShift]]=0,Tasks[[#This Row],[_LeafCalcStart]],WORKDAY.INTL(Tasks[[#This Row],[_LeafCalcStart]],Tasks[[#This Row],[_AlapShift]],WorkWeek,Holidays)))</f>
        <v/>
      </c>
      <c r="DI59" s="115" t="str">
        <f aca="false">IF(NOT(Tasks[[#This Row],[_IsLeaf]]=1),"",IF(Tasks[[#This Row],[_AlapShift]]=0,Tasks[[#This Row],[_LeafCalcFinish]],WORKDAY.INTL(Tasks[[#This Row],[_LeafCalcFinish]],Tasks[[#This Row],[_AlapShift]],WorkWeek,Holidays)))</f>
        <v/>
      </c>
      <c r="DJ59" s="115" t="str">
        <f aca="false">IF(NOT(Tasks[[#This Row],[_IsLeaf]]=1),"",IF(Tasks[[#This Row],[_AlapShift]]=0,Tasks[[#This Row],[_LeafFcstStart]],WORKDAY.INTL(Tasks[[#This Row],[_LeafFcstStart]],Tasks[[#This Row],[_AlapShift]],WorkWeek,Holidays)))</f>
        <v/>
      </c>
      <c r="DK59" s="115" t="str">
        <f aca="false">IF(NOT(Tasks[[#This Row],[_IsLeaf]]=1),"",IF(Tasks[[#This Row],[_AlapShift]]=0,Tasks[[#This Row],[_LeafFcstFinish]],WORKDAY.INTL(Tasks[[#This Row],[_LeafFcstFinish]],Tasks[[#This Row],[_AlapShift]],WorkWeek,Holidays)))</f>
        <v/>
      </c>
      <c r="DL59" s="115" t="str">
        <f aca="false">IF(Tasks[[#This Row],[Task Name]]="","",IF(Tasks[[#This Row],[_IsSummary]],MIN(INDEX(Tasks[_ShownCalcStart],Tasks[[#This Row],[_Row]]+1):INDEX(Tasks[_ShownCalcStart],Tasks[[#This Row],[_Row]]+Tasks[[#This Row],[_Descendants]])),Tasks[[#This Row],[_ShownCalcStart]]))</f>
        <v/>
      </c>
      <c r="DM59" s="115" t="str">
        <f aca="false">IF(Tasks[[#This Row],[Task Name]]="","",IF(Tasks[[#This Row],[_IsSummary]],MAX(INDEX(Tasks[_ShownCalcFinish],Tasks[[#This Row],[_Row]]+1):INDEX(Tasks[_ShownCalcFinish],Tasks[[#This Row],[_Row]]+Tasks[[#This Row],[_Descendants]])),Tasks[[#This Row],[_ShownCalcFinish]]))</f>
        <v/>
      </c>
      <c r="DN5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9" s="38" t="n">
        <f aca="false">IF(AND(Tasks[[#This Row],[_IsLeaf]]=1,Tasks[[#This Row],[_LeafTotalWork]]&gt;0),NETWORKDAYS.INTL(ProjectStart,Tasks[[#This Row],[_ShownFcstStart]],WorkWeek,Holidays),0)</f>
        <v>0</v>
      </c>
      <c r="EA59" s="38" t="n">
        <f aca="false">IF(AND(Tasks[[#This Row],[_IsLeaf]]=1,Tasks[[#This Row],[_LeafTotalWork]]&gt;0),MAX(Tasks[[#This Row],[_StartWorkday]],NETWORKDAYS.INTL(ProjectStart,Tasks[[#This Row],[_ShownFcstFinish]],WorkWeek,Holidays)),0)</f>
        <v>0</v>
      </c>
      <c r="EB59" s="38" t="n">
        <f aca="false">IF(AND(Tasks[[#This Row],[_IsLeaf]]=1,Tasks[[#This Row],[_LeafTotalWork]]&gt;0),Tasks[[#This Row],[_LeafWork]]/(Tasks[[#This Row],[_FinishWorkday]]-Tasks[[#This Row],[_StartWorkday]]+1),0)</f>
        <v>0</v>
      </c>
      <c r="EC59" s="38" t="n">
        <f aca="false">Tasks[[#This Row],[_WorkPerWorkday]]*(Tasks[[#This Row],[_StartWorkday]]-1)</f>
        <v>-0</v>
      </c>
      <c r="ED59" s="38" t="n">
        <f aca="false">IF(Tasks[[#This Row],[_IsLeaf]]=1,MAX(N(Tasks[[#This Row],[Duration]]),0.1),0)</f>
        <v>0</v>
      </c>
      <c r="EE59" s="38" t="n">
        <f aca="false">Tasks[[#This Row],[_WeightDur]]*Tasks[[#This Row],[_LeafProgress]]</f>
        <v>0</v>
      </c>
      <c r="EF5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9" s="38" t="str">
        <f aca="false">IF(AND(Tasks[[#This Row],[_IsLeaf]]=1,N(Tasks[[#This Row],[Duration]])=0,Tasks[[#This Row],[_LeafProgress]]&lt;1),Tasks[[#This Row],[_ShownFcstFinish]]+Tasks[[#This Row],[_Row]]/100000,"")</f>
        <v/>
      </c>
      <c r="EH5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9" s="38" t="n">
        <f aca="false">IF(NOT(Tasks[[#This Row],[_IsLeaf]]=1),0,IF(Tasks[[#This Row],[Baseline Cost]]="",Tasks[[#This Row],[_LeafTotalCost]],N(Tasks[[#This Row],[Baseline Cost]])))</f>
        <v>0</v>
      </c>
      <c r="EJ59" s="38" t="n">
        <f aca="false">Tasks[[#This Row],[_LeafBudget]]*Tasks[[#This Row],[_PlannedPct]]</f>
        <v>0</v>
      </c>
      <c r="EK59" s="38" t="n">
        <f aca="false">Tasks[[#This Row],[_LeafBudget]]*Tasks[[#This Row],[_LeafProgress]]</f>
        <v>0</v>
      </c>
      <c r="EL59" s="38" t="n">
        <f aca="false">IF(NOT(Tasks[[#This Row],[_IsLeaf]]=1),0,IF(Tasks[[#This Row],[Actual Cost]]="",Tasks[[#This Row],[_LeafTotalCost]]*Tasks[[#This Row],[_LeafProgress]],N(Tasks[[#This Row],[Actual Cost]])))</f>
        <v>0</v>
      </c>
      <c r="EM59" s="38" t="str">
        <f aca="false">IF(Tasks[[#This Row],[Task Name]]="","",LEFT(Tasks[[#This Row],[WBS]],FIND(".",Tasks[[#This Row],[WBS]]&amp;".")-1))</f>
        <v/>
      </c>
      <c r="EN59" s="38" t="str">
        <f aca="false">IF(AND(Tasks[[#This Row],[Task Name]]&lt;&gt;"",Tasks[[#This Row],[_Level]]=1),Tasks[[#This Row],[_Row]],"")</f>
        <v/>
      </c>
      <c r="EO59" s="38" t="str">
        <f aca="false">IF(AND(Tasks[[#This Row],[_IsLeaf]]=1,N(Tasks[[#This Row],[Duration]])=0),Tasks[[#This Row],[Planned Finish]]+Tasks[[#This Row],[_Row]]/100000,"")</f>
        <v/>
      </c>
      <c r="EP59" s="38" t="str">
        <f aca="false">IF(AND(Tasks[[#This Row],[_IsLeaf]]=1,Tasks[[#This Row],[_LeafProgress]]&lt;1,OR(N(Tasks[[#This Row],[Finish Var]])&gt;0,Tasks[[#This Row],[Status]]="Late Start")),MAX(0,Tasks[[#This Row],[Finish Var]])+1-Tasks[[#This Row],[_Row]]/1000000,"")</f>
        <v/>
      </c>
      <c r="EQ59" s="38" t="str">
        <f aca="false">IF(AND(Tasks[[#This Row],[_IsLeaf]]=1,N(Tasks[[#This Row],[Actual Start]])=0,Tasks[[#This Row],[_ShownFcstStart]]&gt;=StatusDate,Tasks[[#This Row],[_ShownFcstStart]]&lt;=LookaheadEnd),Tasks[[#This Row],[_ShownFcstStart]]+Tasks[[#This Row],[_Row]]/100000,"")</f>
        <v/>
      </c>
      <c r="ER59" s="38" t="str">
        <f aca="false">IF(AND(Tasks[[#This Row],[_IsLeaf]]=1,Tasks[[#This Row],[_LeafProgress]]&lt;1,Tasks[[#This Row],[_ShownFcstFinish]]&gt;=StatusDate,Tasks[[#This Row],[_ShownFcstFinish]]&lt;=LookaheadEnd),Tasks[[#This Row],[_ShownFcstFinish]]+Tasks[[#This Row],[_Row]]/100000,"")</f>
        <v/>
      </c>
      <c r="ES59" s="38" t="str">
        <f aca="false">IF(Tasks[[#This Row],[_LeafCritical]],Tasks[[#This Row],[_ShownFcstStart]]+Tasks[[#This Row],[_Row]]/100000,"")</f>
        <v/>
      </c>
      <c r="ET59" s="38" t="n">
        <f aca="false">Tasks[[#This Row],[_LeafWork]]*Tasks[[#This Row],[_LeafProgress]]</f>
        <v>0</v>
      </c>
      <c r="EU59" s="115" t="str">
        <f aca="false">IF(AND(Tasks[[#This Row],[_IsLeaf]]=1,Tasks[[#This Row],[_LeafProgress]]&gt;=1),IF(N(Tasks[[#This Row],[Actual Finish]])&gt;0,Tasks[[#This Row],[Actual Finish]],Tasks[[#This Row],[_ShownFcstFinish]]),"")</f>
        <v/>
      </c>
      <c r="EV59" s="38" t="n">
        <f aca="false">IF(Tasks[[#This Row],[_IsLeaf]]=1,N(Tasks[[#This Row],[Story Points]]),0)</f>
        <v>0</v>
      </c>
      <c r="EW59" s="38" t="str">
        <f aca="false">IF(AND(Tasks[[#This Row],[_IsLeaf]]=1,CurrentSprint&lt;&gt;"",Tasks[[#This Row],[Sprint]]=CurrentSprint),Tasks[[#This Row],[_Row]],"")</f>
        <v/>
      </c>
    </row>
    <row r="60" customFormat="false" ht="15" hidden="false" customHeight="false" outlineLevel="0" collapsed="false">
      <c r="A60" s="51" t="str">
        <f aca="false">IF(Tasks[[#This Row],[Task Name]]="","",COUNTA(Tasks[[#Headers],[Task Name]]:Tasks[[#This Row],[Task Name]])-1)</f>
        <v/>
      </c>
      <c r="B60" s="52" t="n">
        <v>55</v>
      </c>
      <c r="C6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52"/>
      <c r="E60" s="53"/>
      <c r="F60" s="52"/>
      <c r="G60" s="52"/>
      <c r="H60" s="52"/>
      <c r="I60" s="52"/>
      <c r="J60" s="52"/>
      <c r="K60" s="52"/>
      <c r="L60" s="52"/>
      <c r="M60" s="52"/>
      <c r="N60" s="52"/>
      <c r="O60" s="52"/>
      <c r="P60" s="52"/>
      <c r="Q60" s="52"/>
      <c r="R60" s="52"/>
      <c r="S60" s="53"/>
      <c r="T60" s="102"/>
      <c r="U60" s="102"/>
      <c r="V60" s="7"/>
      <c r="W60" s="7"/>
      <c r="X60" s="53"/>
      <c r="Y60" s="31" t="str">
        <f aca="false">IF(Tasks[[#This Row],[Task Name]]="","",IF(Tasks[[#This Row],[_IsSummary]],MIN(INDEX(Tasks[_ShownFcstStart],Tasks[[#This Row],[_Row]]+1):INDEX(Tasks[_ShownFcstStart],Tasks[[#This Row],[_Row]]+Tasks[[#This Row],[_Descendants]])),Tasks[[#This Row],[_ShownFcstStart]]))</f>
        <v/>
      </c>
      <c r="Z60" s="31" t="str">
        <f aca="false">IF(Tasks[[#This Row],[Task Name]]="","",IF(Tasks[[#This Row],[_IsSummary]],MAX(INDEX(Tasks[_ShownFcstFinish],Tasks[[#This Row],[_Row]]+1):INDEX(Tasks[_ShownFcstFinish],Tasks[[#This Row],[_Row]]+Tasks[[#This Row],[_Descendants]])),Tasks[[#This Row],[_ShownFcstFinish]]))</f>
        <v/>
      </c>
      <c r="AA60" s="51" t="str">
        <f aca="false">IF(Tasks[[#This Row],[Task Name]]="","",IF(Tasks[[#This Row],[Progress]]&gt;=1,"Complete",IF(OR(N(Tasks[[#This Row],[Actual Start]])&gt;0,Tasks[[#This Row],[Progress]]&gt;0),IF(Tasks[[#This Row],[Finish Var]]&gt;0,"Behind","In Progress"),IF(Tasks[[#This Row],[Planned Start]]&lt;StatusDate,"Late Start","Not Started"))))</f>
        <v/>
      </c>
      <c r="AB60" s="51" t="str">
        <f aca="false">IF(Tasks[[#This Row],[Task Name]]="","",IF(IF(Tasks[[#This Row],[_IsSummary]],COUNTIF(INDEX(Tasks[_LeafCritical],Tasks[[#This Row],[_Row]]+1):INDEX(Tasks[_LeafCritical],Tasks[[#This Row],[_Row]]+Tasks[[#This Row],[_Descendants]]),TRUE())&gt;0,Tasks[[#This Row],[_LeafCritical]]),"Yes",""))</f>
        <v/>
      </c>
      <c r="AC6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0" s="51" t="str">
        <f aca="false">IF(Tasks[[#This Row],[Task Name]]="","",IF(Tasks[[#This Row],[_Level]]&lt;=OutlineShowLevel,"Yes","No"))</f>
        <v/>
      </c>
      <c r="AE60" s="7"/>
      <c r="AF60" s="52"/>
      <c r="AG60" s="53"/>
      <c r="AH60" s="7"/>
      <c r="AI6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0" s="31" t="str">
        <f aca="false">IF(Tasks[[#This Row],[Task Name]]="","",IF(N(Tasks[[#This Row],[Baseline Start]])&gt;0,Tasks[[#This Row],[Baseline Start]],Tasks[[#This Row],[_CalcStart]]))</f>
        <v/>
      </c>
      <c r="AK60" s="31" t="str">
        <f aca="false">IF(Tasks[[#This Row],[Task Name]]="","",IF(N(Tasks[[#This Row],[Baseline Finish]])&gt;0,Tasks[[#This Row],[Baseline Finish]],Tasks[[#This Row],[_CalcFinish]]))</f>
        <v/>
      </c>
      <c r="AL6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0" s="31" t="str">
        <f aca="false">IF(Tasks[[#This Row],[Task Name]]="","",IF(Tasks[[#This Row],[_IsSummary]],MIN(INDEX(Tasks[_LeafLateStart],Tasks[[#This Row],[_Row]]+1):INDEX(Tasks[_LeafLateStart],Tasks[[#This Row],[_Row]]+Tasks[[#This Row],[_Descendants]])),Tasks[[#This Row],[_LeafLateStart]]))</f>
        <v/>
      </c>
      <c r="AN60" s="31" t="str">
        <f aca="false">IF(Tasks[[#This Row],[Task Name]]="","",IF(Tasks[[#This Row],[_IsSummary]],MAX(INDEX(Tasks[_LeafLateFinish],Tasks[[#This Row],[_Row]]+1):INDEX(Tasks[_LeafLateFinish],Tasks[[#This Row],[_Row]]+Tasks[[#This Row],[_Descendants]])),Tasks[[#This Row],[_LeafLateFinish]]))</f>
        <v/>
      </c>
      <c r="AO60" s="51" t="str">
        <f aca="false">IF(Tasks[[#This Row],[Task Name]]="","",IF(Tasks[[#This Row],[_IsSummary]],MIN(INDEX(Tasks[_LeafTotalSlack],Tasks[[#This Row],[_Row]]+1):INDEX(Tasks[_LeafTotalSlack],Tasks[[#This Row],[_Row]]+Tasks[[#This Row],[_Descendants]])),Tasks[[#This Row],[_LeafTotalSlack]]))</f>
        <v/>
      </c>
      <c r="AP6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0" s="110" t="str">
        <f aca="false">IF(Tasks[[#This Row],[Task Name]]="","",IF(Tasks[[#This Row],[_IsSummary]],SUM(INDEX(Tasks[_LeafTotalWork],Tasks[[#This Row],[_Row]]+1):INDEX(Tasks[_LeafTotalWork],Tasks[[#This Row],[_Row]]+Tasks[[#This Row],[_Descendants]])),Tasks[[#This Row],[_LeafTotalWork]]))</f>
        <v/>
      </c>
      <c r="AV6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0" s="111" t="str">
        <f aca="false">IF(Tasks[[#This Row],[Task Name]]="","",IF(Tasks[[#This Row],[_IsSummary]],SUM(INDEX(Tasks[_LeafTotalCost],Tasks[[#This Row],[_Row]]+1):INDEX(Tasks[_LeafTotalCost],Tasks[[#This Row],[_Row]]+Tasks[[#This Row],[_Descendants]])),Tasks[[#This Row],[_LeafTotalCost]]))</f>
        <v/>
      </c>
      <c r="AY60" s="112"/>
      <c r="AZ6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0" s="52"/>
      <c r="BB60" s="98"/>
      <c r="BC60" s="51" t="str">
        <f aca="false">IF(OR(Tasks[[#This Row],[Task Name]]="",Tasks[[#This Row],[Baseline Duration]]=""),"",Tasks[[#This Row],[BL Source Duration]]-N(Tasks[[#This Row],[Baseline Duration]]))</f>
        <v/>
      </c>
      <c r="BD60" s="110" t="str">
        <f aca="false">IF(OR(Tasks[[#This Row],[Task Name]]="",Tasks[[#This Row],[Baseline Work]]=""),"",Tasks[[#This Row],[Work]]-N(Tasks[[#This Row],[Baseline Work]]))</f>
        <v/>
      </c>
      <c r="BE60" s="111" t="str">
        <f aca="false">IF(OR(Tasks[[#This Row],[Task Name]]="",Tasks[[#This Row],[Baseline Cost]]=""),"",Tasks[[#This Row],[Cost]]-N(Tasks[[#This Row],[Baseline Cost]]))</f>
        <v/>
      </c>
      <c r="BF60" s="31" t="str">
        <f aca="false">IF(Tasks[[#This Row],[Task Name]]="","",Tasks[[#This Row],[Forecast Start]])</f>
        <v/>
      </c>
      <c r="BG60" s="31" t="str">
        <f aca="false">IF(Tasks[[#This Row],[Task Name]]="","",Tasks[[#This Row],[Forecast Finish]])</f>
        <v/>
      </c>
      <c r="BH60" s="51" t="str">
        <f aca="false">IF(Tasks[[#This Row],[Task Name]]="","",IF(Tasks[[#This Row],[_IsSummary]],NETWORKDAYS.INTL(Tasks[[#This Row],[Forecast Start]],Tasks[[#This Row],[Forecast Finish]],WorkWeek,Holidays),N(Tasks[[#This Row],[Duration]])))</f>
        <v/>
      </c>
      <c r="BI60" s="110" t="str">
        <f aca="false">IF(Tasks[[#This Row],[Task Name]]="","",Tasks[[#This Row],[Work]])</f>
        <v/>
      </c>
      <c r="BJ60" s="111" t="str">
        <f aca="false">IF(Tasks[[#This Row],[Task Name]]="","",Tasks[[#This Row],[Cost]])</f>
        <v/>
      </c>
      <c r="BK60" s="7"/>
      <c r="BL60" s="7"/>
      <c r="BM60" s="52"/>
      <c r="BN60" s="113"/>
      <c r="BO60" s="112"/>
      <c r="BP60" s="111" t="str">
        <f aca="false">IF(Tasks[[#This Row],[Task Name]]="","",IF(Tasks[[#This Row],[_IsSummary]],SUM(INDEX(Tasks[_LeafEV],Tasks[[#This Row],[_Row]]+1):INDEX(Tasks[_LeafEV],Tasks[[#This Row],[_Row]]+Tasks[[#This Row],[_Descendants]])),Tasks[[#This Row],[_LeafEV]]))</f>
        <v/>
      </c>
      <c r="BQ60" s="111" t="str">
        <f aca="false">IF(Tasks[[#This Row],[Task Name]]="","",IF(Tasks[[#This Row],[_IsSummary]],SUM(INDEX(Tasks[_LeafBudget],Tasks[[#This Row],[_Row]]+1):INDEX(Tasks[_LeafBudget],Tasks[[#This Row],[_Row]]+Tasks[[#This Row],[_Descendants]])),Tasks[[#This Row],[_LeafBudget]]))</f>
        <v/>
      </c>
      <c r="BR60" s="111" t="str">
        <f aca="false">IF(Tasks[[#This Row],[Task Name]]="","",IF(Tasks[[#This Row],[_IsSummary]],SUM(INDEX(Tasks[_LeafPV],Tasks[[#This Row],[_Row]]+1):INDEX(Tasks[_LeafPV],Tasks[[#This Row],[_Row]]+Tasks[[#This Row],[_Descendants]])),Tasks[[#This Row],[_LeafPV]]))</f>
        <v/>
      </c>
      <c r="BS60" s="111" t="str">
        <f aca="false">IF(Tasks[[#This Row],[Task Name]]="","",IF(Tasks[[#This Row],[_IsSummary]],SUM(INDEX(Tasks[_LeafAC],Tasks[[#This Row],[_Row]]+1):INDEX(Tasks[_LeafAC],Tasks[[#This Row],[_Row]]+Tasks[[#This Row],[_Descendants]])),Tasks[[#This Row],[_LeafAC]]))</f>
        <v/>
      </c>
      <c r="BT60" s="38" t="str">
        <f aca="false">IF(Tasks[[#This Row],[Task Name]]="","",MAX(1,N(Tasks[[#This Row],[Level]])))</f>
        <v/>
      </c>
      <c r="BU60" s="38" t="n">
        <f aca="false">ROW()-ROW(Tasks[[#Headers],[ID]])</f>
        <v>55</v>
      </c>
      <c r="BV60" s="38" t="n">
        <f aca="false">IF(OR(Tasks[[#This Row],[Task Name]]="",Tasks[[#This Row],[_Level]]&lt;=1),0,IFERROR(LOOKUP(2,1/(Tasks[[#Headers],[_Level]]:Tasks[[#This Row],[_Level]]=Tasks[[#This Row],[_Level]]-1),ROW(Tasks[[#Headers],[_Level]]:Tasks[[#This Row],[_Level]])),0))</f>
        <v>0</v>
      </c>
      <c r="BW60" s="38" t="n">
        <f aca="false">IFERROR(N(INDEX(Tasks[_Level],Tasks[[#This Row],[_Row]]+1)),0)</f>
        <v>0</v>
      </c>
      <c r="BX60" s="114" t="b">
        <f aca="false">AND(Tasks[[#This Row],[Task Name]]&lt;&gt;"",Tasks[[#This Row],[_NextLevel]]&gt;Tasks[[#This Row],[_Level]])</f>
        <v>0</v>
      </c>
      <c r="BY60" s="38" t="n">
        <f aca="false">IF(Tasks[[#This Row],[_IsSummary]],COUNTIF(Tasks[WBS],Tasks[[#This Row],[WBS]]&amp;".*"),0)</f>
        <v>0</v>
      </c>
      <c r="BZ60" s="38" t="n">
        <f aca="false">IF(AND(Tasks[[#This Row],[Task Name]]&lt;&gt;"",NOT(Tasks[[#This Row],[_IsSummary]])),1,0)</f>
        <v>0</v>
      </c>
      <c r="CA60" s="38" t="n">
        <f aca="false">IF(N(Tasks[[#This Row],[Pred1 UID]])=0,0,IFERROR(MATCH(Tasks[[#This Row],[Pred1 UID]],Tasks[UID],0),-1))</f>
        <v>0</v>
      </c>
      <c r="CB60" s="38" t="n">
        <f aca="false">IF(N(Tasks[[#This Row],[Pred2 UID]])=0,0,IFERROR(MATCH(Tasks[[#This Row],[Pred2 UID]],Tasks[UID],0),-1))</f>
        <v>0</v>
      </c>
      <c r="CC60" s="38" t="n">
        <f aca="false">IF(N(Tasks[[#This Row],[Pred3 UID]])=0,0,IFERROR(MATCH(Tasks[[#This Row],[Pred3 UID]],Tasks[UID],0),-1))</f>
        <v>0</v>
      </c>
      <c r="CD60" s="38" t="n">
        <f aca="false">IF(N(Tasks[[#This Row],[Pred4 UID]])=0,0,IFERROR(MATCH(Tasks[[#This Row],[Pred4 UID]],Tasks[UID],0),-1))</f>
        <v>0</v>
      </c>
      <c r="CE6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0" s="115" t="n">
        <f aca="false">IF(OR(Tasks[[#This Row],[_ConstraintCode]]=2,Tasks[[#This Row],[_ConstraintCode]]=3,Tasks[[#This Row],[_ConstraintCode]]=4,Tasks[[#This Row],[_ConstraintCode]]=6),Tasks[[#This Row],[_ConstraintStart]],0)</f>
        <v>0</v>
      </c>
      <c r="CH60" s="115" t="n">
        <f aca="false">IF(OR(Tasks[[#This Row],[_ConstraintCode]]=2,Tasks[[#This Row],[_ConstraintCode]]=3,Tasks[[#This Row],[_ConstraintCode]]=5,Tasks[[#This Row],[_ConstraintCode]]=7),Tasks[[#This Row],[_ConstraintStart]],2958465)</f>
        <v>2958465</v>
      </c>
      <c r="CI6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0" s="115" t="str">
        <f aca="false">IF(NOT(Tasks[[#This Row],[_IsLeaf]]=1),"",IF(N(Tasks[[#This Row],[Duration]])&lt;=0,Tasks[[#This Row],[_LeafCalcStart]],WORKDAY.INTL(Tasks[[#This Row],[_LeafCalcStart]],Tasks[[#This Row],[Duration]]-1,WorkWeek,Holidays)))</f>
        <v/>
      </c>
      <c r="CK6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0" s="38" t="n">
        <f aca="false">IF(NOT(Tasks[[#This Row],[_IsLeaf]]=1),0,IF(N(Tasks[[#This Row],[Actual Finish]])&gt;0,1,MIN(1,N(Tasks[[#This Row],[% Complete]]))))</f>
        <v>0</v>
      </c>
      <c r="CN60" s="38" t="n">
        <f aca="false">IF(OR(NOT(Tasks[[#This Row],[_IsLeaf]]=1),Tasks[[#This Row],[Resource]]=""),0,N(Tasks[[#This Row],[Duration]])*HoursPerDay*IF(Tasks[[#This Row],[Units]]="",DefaultUnits,Tasks[[#This Row],[Units]]))</f>
        <v>0</v>
      </c>
      <c r="CO60" s="38" t="n">
        <f aca="false">IF(Tasks[[#This Row],[_LeafWork]]=0,0,Tasks[[#This Row],[_LeafWork]]*IFERROR(INDEX(res_Rate,MATCH(Tasks[[#This Row],[Resource]],res_Name,0)),0))</f>
        <v>0</v>
      </c>
      <c r="CP60" s="38" t="n">
        <f aca="false">Tasks[[#This Row],[_LeafWork]]+IF(Tasks[[#This Row],[_IsLeaf]]=1,SUMIFS(asg_Work,asg_TaskUID,Tasks[[#This Row],[UID]],asg_Valid,1),0)</f>
        <v>0</v>
      </c>
      <c r="CQ60" s="38" t="n">
        <f aca="false">Tasks[[#This Row],[_LeafCost]]+IF(Tasks[[#This Row],[_IsLeaf]]=1,SUMIFS(asg_Cost,asg_TaskUID,Tasks[[#This Row],[UID]],asg_Valid,1),0)</f>
        <v>0</v>
      </c>
      <c r="CR60" s="38" t="n">
        <f aca="false">IF(Tasks[[#This Row],[_LeafTotalCost]]=0,Tasks[[#This Row],[_LeafAC]],Tasks[[#This Row],[_LeafAC]]*Tasks[[#This Row],[_LeafCost]]/Tasks[[#This Row],[_LeafTotalCost]])</f>
        <v>0</v>
      </c>
      <c r="CS6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0" s="38" t="n">
        <f aca="false">IF(NOT(Tasks[[#This Row],[_IsLeaf]]=1),0,MAX(_xlfn.MAXIFS(Tasks[_Row],Tasks[Pred1 UID],Tasks[[#This Row],[UID]]),_xlfn.MAXIFS(Tasks[_Row],Tasks[Pred2 UID],Tasks[[#This Row],[UID]]),_xlfn.MAXIFS(Tasks[_Row],Tasks[Pred3 UID],Tasks[[#This Row],[UID]]),_xlfn.MAXIFS(Tasks[_Row],Tasks[Pred4 UID],Tasks[[#This Row],[UID]])))</f>
        <v>0</v>
      </c>
      <c r="DB6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0" s="115" t="str">
        <f aca="false">IF(NOT(Tasks[[#This Row],[_IsLeaf]]=1),"",IF(N(Tasks[[#This Row],[Duration]])&lt;=0,Tasks[[#This Row],[_LeafLateFinish]],WORKDAY.INTL(Tasks[[#This Row],[_LeafLateFinish]],-(Tasks[[#This Row],[Duration]]-1),WorkWeek,Holidays)))</f>
        <v/>
      </c>
      <c r="DE6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0" s="114" t="b">
        <f aca="false">AND(Tasks[[#This Row],[_IsLeaf]]=1,Tasks[[#This Row],[_LeafProgress]]&lt;1,N(Tasks[[#This Row],[_LeafTotalSlack]])&lt;=CriticalSlackDays)</f>
        <v>0</v>
      </c>
      <c r="DG60" s="38" t="n">
        <f aca="false">IF(AND(Tasks[[#This Row],[_IsLeaf]]=1,Tasks[[#This Row],[_ConstraintCode]]=1,Tasks[[#This Row],[Mode]]&lt;&gt;"Manual",N(Tasks[[#This Row],[Actual Start]])=0),MAX(0,N(Tasks[[#This Row],[Free Slack]])),0)</f>
        <v>0</v>
      </c>
      <c r="DH60" s="115" t="str">
        <f aca="false">IF(NOT(Tasks[[#This Row],[_IsLeaf]]=1),"",IF(Tasks[[#This Row],[_AlapShift]]=0,Tasks[[#This Row],[_LeafCalcStart]],WORKDAY.INTL(Tasks[[#This Row],[_LeafCalcStart]],Tasks[[#This Row],[_AlapShift]],WorkWeek,Holidays)))</f>
        <v/>
      </c>
      <c r="DI60" s="115" t="str">
        <f aca="false">IF(NOT(Tasks[[#This Row],[_IsLeaf]]=1),"",IF(Tasks[[#This Row],[_AlapShift]]=0,Tasks[[#This Row],[_LeafCalcFinish]],WORKDAY.INTL(Tasks[[#This Row],[_LeafCalcFinish]],Tasks[[#This Row],[_AlapShift]],WorkWeek,Holidays)))</f>
        <v/>
      </c>
      <c r="DJ60" s="115" t="str">
        <f aca="false">IF(NOT(Tasks[[#This Row],[_IsLeaf]]=1),"",IF(Tasks[[#This Row],[_AlapShift]]=0,Tasks[[#This Row],[_LeafFcstStart]],WORKDAY.INTL(Tasks[[#This Row],[_LeafFcstStart]],Tasks[[#This Row],[_AlapShift]],WorkWeek,Holidays)))</f>
        <v/>
      </c>
      <c r="DK60" s="115" t="str">
        <f aca="false">IF(NOT(Tasks[[#This Row],[_IsLeaf]]=1),"",IF(Tasks[[#This Row],[_AlapShift]]=0,Tasks[[#This Row],[_LeafFcstFinish]],WORKDAY.INTL(Tasks[[#This Row],[_LeafFcstFinish]],Tasks[[#This Row],[_AlapShift]],WorkWeek,Holidays)))</f>
        <v/>
      </c>
      <c r="DL60" s="115" t="str">
        <f aca="false">IF(Tasks[[#This Row],[Task Name]]="","",IF(Tasks[[#This Row],[_IsSummary]],MIN(INDEX(Tasks[_ShownCalcStart],Tasks[[#This Row],[_Row]]+1):INDEX(Tasks[_ShownCalcStart],Tasks[[#This Row],[_Row]]+Tasks[[#This Row],[_Descendants]])),Tasks[[#This Row],[_ShownCalcStart]]))</f>
        <v/>
      </c>
      <c r="DM60" s="115" t="str">
        <f aca="false">IF(Tasks[[#This Row],[Task Name]]="","",IF(Tasks[[#This Row],[_IsSummary]],MAX(INDEX(Tasks[_ShownCalcFinish],Tasks[[#This Row],[_Row]]+1):INDEX(Tasks[_ShownCalcFinish],Tasks[[#This Row],[_Row]]+Tasks[[#This Row],[_Descendants]])),Tasks[[#This Row],[_ShownCalcFinish]]))</f>
        <v/>
      </c>
      <c r="DN6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0" s="38" t="n">
        <f aca="false">IF(AND(Tasks[[#This Row],[_IsLeaf]]=1,Tasks[[#This Row],[_LeafTotalWork]]&gt;0),NETWORKDAYS.INTL(ProjectStart,Tasks[[#This Row],[_ShownFcstStart]],WorkWeek,Holidays),0)</f>
        <v>0</v>
      </c>
      <c r="EA60" s="38" t="n">
        <f aca="false">IF(AND(Tasks[[#This Row],[_IsLeaf]]=1,Tasks[[#This Row],[_LeafTotalWork]]&gt;0),MAX(Tasks[[#This Row],[_StartWorkday]],NETWORKDAYS.INTL(ProjectStart,Tasks[[#This Row],[_ShownFcstFinish]],WorkWeek,Holidays)),0)</f>
        <v>0</v>
      </c>
      <c r="EB60" s="38" t="n">
        <f aca="false">IF(AND(Tasks[[#This Row],[_IsLeaf]]=1,Tasks[[#This Row],[_LeafTotalWork]]&gt;0),Tasks[[#This Row],[_LeafWork]]/(Tasks[[#This Row],[_FinishWorkday]]-Tasks[[#This Row],[_StartWorkday]]+1),0)</f>
        <v>0</v>
      </c>
      <c r="EC60" s="38" t="n">
        <f aca="false">Tasks[[#This Row],[_WorkPerWorkday]]*(Tasks[[#This Row],[_StartWorkday]]-1)</f>
        <v>-0</v>
      </c>
      <c r="ED60" s="38" t="n">
        <f aca="false">IF(Tasks[[#This Row],[_IsLeaf]]=1,MAX(N(Tasks[[#This Row],[Duration]]),0.1),0)</f>
        <v>0</v>
      </c>
      <c r="EE60" s="38" t="n">
        <f aca="false">Tasks[[#This Row],[_WeightDur]]*Tasks[[#This Row],[_LeafProgress]]</f>
        <v>0</v>
      </c>
      <c r="EF6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0" s="38" t="str">
        <f aca="false">IF(AND(Tasks[[#This Row],[_IsLeaf]]=1,N(Tasks[[#This Row],[Duration]])=0,Tasks[[#This Row],[_LeafProgress]]&lt;1),Tasks[[#This Row],[_ShownFcstFinish]]+Tasks[[#This Row],[_Row]]/100000,"")</f>
        <v/>
      </c>
      <c r="EH6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0" s="38" t="n">
        <f aca="false">IF(NOT(Tasks[[#This Row],[_IsLeaf]]=1),0,IF(Tasks[[#This Row],[Baseline Cost]]="",Tasks[[#This Row],[_LeafTotalCost]],N(Tasks[[#This Row],[Baseline Cost]])))</f>
        <v>0</v>
      </c>
      <c r="EJ60" s="38" t="n">
        <f aca="false">Tasks[[#This Row],[_LeafBudget]]*Tasks[[#This Row],[_PlannedPct]]</f>
        <v>0</v>
      </c>
      <c r="EK60" s="38" t="n">
        <f aca="false">Tasks[[#This Row],[_LeafBudget]]*Tasks[[#This Row],[_LeafProgress]]</f>
        <v>0</v>
      </c>
      <c r="EL60" s="38" t="n">
        <f aca="false">IF(NOT(Tasks[[#This Row],[_IsLeaf]]=1),0,IF(Tasks[[#This Row],[Actual Cost]]="",Tasks[[#This Row],[_LeafTotalCost]]*Tasks[[#This Row],[_LeafProgress]],N(Tasks[[#This Row],[Actual Cost]])))</f>
        <v>0</v>
      </c>
      <c r="EM60" s="38" t="str">
        <f aca="false">IF(Tasks[[#This Row],[Task Name]]="","",LEFT(Tasks[[#This Row],[WBS]],FIND(".",Tasks[[#This Row],[WBS]]&amp;".")-1))</f>
        <v/>
      </c>
      <c r="EN60" s="38" t="str">
        <f aca="false">IF(AND(Tasks[[#This Row],[Task Name]]&lt;&gt;"",Tasks[[#This Row],[_Level]]=1),Tasks[[#This Row],[_Row]],"")</f>
        <v/>
      </c>
      <c r="EO60" s="38" t="str">
        <f aca="false">IF(AND(Tasks[[#This Row],[_IsLeaf]]=1,N(Tasks[[#This Row],[Duration]])=0),Tasks[[#This Row],[Planned Finish]]+Tasks[[#This Row],[_Row]]/100000,"")</f>
        <v/>
      </c>
      <c r="EP60" s="38" t="str">
        <f aca="false">IF(AND(Tasks[[#This Row],[_IsLeaf]]=1,Tasks[[#This Row],[_LeafProgress]]&lt;1,OR(N(Tasks[[#This Row],[Finish Var]])&gt;0,Tasks[[#This Row],[Status]]="Late Start")),MAX(0,Tasks[[#This Row],[Finish Var]])+1-Tasks[[#This Row],[_Row]]/1000000,"")</f>
        <v/>
      </c>
      <c r="EQ60" s="38" t="str">
        <f aca="false">IF(AND(Tasks[[#This Row],[_IsLeaf]]=1,N(Tasks[[#This Row],[Actual Start]])=0,Tasks[[#This Row],[_ShownFcstStart]]&gt;=StatusDate,Tasks[[#This Row],[_ShownFcstStart]]&lt;=LookaheadEnd),Tasks[[#This Row],[_ShownFcstStart]]+Tasks[[#This Row],[_Row]]/100000,"")</f>
        <v/>
      </c>
      <c r="ER60" s="38" t="str">
        <f aca="false">IF(AND(Tasks[[#This Row],[_IsLeaf]]=1,Tasks[[#This Row],[_LeafProgress]]&lt;1,Tasks[[#This Row],[_ShownFcstFinish]]&gt;=StatusDate,Tasks[[#This Row],[_ShownFcstFinish]]&lt;=LookaheadEnd),Tasks[[#This Row],[_ShownFcstFinish]]+Tasks[[#This Row],[_Row]]/100000,"")</f>
        <v/>
      </c>
      <c r="ES60" s="38" t="str">
        <f aca="false">IF(Tasks[[#This Row],[_LeafCritical]],Tasks[[#This Row],[_ShownFcstStart]]+Tasks[[#This Row],[_Row]]/100000,"")</f>
        <v/>
      </c>
      <c r="ET60" s="38" t="n">
        <f aca="false">Tasks[[#This Row],[_LeafWork]]*Tasks[[#This Row],[_LeafProgress]]</f>
        <v>0</v>
      </c>
      <c r="EU60" s="115" t="str">
        <f aca="false">IF(AND(Tasks[[#This Row],[_IsLeaf]]=1,Tasks[[#This Row],[_LeafProgress]]&gt;=1),IF(N(Tasks[[#This Row],[Actual Finish]])&gt;0,Tasks[[#This Row],[Actual Finish]],Tasks[[#This Row],[_ShownFcstFinish]]),"")</f>
        <v/>
      </c>
      <c r="EV60" s="38" t="n">
        <f aca="false">IF(Tasks[[#This Row],[_IsLeaf]]=1,N(Tasks[[#This Row],[Story Points]]),0)</f>
        <v>0</v>
      </c>
      <c r="EW60" s="38" t="str">
        <f aca="false">IF(AND(Tasks[[#This Row],[_IsLeaf]]=1,CurrentSprint&lt;&gt;"",Tasks[[#This Row],[Sprint]]=CurrentSprint),Tasks[[#This Row],[_Row]],"")</f>
        <v/>
      </c>
    </row>
    <row r="61" customFormat="false" ht="15" hidden="false" customHeight="false" outlineLevel="0" collapsed="false">
      <c r="A61" s="51" t="str">
        <f aca="false">IF(Tasks[[#This Row],[Task Name]]="","",COUNTA(Tasks[[#Headers],[Task Name]]:Tasks[[#This Row],[Task Name]])-1)</f>
        <v/>
      </c>
      <c r="B61" s="52" t="n">
        <v>56</v>
      </c>
      <c r="C6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52"/>
      <c r="E61" s="53"/>
      <c r="F61" s="52"/>
      <c r="G61" s="52"/>
      <c r="H61" s="52"/>
      <c r="I61" s="52"/>
      <c r="J61" s="52"/>
      <c r="K61" s="52"/>
      <c r="L61" s="52"/>
      <c r="M61" s="52"/>
      <c r="N61" s="52"/>
      <c r="O61" s="52"/>
      <c r="P61" s="52"/>
      <c r="Q61" s="52"/>
      <c r="R61" s="52"/>
      <c r="S61" s="53"/>
      <c r="T61" s="102"/>
      <c r="U61" s="102"/>
      <c r="V61" s="7"/>
      <c r="W61" s="7"/>
      <c r="X61" s="53"/>
      <c r="Y61" s="31" t="str">
        <f aca="false">IF(Tasks[[#This Row],[Task Name]]="","",IF(Tasks[[#This Row],[_IsSummary]],MIN(INDEX(Tasks[_ShownFcstStart],Tasks[[#This Row],[_Row]]+1):INDEX(Tasks[_ShownFcstStart],Tasks[[#This Row],[_Row]]+Tasks[[#This Row],[_Descendants]])),Tasks[[#This Row],[_ShownFcstStart]]))</f>
        <v/>
      </c>
      <c r="Z61" s="31" t="str">
        <f aca="false">IF(Tasks[[#This Row],[Task Name]]="","",IF(Tasks[[#This Row],[_IsSummary]],MAX(INDEX(Tasks[_ShownFcstFinish],Tasks[[#This Row],[_Row]]+1):INDEX(Tasks[_ShownFcstFinish],Tasks[[#This Row],[_Row]]+Tasks[[#This Row],[_Descendants]])),Tasks[[#This Row],[_ShownFcstFinish]]))</f>
        <v/>
      </c>
      <c r="AA61" s="51" t="str">
        <f aca="false">IF(Tasks[[#This Row],[Task Name]]="","",IF(Tasks[[#This Row],[Progress]]&gt;=1,"Complete",IF(OR(N(Tasks[[#This Row],[Actual Start]])&gt;0,Tasks[[#This Row],[Progress]]&gt;0),IF(Tasks[[#This Row],[Finish Var]]&gt;0,"Behind","In Progress"),IF(Tasks[[#This Row],[Planned Start]]&lt;StatusDate,"Late Start","Not Started"))))</f>
        <v/>
      </c>
      <c r="AB61" s="51" t="str">
        <f aca="false">IF(Tasks[[#This Row],[Task Name]]="","",IF(IF(Tasks[[#This Row],[_IsSummary]],COUNTIF(INDEX(Tasks[_LeafCritical],Tasks[[#This Row],[_Row]]+1):INDEX(Tasks[_LeafCritical],Tasks[[#This Row],[_Row]]+Tasks[[#This Row],[_Descendants]]),TRUE())&gt;0,Tasks[[#This Row],[_LeafCritical]]),"Yes",""))</f>
        <v/>
      </c>
      <c r="AC6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1" s="51" t="str">
        <f aca="false">IF(Tasks[[#This Row],[Task Name]]="","",IF(Tasks[[#This Row],[_Level]]&lt;=OutlineShowLevel,"Yes","No"))</f>
        <v/>
      </c>
      <c r="AE61" s="7"/>
      <c r="AF61" s="52"/>
      <c r="AG61" s="53"/>
      <c r="AH61" s="7"/>
      <c r="AI6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1" s="31" t="str">
        <f aca="false">IF(Tasks[[#This Row],[Task Name]]="","",IF(N(Tasks[[#This Row],[Baseline Start]])&gt;0,Tasks[[#This Row],[Baseline Start]],Tasks[[#This Row],[_CalcStart]]))</f>
        <v/>
      </c>
      <c r="AK61" s="31" t="str">
        <f aca="false">IF(Tasks[[#This Row],[Task Name]]="","",IF(N(Tasks[[#This Row],[Baseline Finish]])&gt;0,Tasks[[#This Row],[Baseline Finish]],Tasks[[#This Row],[_CalcFinish]]))</f>
        <v/>
      </c>
      <c r="AL6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1" s="31" t="str">
        <f aca="false">IF(Tasks[[#This Row],[Task Name]]="","",IF(Tasks[[#This Row],[_IsSummary]],MIN(INDEX(Tasks[_LeafLateStart],Tasks[[#This Row],[_Row]]+1):INDEX(Tasks[_LeafLateStart],Tasks[[#This Row],[_Row]]+Tasks[[#This Row],[_Descendants]])),Tasks[[#This Row],[_LeafLateStart]]))</f>
        <v/>
      </c>
      <c r="AN61" s="31" t="str">
        <f aca="false">IF(Tasks[[#This Row],[Task Name]]="","",IF(Tasks[[#This Row],[_IsSummary]],MAX(INDEX(Tasks[_LeafLateFinish],Tasks[[#This Row],[_Row]]+1):INDEX(Tasks[_LeafLateFinish],Tasks[[#This Row],[_Row]]+Tasks[[#This Row],[_Descendants]])),Tasks[[#This Row],[_LeafLateFinish]]))</f>
        <v/>
      </c>
      <c r="AO61" s="51" t="str">
        <f aca="false">IF(Tasks[[#This Row],[Task Name]]="","",IF(Tasks[[#This Row],[_IsSummary]],MIN(INDEX(Tasks[_LeafTotalSlack],Tasks[[#This Row],[_Row]]+1):INDEX(Tasks[_LeafTotalSlack],Tasks[[#This Row],[_Row]]+Tasks[[#This Row],[_Descendants]])),Tasks[[#This Row],[_LeafTotalSlack]]))</f>
        <v/>
      </c>
      <c r="AP6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1" s="110" t="str">
        <f aca="false">IF(Tasks[[#This Row],[Task Name]]="","",IF(Tasks[[#This Row],[_IsSummary]],SUM(INDEX(Tasks[_LeafTotalWork],Tasks[[#This Row],[_Row]]+1):INDEX(Tasks[_LeafTotalWork],Tasks[[#This Row],[_Row]]+Tasks[[#This Row],[_Descendants]])),Tasks[[#This Row],[_LeafTotalWork]]))</f>
        <v/>
      </c>
      <c r="AV6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1" s="111" t="str">
        <f aca="false">IF(Tasks[[#This Row],[Task Name]]="","",IF(Tasks[[#This Row],[_IsSummary]],SUM(INDEX(Tasks[_LeafTotalCost],Tasks[[#This Row],[_Row]]+1):INDEX(Tasks[_LeafTotalCost],Tasks[[#This Row],[_Row]]+Tasks[[#This Row],[_Descendants]])),Tasks[[#This Row],[_LeafTotalCost]]))</f>
        <v/>
      </c>
      <c r="AY61" s="112"/>
      <c r="AZ6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1" s="52"/>
      <c r="BB61" s="98"/>
      <c r="BC61" s="51" t="str">
        <f aca="false">IF(OR(Tasks[[#This Row],[Task Name]]="",Tasks[[#This Row],[Baseline Duration]]=""),"",Tasks[[#This Row],[BL Source Duration]]-N(Tasks[[#This Row],[Baseline Duration]]))</f>
        <v/>
      </c>
      <c r="BD61" s="110" t="str">
        <f aca="false">IF(OR(Tasks[[#This Row],[Task Name]]="",Tasks[[#This Row],[Baseline Work]]=""),"",Tasks[[#This Row],[Work]]-N(Tasks[[#This Row],[Baseline Work]]))</f>
        <v/>
      </c>
      <c r="BE61" s="111" t="str">
        <f aca="false">IF(OR(Tasks[[#This Row],[Task Name]]="",Tasks[[#This Row],[Baseline Cost]]=""),"",Tasks[[#This Row],[Cost]]-N(Tasks[[#This Row],[Baseline Cost]]))</f>
        <v/>
      </c>
      <c r="BF61" s="31" t="str">
        <f aca="false">IF(Tasks[[#This Row],[Task Name]]="","",Tasks[[#This Row],[Forecast Start]])</f>
        <v/>
      </c>
      <c r="BG61" s="31" t="str">
        <f aca="false">IF(Tasks[[#This Row],[Task Name]]="","",Tasks[[#This Row],[Forecast Finish]])</f>
        <v/>
      </c>
      <c r="BH61" s="51" t="str">
        <f aca="false">IF(Tasks[[#This Row],[Task Name]]="","",IF(Tasks[[#This Row],[_IsSummary]],NETWORKDAYS.INTL(Tasks[[#This Row],[Forecast Start]],Tasks[[#This Row],[Forecast Finish]],WorkWeek,Holidays),N(Tasks[[#This Row],[Duration]])))</f>
        <v/>
      </c>
      <c r="BI61" s="110" t="str">
        <f aca="false">IF(Tasks[[#This Row],[Task Name]]="","",Tasks[[#This Row],[Work]])</f>
        <v/>
      </c>
      <c r="BJ61" s="111" t="str">
        <f aca="false">IF(Tasks[[#This Row],[Task Name]]="","",Tasks[[#This Row],[Cost]])</f>
        <v/>
      </c>
      <c r="BK61" s="7"/>
      <c r="BL61" s="7"/>
      <c r="BM61" s="52"/>
      <c r="BN61" s="113"/>
      <c r="BO61" s="112"/>
      <c r="BP61" s="111" t="str">
        <f aca="false">IF(Tasks[[#This Row],[Task Name]]="","",IF(Tasks[[#This Row],[_IsSummary]],SUM(INDEX(Tasks[_LeafEV],Tasks[[#This Row],[_Row]]+1):INDEX(Tasks[_LeafEV],Tasks[[#This Row],[_Row]]+Tasks[[#This Row],[_Descendants]])),Tasks[[#This Row],[_LeafEV]]))</f>
        <v/>
      </c>
      <c r="BQ61" s="111" t="str">
        <f aca="false">IF(Tasks[[#This Row],[Task Name]]="","",IF(Tasks[[#This Row],[_IsSummary]],SUM(INDEX(Tasks[_LeafBudget],Tasks[[#This Row],[_Row]]+1):INDEX(Tasks[_LeafBudget],Tasks[[#This Row],[_Row]]+Tasks[[#This Row],[_Descendants]])),Tasks[[#This Row],[_LeafBudget]]))</f>
        <v/>
      </c>
      <c r="BR61" s="111" t="str">
        <f aca="false">IF(Tasks[[#This Row],[Task Name]]="","",IF(Tasks[[#This Row],[_IsSummary]],SUM(INDEX(Tasks[_LeafPV],Tasks[[#This Row],[_Row]]+1):INDEX(Tasks[_LeafPV],Tasks[[#This Row],[_Row]]+Tasks[[#This Row],[_Descendants]])),Tasks[[#This Row],[_LeafPV]]))</f>
        <v/>
      </c>
      <c r="BS61" s="111" t="str">
        <f aca="false">IF(Tasks[[#This Row],[Task Name]]="","",IF(Tasks[[#This Row],[_IsSummary]],SUM(INDEX(Tasks[_LeafAC],Tasks[[#This Row],[_Row]]+1):INDEX(Tasks[_LeafAC],Tasks[[#This Row],[_Row]]+Tasks[[#This Row],[_Descendants]])),Tasks[[#This Row],[_LeafAC]]))</f>
        <v/>
      </c>
      <c r="BT61" s="38" t="str">
        <f aca="false">IF(Tasks[[#This Row],[Task Name]]="","",MAX(1,N(Tasks[[#This Row],[Level]])))</f>
        <v/>
      </c>
      <c r="BU61" s="38" t="n">
        <f aca="false">ROW()-ROW(Tasks[[#Headers],[ID]])</f>
        <v>56</v>
      </c>
      <c r="BV61" s="38" t="n">
        <f aca="false">IF(OR(Tasks[[#This Row],[Task Name]]="",Tasks[[#This Row],[_Level]]&lt;=1),0,IFERROR(LOOKUP(2,1/(Tasks[[#Headers],[_Level]]:Tasks[[#This Row],[_Level]]=Tasks[[#This Row],[_Level]]-1),ROW(Tasks[[#Headers],[_Level]]:Tasks[[#This Row],[_Level]])),0))</f>
        <v>0</v>
      </c>
      <c r="BW61" s="38" t="n">
        <f aca="false">IFERROR(N(INDEX(Tasks[_Level],Tasks[[#This Row],[_Row]]+1)),0)</f>
        <v>0</v>
      </c>
      <c r="BX61" s="114" t="b">
        <f aca="false">AND(Tasks[[#This Row],[Task Name]]&lt;&gt;"",Tasks[[#This Row],[_NextLevel]]&gt;Tasks[[#This Row],[_Level]])</f>
        <v>0</v>
      </c>
      <c r="BY61" s="38" t="n">
        <f aca="false">IF(Tasks[[#This Row],[_IsSummary]],COUNTIF(Tasks[WBS],Tasks[[#This Row],[WBS]]&amp;".*"),0)</f>
        <v>0</v>
      </c>
      <c r="BZ61" s="38" t="n">
        <f aca="false">IF(AND(Tasks[[#This Row],[Task Name]]&lt;&gt;"",NOT(Tasks[[#This Row],[_IsSummary]])),1,0)</f>
        <v>0</v>
      </c>
      <c r="CA61" s="38" t="n">
        <f aca="false">IF(N(Tasks[[#This Row],[Pred1 UID]])=0,0,IFERROR(MATCH(Tasks[[#This Row],[Pred1 UID]],Tasks[UID],0),-1))</f>
        <v>0</v>
      </c>
      <c r="CB61" s="38" t="n">
        <f aca="false">IF(N(Tasks[[#This Row],[Pred2 UID]])=0,0,IFERROR(MATCH(Tasks[[#This Row],[Pred2 UID]],Tasks[UID],0),-1))</f>
        <v>0</v>
      </c>
      <c r="CC61" s="38" t="n">
        <f aca="false">IF(N(Tasks[[#This Row],[Pred3 UID]])=0,0,IFERROR(MATCH(Tasks[[#This Row],[Pred3 UID]],Tasks[UID],0),-1))</f>
        <v>0</v>
      </c>
      <c r="CD61" s="38" t="n">
        <f aca="false">IF(N(Tasks[[#This Row],[Pred4 UID]])=0,0,IFERROR(MATCH(Tasks[[#This Row],[Pred4 UID]],Tasks[UID],0),-1))</f>
        <v>0</v>
      </c>
      <c r="CE6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1" s="115" t="n">
        <f aca="false">IF(OR(Tasks[[#This Row],[_ConstraintCode]]=2,Tasks[[#This Row],[_ConstraintCode]]=3,Tasks[[#This Row],[_ConstraintCode]]=4,Tasks[[#This Row],[_ConstraintCode]]=6),Tasks[[#This Row],[_ConstraintStart]],0)</f>
        <v>0</v>
      </c>
      <c r="CH61" s="115" t="n">
        <f aca="false">IF(OR(Tasks[[#This Row],[_ConstraintCode]]=2,Tasks[[#This Row],[_ConstraintCode]]=3,Tasks[[#This Row],[_ConstraintCode]]=5,Tasks[[#This Row],[_ConstraintCode]]=7),Tasks[[#This Row],[_ConstraintStart]],2958465)</f>
        <v>2958465</v>
      </c>
      <c r="CI6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1" s="115" t="str">
        <f aca="false">IF(NOT(Tasks[[#This Row],[_IsLeaf]]=1),"",IF(N(Tasks[[#This Row],[Duration]])&lt;=0,Tasks[[#This Row],[_LeafCalcStart]],WORKDAY.INTL(Tasks[[#This Row],[_LeafCalcStart]],Tasks[[#This Row],[Duration]]-1,WorkWeek,Holidays)))</f>
        <v/>
      </c>
      <c r="CK6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1" s="38" t="n">
        <f aca="false">IF(NOT(Tasks[[#This Row],[_IsLeaf]]=1),0,IF(N(Tasks[[#This Row],[Actual Finish]])&gt;0,1,MIN(1,N(Tasks[[#This Row],[% Complete]]))))</f>
        <v>0</v>
      </c>
      <c r="CN61" s="38" t="n">
        <f aca="false">IF(OR(NOT(Tasks[[#This Row],[_IsLeaf]]=1),Tasks[[#This Row],[Resource]]=""),0,N(Tasks[[#This Row],[Duration]])*HoursPerDay*IF(Tasks[[#This Row],[Units]]="",DefaultUnits,Tasks[[#This Row],[Units]]))</f>
        <v>0</v>
      </c>
      <c r="CO61" s="38" t="n">
        <f aca="false">IF(Tasks[[#This Row],[_LeafWork]]=0,0,Tasks[[#This Row],[_LeafWork]]*IFERROR(INDEX(res_Rate,MATCH(Tasks[[#This Row],[Resource]],res_Name,0)),0))</f>
        <v>0</v>
      </c>
      <c r="CP61" s="38" t="n">
        <f aca="false">Tasks[[#This Row],[_LeafWork]]+IF(Tasks[[#This Row],[_IsLeaf]]=1,SUMIFS(asg_Work,asg_TaskUID,Tasks[[#This Row],[UID]],asg_Valid,1),0)</f>
        <v>0</v>
      </c>
      <c r="CQ61" s="38" t="n">
        <f aca="false">Tasks[[#This Row],[_LeafCost]]+IF(Tasks[[#This Row],[_IsLeaf]]=1,SUMIFS(asg_Cost,asg_TaskUID,Tasks[[#This Row],[UID]],asg_Valid,1),0)</f>
        <v>0</v>
      </c>
      <c r="CR61" s="38" t="n">
        <f aca="false">IF(Tasks[[#This Row],[_LeafTotalCost]]=0,Tasks[[#This Row],[_LeafAC]],Tasks[[#This Row],[_LeafAC]]*Tasks[[#This Row],[_LeafCost]]/Tasks[[#This Row],[_LeafTotalCost]])</f>
        <v>0</v>
      </c>
      <c r="CS6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1" s="38" t="n">
        <f aca="false">IF(NOT(Tasks[[#This Row],[_IsLeaf]]=1),0,MAX(_xlfn.MAXIFS(Tasks[_Row],Tasks[Pred1 UID],Tasks[[#This Row],[UID]]),_xlfn.MAXIFS(Tasks[_Row],Tasks[Pred2 UID],Tasks[[#This Row],[UID]]),_xlfn.MAXIFS(Tasks[_Row],Tasks[Pred3 UID],Tasks[[#This Row],[UID]]),_xlfn.MAXIFS(Tasks[_Row],Tasks[Pred4 UID],Tasks[[#This Row],[UID]])))</f>
        <v>0</v>
      </c>
      <c r="DB6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1" s="115" t="str">
        <f aca="false">IF(NOT(Tasks[[#This Row],[_IsLeaf]]=1),"",IF(N(Tasks[[#This Row],[Duration]])&lt;=0,Tasks[[#This Row],[_LeafLateFinish]],WORKDAY.INTL(Tasks[[#This Row],[_LeafLateFinish]],-(Tasks[[#This Row],[Duration]]-1),WorkWeek,Holidays)))</f>
        <v/>
      </c>
      <c r="DE6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1" s="114" t="b">
        <f aca="false">AND(Tasks[[#This Row],[_IsLeaf]]=1,Tasks[[#This Row],[_LeafProgress]]&lt;1,N(Tasks[[#This Row],[_LeafTotalSlack]])&lt;=CriticalSlackDays)</f>
        <v>0</v>
      </c>
      <c r="DG61" s="38" t="n">
        <f aca="false">IF(AND(Tasks[[#This Row],[_IsLeaf]]=1,Tasks[[#This Row],[_ConstraintCode]]=1,Tasks[[#This Row],[Mode]]&lt;&gt;"Manual",N(Tasks[[#This Row],[Actual Start]])=0),MAX(0,N(Tasks[[#This Row],[Free Slack]])),0)</f>
        <v>0</v>
      </c>
      <c r="DH61" s="115" t="str">
        <f aca="false">IF(NOT(Tasks[[#This Row],[_IsLeaf]]=1),"",IF(Tasks[[#This Row],[_AlapShift]]=0,Tasks[[#This Row],[_LeafCalcStart]],WORKDAY.INTL(Tasks[[#This Row],[_LeafCalcStart]],Tasks[[#This Row],[_AlapShift]],WorkWeek,Holidays)))</f>
        <v/>
      </c>
      <c r="DI61" s="115" t="str">
        <f aca="false">IF(NOT(Tasks[[#This Row],[_IsLeaf]]=1),"",IF(Tasks[[#This Row],[_AlapShift]]=0,Tasks[[#This Row],[_LeafCalcFinish]],WORKDAY.INTL(Tasks[[#This Row],[_LeafCalcFinish]],Tasks[[#This Row],[_AlapShift]],WorkWeek,Holidays)))</f>
        <v/>
      </c>
      <c r="DJ61" s="115" t="str">
        <f aca="false">IF(NOT(Tasks[[#This Row],[_IsLeaf]]=1),"",IF(Tasks[[#This Row],[_AlapShift]]=0,Tasks[[#This Row],[_LeafFcstStart]],WORKDAY.INTL(Tasks[[#This Row],[_LeafFcstStart]],Tasks[[#This Row],[_AlapShift]],WorkWeek,Holidays)))</f>
        <v/>
      </c>
      <c r="DK61" s="115" t="str">
        <f aca="false">IF(NOT(Tasks[[#This Row],[_IsLeaf]]=1),"",IF(Tasks[[#This Row],[_AlapShift]]=0,Tasks[[#This Row],[_LeafFcstFinish]],WORKDAY.INTL(Tasks[[#This Row],[_LeafFcstFinish]],Tasks[[#This Row],[_AlapShift]],WorkWeek,Holidays)))</f>
        <v/>
      </c>
      <c r="DL61" s="115" t="str">
        <f aca="false">IF(Tasks[[#This Row],[Task Name]]="","",IF(Tasks[[#This Row],[_IsSummary]],MIN(INDEX(Tasks[_ShownCalcStart],Tasks[[#This Row],[_Row]]+1):INDEX(Tasks[_ShownCalcStart],Tasks[[#This Row],[_Row]]+Tasks[[#This Row],[_Descendants]])),Tasks[[#This Row],[_ShownCalcStart]]))</f>
        <v/>
      </c>
      <c r="DM61" s="115" t="str">
        <f aca="false">IF(Tasks[[#This Row],[Task Name]]="","",IF(Tasks[[#This Row],[_IsSummary]],MAX(INDEX(Tasks[_ShownCalcFinish],Tasks[[#This Row],[_Row]]+1):INDEX(Tasks[_ShownCalcFinish],Tasks[[#This Row],[_Row]]+Tasks[[#This Row],[_Descendants]])),Tasks[[#This Row],[_ShownCalcFinish]]))</f>
        <v/>
      </c>
      <c r="DN6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1" s="38" t="n">
        <f aca="false">IF(AND(Tasks[[#This Row],[_IsLeaf]]=1,Tasks[[#This Row],[_LeafTotalWork]]&gt;0),NETWORKDAYS.INTL(ProjectStart,Tasks[[#This Row],[_ShownFcstStart]],WorkWeek,Holidays),0)</f>
        <v>0</v>
      </c>
      <c r="EA61" s="38" t="n">
        <f aca="false">IF(AND(Tasks[[#This Row],[_IsLeaf]]=1,Tasks[[#This Row],[_LeafTotalWork]]&gt;0),MAX(Tasks[[#This Row],[_StartWorkday]],NETWORKDAYS.INTL(ProjectStart,Tasks[[#This Row],[_ShownFcstFinish]],WorkWeek,Holidays)),0)</f>
        <v>0</v>
      </c>
      <c r="EB61" s="38" t="n">
        <f aca="false">IF(AND(Tasks[[#This Row],[_IsLeaf]]=1,Tasks[[#This Row],[_LeafTotalWork]]&gt;0),Tasks[[#This Row],[_LeafWork]]/(Tasks[[#This Row],[_FinishWorkday]]-Tasks[[#This Row],[_StartWorkday]]+1),0)</f>
        <v>0</v>
      </c>
      <c r="EC61" s="38" t="n">
        <f aca="false">Tasks[[#This Row],[_WorkPerWorkday]]*(Tasks[[#This Row],[_StartWorkday]]-1)</f>
        <v>-0</v>
      </c>
      <c r="ED61" s="38" t="n">
        <f aca="false">IF(Tasks[[#This Row],[_IsLeaf]]=1,MAX(N(Tasks[[#This Row],[Duration]]),0.1),0)</f>
        <v>0</v>
      </c>
      <c r="EE61" s="38" t="n">
        <f aca="false">Tasks[[#This Row],[_WeightDur]]*Tasks[[#This Row],[_LeafProgress]]</f>
        <v>0</v>
      </c>
      <c r="EF6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1" s="38" t="str">
        <f aca="false">IF(AND(Tasks[[#This Row],[_IsLeaf]]=1,N(Tasks[[#This Row],[Duration]])=0,Tasks[[#This Row],[_LeafProgress]]&lt;1),Tasks[[#This Row],[_ShownFcstFinish]]+Tasks[[#This Row],[_Row]]/100000,"")</f>
        <v/>
      </c>
      <c r="EH6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1" s="38" t="n">
        <f aca="false">IF(NOT(Tasks[[#This Row],[_IsLeaf]]=1),0,IF(Tasks[[#This Row],[Baseline Cost]]="",Tasks[[#This Row],[_LeafTotalCost]],N(Tasks[[#This Row],[Baseline Cost]])))</f>
        <v>0</v>
      </c>
      <c r="EJ61" s="38" t="n">
        <f aca="false">Tasks[[#This Row],[_LeafBudget]]*Tasks[[#This Row],[_PlannedPct]]</f>
        <v>0</v>
      </c>
      <c r="EK61" s="38" t="n">
        <f aca="false">Tasks[[#This Row],[_LeafBudget]]*Tasks[[#This Row],[_LeafProgress]]</f>
        <v>0</v>
      </c>
      <c r="EL61" s="38" t="n">
        <f aca="false">IF(NOT(Tasks[[#This Row],[_IsLeaf]]=1),0,IF(Tasks[[#This Row],[Actual Cost]]="",Tasks[[#This Row],[_LeafTotalCost]]*Tasks[[#This Row],[_LeafProgress]],N(Tasks[[#This Row],[Actual Cost]])))</f>
        <v>0</v>
      </c>
      <c r="EM61" s="38" t="str">
        <f aca="false">IF(Tasks[[#This Row],[Task Name]]="","",LEFT(Tasks[[#This Row],[WBS]],FIND(".",Tasks[[#This Row],[WBS]]&amp;".")-1))</f>
        <v/>
      </c>
      <c r="EN61" s="38" t="str">
        <f aca="false">IF(AND(Tasks[[#This Row],[Task Name]]&lt;&gt;"",Tasks[[#This Row],[_Level]]=1),Tasks[[#This Row],[_Row]],"")</f>
        <v/>
      </c>
      <c r="EO61" s="38" t="str">
        <f aca="false">IF(AND(Tasks[[#This Row],[_IsLeaf]]=1,N(Tasks[[#This Row],[Duration]])=0),Tasks[[#This Row],[Planned Finish]]+Tasks[[#This Row],[_Row]]/100000,"")</f>
        <v/>
      </c>
      <c r="EP61" s="38" t="str">
        <f aca="false">IF(AND(Tasks[[#This Row],[_IsLeaf]]=1,Tasks[[#This Row],[_LeafProgress]]&lt;1,OR(N(Tasks[[#This Row],[Finish Var]])&gt;0,Tasks[[#This Row],[Status]]="Late Start")),MAX(0,Tasks[[#This Row],[Finish Var]])+1-Tasks[[#This Row],[_Row]]/1000000,"")</f>
        <v/>
      </c>
      <c r="EQ61" s="38" t="str">
        <f aca="false">IF(AND(Tasks[[#This Row],[_IsLeaf]]=1,N(Tasks[[#This Row],[Actual Start]])=0,Tasks[[#This Row],[_ShownFcstStart]]&gt;=StatusDate,Tasks[[#This Row],[_ShownFcstStart]]&lt;=LookaheadEnd),Tasks[[#This Row],[_ShownFcstStart]]+Tasks[[#This Row],[_Row]]/100000,"")</f>
        <v/>
      </c>
      <c r="ER61" s="38" t="str">
        <f aca="false">IF(AND(Tasks[[#This Row],[_IsLeaf]]=1,Tasks[[#This Row],[_LeafProgress]]&lt;1,Tasks[[#This Row],[_ShownFcstFinish]]&gt;=StatusDate,Tasks[[#This Row],[_ShownFcstFinish]]&lt;=LookaheadEnd),Tasks[[#This Row],[_ShownFcstFinish]]+Tasks[[#This Row],[_Row]]/100000,"")</f>
        <v/>
      </c>
      <c r="ES61" s="38" t="str">
        <f aca="false">IF(Tasks[[#This Row],[_LeafCritical]],Tasks[[#This Row],[_ShownFcstStart]]+Tasks[[#This Row],[_Row]]/100000,"")</f>
        <v/>
      </c>
      <c r="ET61" s="38" t="n">
        <f aca="false">Tasks[[#This Row],[_LeafWork]]*Tasks[[#This Row],[_LeafProgress]]</f>
        <v>0</v>
      </c>
      <c r="EU61" s="115" t="str">
        <f aca="false">IF(AND(Tasks[[#This Row],[_IsLeaf]]=1,Tasks[[#This Row],[_LeafProgress]]&gt;=1),IF(N(Tasks[[#This Row],[Actual Finish]])&gt;0,Tasks[[#This Row],[Actual Finish]],Tasks[[#This Row],[_ShownFcstFinish]]),"")</f>
        <v/>
      </c>
      <c r="EV61" s="38" t="n">
        <f aca="false">IF(Tasks[[#This Row],[_IsLeaf]]=1,N(Tasks[[#This Row],[Story Points]]),0)</f>
        <v>0</v>
      </c>
      <c r="EW61" s="38" t="str">
        <f aca="false">IF(AND(Tasks[[#This Row],[_IsLeaf]]=1,CurrentSprint&lt;&gt;"",Tasks[[#This Row],[Sprint]]=CurrentSprint),Tasks[[#This Row],[_Row]],"")</f>
        <v/>
      </c>
    </row>
    <row r="62" customFormat="false" ht="15" hidden="false" customHeight="false" outlineLevel="0" collapsed="false">
      <c r="A62" s="51" t="str">
        <f aca="false">IF(Tasks[[#This Row],[Task Name]]="","",COUNTA(Tasks[[#Headers],[Task Name]]:Tasks[[#This Row],[Task Name]])-1)</f>
        <v/>
      </c>
      <c r="B62" s="52" t="n">
        <v>57</v>
      </c>
      <c r="C6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52"/>
      <c r="E62" s="53"/>
      <c r="F62" s="52"/>
      <c r="G62" s="52"/>
      <c r="H62" s="52"/>
      <c r="I62" s="52"/>
      <c r="J62" s="52"/>
      <c r="K62" s="52"/>
      <c r="L62" s="52"/>
      <c r="M62" s="52"/>
      <c r="N62" s="52"/>
      <c r="O62" s="52"/>
      <c r="P62" s="52"/>
      <c r="Q62" s="52"/>
      <c r="R62" s="52"/>
      <c r="S62" s="53"/>
      <c r="T62" s="102"/>
      <c r="U62" s="102"/>
      <c r="V62" s="7"/>
      <c r="W62" s="7"/>
      <c r="X62" s="53"/>
      <c r="Y62" s="31" t="str">
        <f aca="false">IF(Tasks[[#This Row],[Task Name]]="","",IF(Tasks[[#This Row],[_IsSummary]],MIN(INDEX(Tasks[_ShownFcstStart],Tasks[[#This Row],[_Row]]+1):INDEX(Tasks[_ShownFcstStart],Tasks[[#This Row],[_Row]]+Tasks[[#This Row],[_Descendants]])),Tasks[[#This Row],[_ShownFcstStart]]))</f>
        <v/>
      </c>
      <c r="Z62" s="31" t="str">
        <f aca="false">IF(Tasks[[#This Row],[Task Name]]="","",IF(Tasks[[#This Row],[_IsSummary]],MAX(INDEX(Tasks[_ShownFcstFinish],Tasks[[#This Row],[_Row]]+1):INDEX(Tasks[_ShownFcstFinish],Tasks[[#This Row],[_Row]]+Tasks[[#This Row],[_Descendants]])),Tasks[[#This Row],[_ShownFcstFinish]]))</f>
        <v/>
      </c>
      <c r="AA62" s="51" t="str">
        <f aca="false">IF(Tasks[[#This Row],[Task Name]]="","",IF(Tasks[[#This Row],[Progress]]&gt;=1,"Complete",IF(OR(N(Tasks[[#This Row],[Actual Start]])&gt;0,Tasks[[#This Row],[Progress]]&gt;0),IF(Tasks[[#This Row],[Finish Var]]&gt;0,"Behind","In Progress"),IF(Tasks[[#This Row],[Planned Start]]&lt;StatusDate,"Late Start","Not Started"))))</f>
        <v/>
      </c>
      <c r="AB62" s="51" t="str">
        <f aca="false">IF(Tasks[[#This Row],[Task Name]]="","",IF(IF(Tasks[[#This Row],[_IsSummary]],COUNTIF(INDEX(Tasks[_LeafCritical],Tasks[[#This Row],[_Row]]+1):INDEX(Tasks[_LeafCritical],Tasks[[#This Row],[_Row]]+Tasks[[#This Row],[_Descendants]]),TRUE())&gt;0,Tasks[[#This Row],[_LeafCritical]]),"Yes",""))</f>
        <v/>
      </c>
      <c r="AC6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2" s="51" t="str">
        <f aca="false">IF(Tasks[[#This Row],[Task Name]]="","",IF(Tasks[[#This Row],[_Level]]&lt;=OutlineShowLevel,"Yes","No"))</f>
        <v/>
      </c>
      <c r="AE62" s="7"/>
      <c r="AF62" s="52"/>
      <c r="AG62" s="53"/>
      <c r="AH62" s="7"/>
      <c r="AI6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2" s="31" t="str">
        <f aca="false">IF(Tasks[[#This Row],[Task Name]]="","",IF(N(Tasks[[#This Row],[Baseline Start]])&gt;0,Tasks[[#This Row],[Baseline Start]],Tasks[[#This Row],[_CalcStart]]))</f>
        <v/>
      </c>
      <c r="AK62" s="31" t="str">
        <f aca="false">IF(Tasks[[#This Row],[Task Name]]="","",IF(N(Tasks[[#This Row],[Baseline Finish]])&gt;0,Tasks[[#This Row],[Baseline Finish]],Tasks[[#This Row],[_CalcFinish]]))</f>
        <v/>
      </c>
      <c r="AL6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2" s="31" t="str">
        <f aca="false">IF(Tasks[[#This Row],[Task Name]]="","",IF(Tasks[[#This Row],[_IsSummary]],MIN(INDEX(Tasks[_LeafLateStart],Tasks[[#This Row],[_Row]]+1):INDEX(Tasks[_LeafLateStart],Tasks[[#This Row],[_Row]]+Tasks[[#This Row],[_Descendants]])),Tasks[[#This Row],[_LeafLateStart]]))</f>
        <v/>
      </c>
      <c r="AN62" s="31" t="str">
        <f aca="false">IF(Tasks[[#This Row],[Task Name]]="","",IF(Tasks[[#This Row],[_IsSummary]],MAX(INDEX(Tasks[_LeafLateFinish],Tasks[[#This Row],[_Row]]+1):INDEX(Tasks[_LeafLateFinish],Tasks[[#This Row],[_Row]]+Tasks[[#This Row],[_Descendants]])),Tasks[[#This Row],[_LeafLateFinish]]))</f>
        <v/>
      </c>
      <c r="AO62" s="51" t="str">
        <f aca="false">IF(Tasks[[#This Row],[Task Name]]="","",IF(Tasks[[#This Row],[_IsSummary]],MIN(INDEX(Tasks[_LeafTotalSlack],Tasks[[#This Row],[_Row]]+1):INDEX(Tasks[_LeafTotalSlack],Tasks[[#This Row],[_Row]]+Tasks[[#This Row],[_Descendants]])),Tasks[[#This Row],[_LeafTotalSlack]]))</f>
        <v/>
      </c>
      <c r="AP6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2" s="110" t="str">
        <f aca="false">IF(Tasks[[#This Row],[Task Name]]="","",IF(Tasks[[#This Row],[_IsSummary]],SUM(INDEX(Tasks[_LeafTotalWork],Tasks[[#This Row],[_Row]]+1):INDEX(Tasks[_LeafTotalWork],Tasks[[#This Row],[_Row]]+Tasks[[#This Row],[_Descendants]])),Tasks[[#This Row],[_LeafTotalWork]]))</f>
        <v/>
      </c>
      <c r="AV6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2" s="111" t="str">
        <f aca="false">IF(Tasks[[#This Row],[Task Name]]="","",IF(Tasks[[#This Row],[_IsSummary]],SUM(INDEX(Tasks[_LeafTotalCost],Tasks[[#This Row],[_Row]]+1):INDEX(Tasks[_LeafTotalCost],Tasks[[#This Row],[_Row]]+Tasks[[#This Row],[_Descendants]])),Tasks[[#This Row],[_LeafTotalCost]]))</f>
        <v/>
      </c>
      <c r="AY62" s="112"/>
      <c r="AZ6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2" s="52"/>
      <c r="BB62" s="98"/>
      <c r="BC62" s="51" t="str">
        <f aca="false">IF(OR(Tasks[[#This Row],[Task Name]]="",Tasks[[#This Row],[Baseline Duration]]=""),"",Tasks[[#This Row],[BL Source Duration]]-N(Tasks[[#This Row],[Baseline Duration]]))</f>
        <v/>
      </c>
      <c r="BD62" s="110" t="str">
        <f aca="false">IF(OR(Tasks[[#This Row],[Task Name]]="",Tasks[[#This Row],[Baseline Work]]=""),"",Tasks[[#This Row],[Work]]-N(Tasks[[#This Row],[Baseline Work]]))</f>
        <v/>
      </c>
      <c r="BE62" s="111" t="str">
        <f aca="false">IF(OR(Tasks[[#This Row],[Task Name]]="",Tasks[[#This Row],[Baseline Cost]]=""),"",Tasks[[#This Row],[Cost]]-N(Tasks[[#This Row],[Baseline Cost]]))</f>
        <v/>
      </c>
      <c r="BF62" s="31" t="str">
        <f aca="false">IF(Tasks[[#This Row],[Task Name]]="","",Tasks[[#This Row],[Forecast Start]])</f>
        <v/>
      </c>
      <c r="BG62" s="31" t="str">
        <f aca="false">IF(Tasks[[#This Row],[Task Name]]="","",Tasks[[#This Row],[Forecast Finish]])</f>
        <v/>
      </c>
      <c r="BH62" s="51" t="str">
        <f aca="false">IF(Tasks[[#This Row],[Task Name]]="","",IF(Tasks[[#This Row],[_IsSummary]],NETWORKDAYS.INTL(Tasks[[#This Row],[Forecast Start]],Tasks[[#This Row],[Forecast Finish]],WorkWeek,Holidays),N(Tasks[[#This Row],[Duration]])))</f>
        <v/>
      </c>
      <c r="BI62" s="110" t="str">
        <f aca="false">IF(Tasks[[#This Row],[Task Name]]="","",Tasks[[#This Row],[Work]])</f>
        <v/>
      </c>
      <c r="BJ62" s="111" t="str">
        <f aca="false">IF(Tasks[[#This Row],[Task Name]]="","",Tasks[[#This Row],[Cost]])</f>
        <v/>
      </c>
      <c r="BK62" s="7"/>
      <c r="BL62" s="7"/>
      <c r="BM62" s="52"/>
      <c r="BN62" s="113"/>
      <c r="BO62" s="112"/>
      <c r="BP62" s="111" t="str">
        <f aca="false">IF(Tasks[[#This Row],[Task Name]]="","",IF(Tasks[[#This Row],[_IsSummary]],SUM(INDEX(Tasks[_LeafEV],Tasks[[#This Row],[_Row]]+1):INDEX(Tasks[_LeafEV],Tasks[[#This Row],[_Row]]+Tasks[[#This Row],[_Descendants]])),Tasks[[#This Row],[_LeafEV]]))</f>
        <v/>
      </c>
      <c r="BQ62" s="111" t="str">
        <f aca="false">IF(Tasks[[#This Row],[Task Name]]="","",IF(Tasks[[#This Row],[_IsSummary]],SUM(INDEX(Tasks[_LeafBudget],Tasks[[#This Row],[_Row]]+1):INDEX(Tasks[_LeafBudget],Tasks[[#This Row],[_Row]]+Tasks[[#This Row],[_Descendants]])),Tasks[[#This Row],[_LeafBudget]]))</f>
        <v/>
      </c>
      <c r="BR62" s="111" t="str">
        <f aca="false">IF(Tasks[[#This Row],[Task Name]]="","",IF(Tasks[[#This Row],[_IsSummary]],SUM(INDEX(Tasks[_LeafPV],Tasks[[#This Row],[_Row]]+1):INDEX(Tasks[_LeafPV],Tasks[[#This Row],[_Row]]+Tasks[[#This Row],[_Descendants]])),Tasks[[#This Row],[_LeafPV]]))</f>
        <v/>
      </c>
      <c r="BS62" s="111" t="str">
        <f aca="false">IF(Tasks[[#This Row],[Task Name]]="","",IF(Tasks[[#This Row],[_IsSummary]],SUM(INDEX(Tasks[_LeafAC],Tasks[[#This Row],[_Row]]+1):INDEX(Tasks[_LeafAC],Tasks[[#This Row],[_Row]]+Tasks[[#This Row],[_Descendants]])),Tasks[[#This Row],[_LeafAC]]))</f>
        <v/>
      </c>
      <c r="BT62" s="38" t="str">
        <f aca="false">IF(Tasks[[#This Row],[Task Name]]="","",MAX(1,N(Tasks[[#This Row],[Level]])))</f>
        <v/>
      </c>
      <c r="BU62" s="38" t="n">
        <f aca="false">ROW()-ROW(Tasks[[#Headers],[ID]])</f>
        <v>57</v>
      </c>
      <c r="BV62" s="38" t="n">
        <f aca="false">IF(OR(Tasks[[#This Row],[Task Name]]="",Tasks[[#This Row],[_Level]]&lt;=1),0,IFERROR(LOOKUP(2,1/(Tasks[[#Headers],[_Level]]:Tasks[[#This Row],[_Level]]=Tasks[[#This Row],[_Level]]-1),ROW(Tasks[[#Headers],[_Level]]:Tasks[[#This Row],[_Level]])),0))</f>
        <v>0</v>
      </c>
      <c r="BW62" s="38" t="n">
        <f aca="false">IFERROR(N(INDEX(Tasks[_Level],Tasks[[#This Row],[_Row]]+1)),0)</f>
        <v>0</v>
      </c>
      <c r="BX62" s="114" t="b">
        <f aca="false">AND(Tasks[[#This Row],[Task Name]]&lt;&gt;"",Tasks[[#This Row],[_NextLevel]]&gt;Tasks[[#This Row],[_Level]])</f>
        <v>0</v>
      </c>
      <c r="BY62" s="38" t="n">
        <f aca="false">IF(Tasks[[#This Row],[_IsSummary]],COUNTIF(Tasks[WBS],Tasks[[#This Row],[WBS]]&amp;".*"),0)</f>
        <v>0</v>
      </c>
      <c r="BZ62" s="38" t="n">
        <f aca="false">IF(AND(Tasks[[#This Row],[Task Name]]&lt;&gt;"",NOT(Tasks[[#This Row],[_IsSummary]])),1,0)</f>
        <v>0</v>
      </c>
      <c r="CA62" s="38" t="n">
        <f aca="false">IF(N(Tasks[[#This Row],[Pred1 UID]])=0,0,IFERROR(MATCH(Tasks[[#This Row],[Pred1 UID]],Tasks[UID],0),-1))</f>
        <v>0</v>
      </c>
      <c r="CB62" s="38" t="n">
        <f aca="false">IF(N(Tasks[[#This Row],[Pred2 UID]])=0,0,IFERROR(MATCH(Tasks[[#This Row],[Pred2 UID]],Tasks[UID],0),-1))</f>
        <v>0</v>
      </c>
      <c r="CC62" s="38" t="n">
        <f aca="false">IF(N(Tasks[[#This Row],[Pred3 UID]])=0,0,IFERROR(MATCH(Tasks[[#This Row],[Pred3 UID]],Tasks[UID],0),-1))</f>
        <v>0</v>
      </c>
      <c r="CD62" s="38" t="n">
        <f aca="false">IF(N(Tasks[[#This Row],[Pred4 UID]])=0,0,IFERROR(MATCH(Tasks[[#This Row],[Pred4 UID]],Tasks[UID],0),-1))</f>
        <v>0</v>
      </c>
      <c r="CE6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2" s="115" t="n">
        <f aca="false">IF(OR(Tasks[[#This Row],[_ConstraintCode]]=2,Tasks[[#This Row],[_ConstraintCode]]=3,Tasks[[#This Row],[_ConstraintCode]]=4,Tasks[[#This Row],[_ConstraintCode]]=6),Tasks[[#This Row],[_ConstraintStart]],0)</f>
        <v>0</v>
      </c>
      <c r="CH62" s="115" t="n">
        <f aca="false">IF(OR(Tasks[[#This Row],[_ConstraintCode]]=2,Tasks[[#This Row],[_ConstraintCode]]=3,Tasks[[#This Row],[_ConstraintCode]]=5,Tasks[[#This Row],[_ConstraintCode]]=7),Tasks[[#This Row],[_ConstraintStart]],2958465)</f>
        <v>2958465</v>
      </c>
      <c r="CI6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2" s="115" t="str">
        <f aca="false">IF(NOT(Tasks[[#This Row],[_IsLeaf]]=1),"",IF(N(Tasks[[#This Row],[Duration]])&lt;=0,Tasks[[#This Row],[_LeafCalcStart]],WORKDAY.INTL(Tasks[[#This Row],[_LeafCalcStart]],Tasks[[#This Row],[Duration]]-1,WorkWeek,Holidays)))</f>
        <v/>
      </c>
      <c r="CK6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2" s="38" t="n">
        <f aca="false">IF(NOT(Tasks[[#This Row],[_IsLeaf]]=1),0,IF(N(Tasks[[#This Row],[Actual Finish]])&gt;0,1,MIN(1,N(Tasks[[#This Row],[% Complete]]))))</f>
        <v>0</v>
      </c>
      <c r="CN62" s="38" t="n">
        <f aca="false">IF(OR(NOT(Tasks[[#This Row],[_IsLeaf]]=1),Tasks[[#This Row],[Resource]]=""),0,N(Tasks[[#This Row],[Duration]])*HoursPerDay*IF(Tasks[[#This Row],[Units]]="",DefaultUnits,Tasks[[#This Row],[Units]]))</f>
        <v>0</v>
      </c>
      <c r="CO62" s="38" t="n">
        <f aca="false">IF(Tasks[[#This Row],[_LeafWork]]=0,0,Tasks[[#This Row],[_LeafWork]]*IFERROR(INDEX(res_Rate,MATCH(Tasks[[#This Row],[Resource]],res_Name,0)),0))</f>
        <v>0</v>
      </c>
      <c r="CP62" s="38" t="n">
        <f aca="false">Tasks[[#This Row],[_LeafWork]]+IF(Tasks[[#This Row],[_IsLeaf]]=1,SUMIFS(asg_Work,asg_TaskUID,Tasks[[#This Row],[UID]],asg_Valid,1),0)</f>
        <v>0</v>
      </c>
      <c r="CQ62" s="38" t="n">
        <f aca="false">Tasks[[#This Row],[_LeafCost]]+IF(Tasks[[#This Row],[_IsLeaf]]=1,SUMIFS(asg_Cost,asg_TaskUID,Tasks[[#This Row],[UID]],asg_Valid,1),0)</f>
        <v>0</v>
      </c>
      <c r="CR62" s="38" t="n">
        <f aca="false">IF(Tasks[[#This Row],[_LeafTotalCost]]=0,Tasks[[#This Row],[_LeafAC]],Tasks[[#This Row],[_LeafAC]]*Tasks[[#This Row],[_LeafCost]]/Tasks[[#This Row],[_LeafTotalCost]])</f>
        <v>0</v>
      </c>
      <c r="CS6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2" s="38" t="n">
        <f aca="false">IF(NOT(Tasks[[#This Row],[_IsLeaf]]=1),0,MAX(_xlfn.MAXIFS(Tasks[_Row],Tasks[Pred1 UID],Tasks[[#This Row],[UID]]),_xlfn.MAXIFS(Tasks[_Row],Tasks[Pred2 UID],Tasks[[#This Row],[UID]]),_xlfn.MAXIFS(Tasks[_Row],Tasks[Pred3 UID],Tasks[[#This Row],[UID]]),_xlfn.MAXIFS(Tasks[_Row],Tasks[Pred4 UID],Tasks[[#This Row],[UID]])))</f>
        <v>0</v>
      </c>
      <c r="DB6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2" s="115" t="str">
        <f aca="false">IF(NOT(Tasks[[#This Row],[_IsLeaf]]=1),"",IF(N(Tasks[[#This Row],[Duration]])&lt;=0,Tasks[[#This Row],[_LeafLateFinish]],WORKDAY.INTL(Tasks[[#This Row],[_LeafLateFinish]],-(Tasks[[#This Row],[Duration]]-1),WorkWeek,Holidays)))</f>
        <v/>
      </c>
      <c r="DE6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2" s="114" t="b">
        <f aca="false">AND(Tasks[[#This Row],[_IsLeaf]]=1,Tasks[[#This Row],[_LeafProgress]]&lt;1,N(Tasks[[#This Row],[_LeafTotalSlack]])&lt;=CriticalSlackDays)</f>
        <v>0</v>
      </c>
      <c r="DG62" s="38" t="n">
        <f aca="false">IF(AND(Tasks[[#This Row],[_IsLeaf]]=1,Tasks[[#This Row],[_ConstraintCode]]=1,Tasks[[#This Row],[Mode]]&lt;&gt;"Manual",N(Tasks[[#This Row],[Actual Start]])=0),MAX(0,N(Tasks[[#This Row],[Free Slack]])),0)</f>
        <v>0</v>
      </c>
      <c r="DH62" s="115" t="str">
        <f aca="false">IF(NOT(Tasks[[#This Row],[_IsLeaf]]=1),"",IF(Tasks[[#This Row],[_AlapShift]]=0,Tasks[[#This Row],[_LeafCalcStart]],WORKDAY.INTL(Tasks[[#This Row],[_LeafCalcStart]],Tasks[[#This Row],[_AlapShift]],WorkWeek,Holidays)))</f>
        <v/>
      </c>
      <c r="DI62" s="115" t="str">
        <f aca="false">IF(NOT(Tasks[[#This Row],[_IsLeaf]]=1),"",IF(Tasks[[#This Row],[_AlapShift]]=0,Tasks[[#This Row],[_LeafCalcFinish]],WORKDAY.INTL(Tasks[[#This Row],[_LeafCalcFinish]],Tasks[[#This Row],[_AlapShift]],WorkWeek,Holidays)))</f>
        <v/>
      </c>
      <c r="DJ62" s="115" t="str">
        <f aca="false">IF(NOT(Tasks[[#This Row],[_IsLeaf]]=1),"",IF(Tasks[[#This Row],[_AlapShift]]=0,Tasks[[#This Row],[_LeafFcstStart]],WORKDAY.INTL(Tasks[[#This Row],[_LeafFcstStart]],Tasks[[#This Row],[_AlapShift]],WorkWeek,Holidays)))</f>
        <v/>
      </c>
      <c r="DK62" s="115" t="str">
        <f aca="false">IF(NOT(Tasks[[#This Row],[_IsLeaf]]=1),"",IF(Tasks[[#This Row],[_AlapShift]]=0,Tasks[[#This Row],[_LeafFcstFinish]],WORKDAY.INTL(Tasks[[#This Row],[_LeafFcstFinish]],Tasks[[#This Row],[_AlapShift]],WorkWeek,Holidays)))</f>
        <v/>
      </c>
      <c r="DL62" s="115" t="str">
        <f aca="false">IF(Tasks[[#This Row],[Task Name]]="","",IF(Tasks[[#This Row],[_IsSummary]],MIN(INDEX(Tasks[_ShownCalcStart],Tasks[[#This Row],[_Row]]+1):INDEX(Tasks[_ShownCalcStart],Tasks[[#This Row],[_Row]]+Tasks[[#This Row],[_Descendants]])),Tasks[[#This Row],[_ShownCalcStart]]))</f>
        <v/>
      </c>
      <c r="DM62" s="115" t="str">
        <f aca="false">IF(Tasks[[#This Row],[Task Name]]="","",IF(Tasks[[#This Row],[_IsSummary]],MAX(INDEX(Tasks[_ShownCalcFinish],Tasks[[#This Row],[_Row]]+1):INDEX(Tasks[_ShownCalcFinish],Tasks[[#This Row],[_Row]]+Tasks[[#This Row],[_Descendants]])),Tasks[[#This Row],[_ShownCalcFinish]]))</f>
        <v/>
      </c>
      <c r="DN6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2" s="38" t="n">
        <f aca="false">IF(AND(Tasks[[#This Row],[_IsLeaf]]=1,Tasks[[#This Row],[_LeafTotalWork]]&gt;0),NETWORKDAYS.INTL(ProjectStart,Tasks[[#This Row],[_ShownFcstStart]],WorkWeek,Holidays),0)</f>
        <v>0</v>
      </c>
      <c r="EA62" s="38" t="n">
        <f aca="false">IF(AND(Tasks[[#This Row],[_IsLeaf]]=1,Tasks[[#This Row],[_LeafTotalWork]]&gt;0),MAX(Tasks[[#This Row],[_StartWorkday]],NETWORKDAYS.INTL(ProjectStart,Tasks[[#This Row],[_ShownFcstFinish]],WorkWeek,Holidays)),0)</f>
        <v>0</v>
      </c>
      <c r="EB62" s="38" t="n">
        <f aca="false">IF(AND(Tasks[[#This Row],[_IsLeaf]]=1,Tasks[[#This Row],[_LeafTotalWork]]&gt;0),Tasks[[#This Row],[_LeafWork]]/(Tasks[[#This Row],[_FinishWorkday]]-Tasks[[#This Row],[_StartWorkday]]+1),0)</f>
        <v>0</v>
      </c>
      <c r="EC62" s="38" t="n">
        <f aca="false">Tasks[[#This Row],[_WorkPerWorkday]]*(Tasks[[#This Row],[_StartWorkday]]-1)</f>
        <v>-0</v>
      </c>
      <c r="ED62" s="38" t="n">
        <f aca="false">IF(Tasks[[#This Row],[_IsLeaf]]=1,MAX(N(Tasks[[#This Row],[Duration]]),0.1),0)</f>
        <v>0</v>
      </c>
      <c r="EE62" s="38" t="n">
        <f aca="false">Tasks[[#This Row],[_WeightDur]]*Tasks[[#This Row],[_LeafProgress]]</f>
        <v>0</v>
      </c>
      <c r="EF6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2" s="38" t="str">
        <f aca="false">IF(AND(Tasks[[#This Row],[_IsLeaf]]=1,N(Tasks[[#This Row],[Duration]])=0,Tasks[[#This Row],[_LeafProgress]]&lt;1),Tasks[[#This Row],[_ShownFcstFinish]]+Tasks[[#This Row],[_Row]]/100000,"")</f>
        <v/>
      </c>
      <c r="EH6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2" s="38" t="n">
        <f aca="false">IF(NOT(Tasks[[#This Row],[_IsLeaf]]=1),0,IF(Tasks[[#This Row],[Baseline Cost]]="",Tasks[[#This Row],[_LeafTotalCost]],N(Tasks[[#This Row],[Baseline Cost]])))</f>
        <v>0</v>
      </c>
      <c r="EJ62" s="38" t="n">
        <f aca="false">Tasks[[#This Row],[_LeafBudget]]*Tasks[[#This Row],[_PlannedPct]]</f>
        <v>0</v>
      </c>
      <c r="EK62" s="38" t="n">
        <f aca="false">Tasks[[#This Row],[_LeafBudget]]*Tasks[[#This Row],[_LeafProgress]]</f>
        <v>0</v>
      </c>
      <c r="EL62" s="38" t="n">
        <f aca="false">IF(NOT(Tasks[[#This Row],[_IsLeaf]]=1),0,IF(Tasks[[#This Row],[Actual Cost]]="",Tasks[[#This Row],[_LeafTotalCost]]*Tasks[[#This Row],[_LeafProgress]],N(Tasks[[#This Row],[Actual Cost]])))</f>
        <v>0</v>
      </c>
      <c r="EM62" s="38" t="str">
        <f aca="false">IF(Tasks[[#This Row],[Task Name]]="","",LEFT(Tasks[[#This Row],[WBS]],FIND(".",Tasks[[#This Row],[WBS]]&amp;".")-1))</f>
        <v/>
      </c>
      <c r="EN62" s="38" t="str">
        <f aca="false">IF(AND(Tasks[[#This Row],[Task Name]]&lt;&gt;"",Tasks[[#This Row],[_Level]]=1),Tasks[[#This Row],[_Row]],"")</f>
        <v/>
      </c>
      <c r="EO62" s="38" t="str">
        <f aca="false">IF(AND(Tasks[[#This Row],[_IsLeaf]]=1,N(Tasks[[#This Row],[Duration]])=0),Tasks[[#This Row],[Planned Finish]]+Tasks[[#This Row],[_Row]]/100000,"")</f>
        <v/>
      </c>
      <c r="EP62" s="38" t="str">
        <f aca="false">IF(AND(Tasks[[#This Row],[_IsLeaf]]=1,Tasks[[#This Row],[_LeafProgress]]&lt;1,OR(N(Tasks[[#This Row],[Finish Var]])&gt;0,Tasks[[#This Row],[Status]]="Late Start")),MAX(0,Tasks[[#This Row],[Finish Var]])+1-Tasks[[#This Row],[_Row]]/1000000,"")</f>
        <v/>
      </c>
      <c r="EQ62" s="38" t="str">
        <f aca="false">IF(AND(Tasks[[#This Row],[_IsLeaf]]=1,N(Tasks[[#This Row],[Actual Start]])=0,Tasks[[#This Row],[_ShownFcstStart]]&gt;=StatusDate,Tasks[[#This Row],[_ShownFcstStart]]&lt;=LookaheadEnd),Tasks[[#This Row],[_ShownFcstStart]]+Tasks[[#This Row],[_Row]]/100000,"")</f>
        <v/>
      </c>
      <c r="ER62" s="38" t="str">
        <f aca="false">IF(AND(Tasks[[#This Row],[_IsLeaf]]=1,Tasks[[#This Row],[_LeafProgress]]&lt;1,Tasks[[#This Row],[_ShownFcstFinish]]&gt;=StatusDate,Tasks[[#This Row],[_ShownFcstFinish]]&lt;=LookaheadEnd),Tasks[[#This Row],[_ShownFcstFinish]]+Tasks[[#This Row],[_Row]]/100000,"")</f>
        <v/>
      </c>
      <c r="ES62" s="38" t="str">
        <f aca="false">IF(Tasks[[#This Row],[_LeafCritical]],Tasks[[#This Row],[_ShownFcstStart]]+Tasks[[#This Row],[_Row]]/100000,"")</f>
        <v/>
      </c>
      <c r="ET62" s="38" t="n">
        <f aca="false">Tasks[[#This Row],[_LeafWork]]*Tasks[[#This Row],[_LeafProgress]]</f>
        <v>0</v>
      </c>
      <c r="EU62" s="115" t="str">
        <f aca="false">IF(AND(Tasks[[#This Row],[_IsLeaf]]=1,Tasks[[#This Row],[_LeafProgress]]&gt;=1),IF(N(Tasks[[#This Row],[Actual Finish]])&gt;0,Tasks[[#This Row],[Actual Finish]],Tasks[[#This Row],[_ShownFcstFinish]]),"")</f>
        <v/>
      </c>
      <c r="EV62" s="38" t="n">
        <f aca="false">IF(Tasks[[#This Row],[_IsLeaf]]=1,N(Tasks[[#This Row],[Story Points]]),0)</f>
        <v>0</v>
      </c>
      <c r="EW62" s="38" t="str">
        <f aca="false">IF(AND(Tasks[[#This Row],[_IsLeaf]]=1,CurrentSprint&lt;&gt;"",Tasks[[#This Row],[Sprint]]=CurrentSprint),Tasks[[#This Row],[_Row]],"")</f>
        <v/>
      </c>
    </row>
    <row r="63" customFormat="false" ht="15" hidden="false" customHeight="false" outlineLevel="0" collapsed="false">
      <c r="A63" s="51" t="str">
        <f aca="false">IF(Tasks[[#This Row],[Task Name]]="","",COUNTA(Tasks[[#Headers],[Task Name]]:Tasks[[#This Row],[Task Name]])-1)</f>
        <v/>
      </c>
      <c r="B63" s="52" t="n">
        <v>58</v>
      </c>
      <c r="C6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52"/>
      <c r="E63" s="53"/>
      <c r="F63" s="52"/>
      <c r="G63" s="52"/>
      <c r="H63" s="52"/>
      <c r="I63" s="52"/>
      <c r="J63" s="52"/>
      <c r="K63" s="52"/>
      <c r="L63" s="52"/>
      <c r="M63" s="52"/>
      <c r="N63" s="52"/>
      <c r="O63" s="52"/>
      <c r="P63" s="52"/>
      <c r="Q63" s="52"/>
      <c r="R63" s="52"/>
      <c r="S63" s="53"/>
      <c r="T63" s="102"/>
      <c r="U63" s="102"/>
      <c r="V63" s="7"/>
      <c r="W63" s="7"/>
      <c r="X63" s="53"/>
      <c r="Y63" s="31" t="str">
        <f aca="false">IF(Tasks[[#This Row],[Task Name]]="","",IF(Tasks[[#This Row],[_IsSummary]],MIN(INDEX(Tasks[_ShownFcstStart],Tasks[[#This Row],[_Row]]+1):INDEX(Tasks[_ShownFcstStart],Tasks[[#This Row],[_Row]]+Tasks[[#This Row],[_Descendants]])),Tasks[[#This Row],[_ShownFcstStart]]))</f>
        <v/>
      </c>
      <c r="Z63" s="31" t="str">
        <f aca="false">IF(Tasks[[#This Row],[Task Name]]="","",IF(Tasks[[#This Row],[_IsSummary]],MAX(INDEX(Tasks[_ShownFcstFinish],Tasks[[#This Row],[_Row]]+1):INDEX(Tasks[_ShownFcstFinish],Tasks[[#This Row],[_Row]]+Tasks[[#This Row],[_Descendants]])),Tasks[[#This Row],[_ShownFcstFinish]]))</f>
        <v/>
      </c>
      <c r="AA63" s="51" t="str">
        <f aca="false">IF(Tasks[[#This Row],[Task Name]]="","",IF(Tasks[[#This Row],[Progress]]&gt;=1,"Complete",IF(OR(N(Tasks[[#This Row],[Actual Start]])&gt;0,Tasks[[#This Row],[Progress]]&gt;0),IF(Tasks[[#This Row],[Finish Var]]&gt;0,"Behind","In Progress"),IF(Tasks[[#This Row],[Planned Start]]&lt;StatusDate,"Late Start","Not Started"))))</f>
        <v/>
      </c>
      <c r="AB63" s="51" t="str">
        <f aca="false">IF(Tasks[[#This Row],[Task Name]]="","",IF(IF(Tasks[[#This Row],[_IsSummary]],COUNTIF(INDEX(Tasks[_LeafCritical],Tasks[[#This Row],[_Row]]+1):INDEX(Tasks[_LeafCritical],Tasks[[#This Row],[_Row]]+Tasks[[#This Row],[_Descendants]]),TRUE())&gt;0,Tasks[[#This Row],[_LeafCritical]]),"Yes",""))</f>
        <v/>
      </c>
      <c r="AC6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3" s="51" t="str">
        <f aca="false">IF(Tasks[[#This Row],[Task Name]]="","",IF(Tasks[[#This Row],[_Level]]&lt;=OutlineShowLevel,"Yes","No"))</f>
        <v/>
      </c>
      <c r="AE63" s="7"/>
      <c r="AF63" s="52"/>
      <c r="AG63" s="53"/>
      <c r="AH63" s="7"/>
      <c r="AI6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3" s="31" t="str">
        <f aca="false">IF(Tasks[[#This Row],[Task Name]]="","",IF(N(Tasks[[#This Row],[Baseline Start]])&gt;0,Tasks[[#This Row],[Baseline Start]],Tasks[[#This Row],[_CalcStart]]))</f>
        <v/>
      </c>
      <c r="AK63" s="31" t="str">
        <f aca="false">IF(Tasks[[#This Row],[Task Name]]="","",IF(N(Tasks[[#This Row],[Baseline Finish]])&gt;0,Tasks[[#This Row],[Baseline Finish]],Tasks[[#This Row],[_CalcFinish]]))</f>
        <v/>
      </c>
      <c r="AL6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3" s="31" t="str">
        <f aca="false">IF(Tasks[[#This Row],[Task Name]]="","",IF(Tasks[[#This Row],[_IsSummary]],MIN(INDEX(Tasks[_LeafLateStart],Tasks[[#This Row],[_Row]]+1):INDEX(Tasks[_LeafLateStart],Tasks[[#This Row],[_Row]]+Tasks[[#This Row],[_Descendants]])),Tasks[[#This Row],[_LeafLateStart]]))</f>
        <v/>
      </c>
      <c r="AN63" s="31" t="str">
        <f aca="false">IF(Tasks[[#This Row],[Task Name]]="","",IF(Tasks[[#This Row],[_IsSummary]],MAX(INDEX(Tasks[_LeafLateFinish],Tasks[[#This Row],[_Row]]+1):INDEX(Tasks[_LeafLateFinish],Tasks[[#This Row],[_Row]]+Tasks[[#This Row],[_Descendants]])),Tasks[[#This Row],[_LeafLateFinish]]))</f>
        <v/>
      </c>
      <c r="AO63" s="51" t="str">
        <f aca="false">IF(Tasks[[#This Row],[Task Name]]="","",IF(Tasks[[#This Row],[_IsSummary]],MIN(INDEX(Tasks[_LeafTotalSlack],Tasks[[#This Row],[_Row]]+1):INDEX(Tasks[_LeafTotalSlack],Tasks[[#This Row],[_Row]]+Tasks[[#This Row],[_Descendants]])),Tasks[[#This Row],[_LeafTotalSlack]]))</f>
        <v/>
      </c>
      <c r="AP6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3" s="110" t="str">
        <f aca="false">IF(Tasks[[#This Row],[Task Name]]="","",IF(Tasks[[#This Row],[_IsSummary]],SUM(INDEX(Tasks[_LeafTotalWork],Tasks[[#This Row],[_Row]]+1):INDEX(Tasks[_LeafTotalWork],Tasks[[#This Row],[_Row]]+Tasks[[#This Row],[_Descendants]])),Tasks[[#This Row],[_LeafTotalWork]]))</f>
        <v/>
      </c>
      <c r="AV6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3" s="111" t="str">
        <f aca="false">IF(Tasks[[#This Row],[Task Name]]="","",IF(Tasks[[#This Row],[_IsSummary]],SUM(INDEX(Tasks[_LeafTotalCost],Tasks[[#This Row],[_Row]]+1):INDEX(Tasks[_LeafTotalCost],Tasks[[#This Row],[_Row]]+Tasks[[#This Row],[_Descendants]])),Tasks[[#This Row],[_LeafTotalCost]]))</f>
        <v/>
      </c>
      <c r="AY63" s="112"/>
      <c r="AZ6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3" s="52"/>
      <c r="BB63" s="98"/>
      <c r="BC63" s="51" t="str">
        <f aca="false">IF(OR(Tasks[[#This Row],[Task Name]]="",Tasks[[#This Row],[Baseline Duration]]=""),"",Tasks[[#This Row],[BL Source Duration]]-N(Tasks[[#This Row],[Baseline Duration]]))</f>
        <v/>
      </c>
      <c r="BD63" s="110" t="str">
        <f aca="false">IF(OR(Tasks[[#This Row],[Task Name]]="",Tasks[[#This Row],[Baseline Work]]=""),"",Tasks[[#This Row],[Work]]-N(Tasks[[#This Row],[Baseline Work]]))</f>
        <v/>
      </c>
      <c r="BE63" s="111" t="str">
        <f aca="false">IF(OR(Tasks[[#This Row],[Task Name]]="",Tasks[[#This Row],[Baseline Cost]]=""),"",Tasks[[#This Row],[Cost]]-N(Tasks[[#This Row],[Baseline Cost]]))</f>
        <v/>
      </c>
      <c r="BF63" s="31" t="str">
        <f aca="false">IF(Tasks[[#This Row],[Task Name]]="","",Tasks[[#This Row],[Forecast Start]])</f>
        <v/>
      </c>
      <c r="BG63" s="31" t="str">
        <f aca="false">IF(Tasks[[#This Row],[Task Name]]="","",Tasks[[#This Row],[Forecast Finish]])</f>
        <v/>
      </c>
      <c r="BH63" s="51" t="str">
        <f aca="false">IF(Tasks[[#This Row],[Task Name]]="","",IF(Tasks[[#This Row],[_IsSummary]],NETWORKDAYS.INTL(Tasks[[#This Row],[Forecast Start]],Tasks[[#This Row],[Forecast Finish]],WorkWeek,Holidays),N(Tasks[[#This Row],[Duration]])))</f>
        <v/>
      </c>
      <c r="BI63" s="110" t="str">
        <f aca="false">IF(Tasks[[#This Row],[Task Name]]="","",Tasks[[#This Row],[Work]])</f>
        <v/>
      </c>
      <c r="BJ63" s="111" t="str">
        <f aca="false">IF(Tasks[[#This Row],[Task Name]]="","",Tasks[[#This Row],[Cost]])</f>
        <v/>
      </c>
      <c r="BK63" s="7"/>
      <c r="BL63" s="7"/>
      <c r="BM63" s="52"/>
      <c r="BN63" s="113"/>
      <c r="BO63" s="112"/>
      <c r="BP63" s="111" t="str">
        <f aca="false">IF(Tasks[[#This Row],[Task Name]]="","",IF(Tasks[[#This Row],[_IsSummary]],SUM(INDEX(Tasks[_LeafEV],Tasks[[#This Row],[_Row]]+1):INDEX(Tasks[_LeafEV],Tasks[[#This Row],[_Row]]+Tasks[[#This Row],[_Descendants]])),Tasks[[#This Row],[_LeafEV]]))</f>
        <v/>
      </c>
      <c r="BQ63" s="111" t="str">
        <f aca="false">IF(Tasks[[#This Row],[Task Name]]="","",IF(Tasks[[#This Row],[_IsSummary]],SUM(INDEX(Tasks[_LeafBudget],Tasks[[#This Row],[_Row]]+1):INDEX(Tasks[_LeafBudget],Tasks[[#This Row],[_Row]]+Tasks[[#This Row],[_Descendants]])),Tasks[[#This Row],[_LeafBudget]]))</f>
        <v/>
      </c>
      <c r="BR63" s="111" t="str">
        <f aca="false">IF(Tasks[[#This Row],[Task Name]]="","",IF(Tasks[[#This Row],[_IsSummary]],SUM(INDEX(Tasks[_LeafPV],Tasks[[#This Row],[_Row]]+1):INDEX(Tasks[_LeafPV],Tasks[[#This Row],[_Row]]+Tasks[[#This Row],[_Descendants]])),Tasks[[#This Row],[_LeafPV]]))</f>
        <v/>
      </c>
      <c r="BS63" s="111" t="str">
        <f aca="false">IF(Tasks[[#This Row],[Task Name]]="","",IF(Tasks[[#This Row],[_IsSummary]],SUM(INDEX(Tasks[_LeafAC],Tasks[[#This Row],[_Row]]+1):INDEX(Tasks[_LeafAC],Tasks[[#This Row],[_Row]]+Tasks[[#This Row],[_Descendants]])),Tasks[[#This Row],[_LeafAC]]))</f>
        <v/>
      </c>
      <c r="BT63" s="38" t="str">
        <f aca="false">IF(Tasks[[#This Row],[Task Name]]="","",MAX(1,N(Tasks[[#This Row],[Level]])))</f>
        <v/>
      </c>
      <c r="BU63" s="38" t="n">
        <f aca="false">ROW()-ROW(Tasks[[#Headers],[ID]])</f>
        <v>58</v>
      </c>
      <c r="BV63" s="38" t="n">
        <f aca="false">IF(OR(Tasks[[#This Row],[Task Name]]="",Tasks[[#This Row],[_Level]]&lt;=1),0,IFERROR(LOOKUP(2,1/(Tasks[[#Headers],[_Level]]:Tasks[[#This Row],[_Level]]=Tasks[[#This Row],[_Level]]-1),ROW(Tasks[[#Headers],[_Level]]:Tasks[[#This Row],[_Level]])),0))</f>
        <v>0</v>
      </c>
      <c r="BW63" s="38" t="n">
        <f aca="false">IFERROR(N(INDEX(Tasks[_Level],Tasks[[#This Row],[_Row]]+1)),0)</f>
        <v>0</v>
      </c>
      <c r="BX63" s="114" t="b">
        <f aca="false">AND(Tasks[[#This Row],[Task Name]]&lt;&gt;"",Tasks[[#This Row],[_NextLevel]]&gt;Tasks[[#This Row],[_Level]])</f>
        <v>0</v>
      </c>
      <c r="BY63" s="38" t="n">
        <f aca="false">IF(Tasks[[#This Row],[_IsSummary]],COUNTIF(Tasks[WBS],Tasks[[#This Row],[WBS]]&amp;".*"),0)</f>
        <v>0</v>
      </c>
      <c r="BZ63" s="38" t="n">
        <f aca="false">IF(AND(Tasks[[#This Row],[Task Name]]&lt;&gt;"",NOT(Tasks[[#This Row],[_IsSummary]])),1,0)</f>
        <v>0</v>
      </c>
      <c r="CA63" s="38" t="n">
        <f aca="false">IF(N(Tasks[[#This Row],[Pred1 UID]])=0,0,IFERROR(MATCH(Tasks[[#This Row],[Pred1 UID]],Tasks[UID],0),-1))</f>
        <v>0</v>
      </c>
      <c r="CB63" s="38" t="n">
        <f aca="false">IF(N(Tasks[[#This Row],[Pred2 UID]])=0,0,IFERROR(MATCH(Tasks[[#This Row],[Pred2 UID]],Tasks[UID],0),-1))</f>
        <v>0</v>
      </c>
      <c r="CC63" s="38" t="n">
        <f aca="false">IF(N(Tasks[[#This Row],[Pred3 UID]])=0,0,IFERROR(MATCH(Tasks[[#This Row],[Pred3 UID]],Tasks[UID],0),-1))</f>
        <v>0</v>
      </c>
      <c r="CD63" s="38" t="n">
        <f aca="false">IF(N(Tasks[[#This Row],[Pred4 UID]])=0,0,IFERROR(MATCH(Tasks[[#This Row],[Pred4 UID]],Tasks[UID],0),-1))</f>
        <v>0</v>
      </c>
      <c r="CE6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3" s="115" t="n">
        <f aca="false">IF(OR(Tasks[[#This Row],[_ConstraintCode]]=2,Tasks[[#This Row],[_ConstraintCode]]=3,Tasks[[#This Row],[_ConstraintCode]]=4,Tasks[[#This Row],[_ConstraintCode]]=6),Tasks[[#This Row],[_ConstraintStart]],0)</f>
        <v>0</v>
      </c>
      <c r="CH63" s="115" t="n">
        <f aca="false">IF(OR(Tasks[[#This Row],[_ConstraintCode]]=2,Tasks[[#This Row],[_ConstraintCode]]=3,Tasks[[#This Row],[_ConstraintCode]]=5,Tasks[[#This Row],[_ConstraintCode]]=7),Tasks[[#This Row],[_ConstraintStart]],2958465)</f>
        <v>2958465</v>
      </c>
      <c r="CI6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3" s="115" t="str">
        <f aca="false">IF(NOT(Tasks[[#This Row],[_IsLeaf]]=1),"",IF(N(Tasks[[#This Row],[Duration]])&lt;=0,Tasks[[#This Row],[_LeafCalcStart]],WORKDAY.INTL(Tasks[[#This Row],[_LeafCalcStart]],Tasks[[#This Row],[Duration]]-1,WorkWeek,Holidays)))</f>
        <v/>
      </c>
      <c r="CK6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3" s="38" t="n">
        <f aca="false">IF(NOT(Tasks[[#This Row],[_IsLeaf]]=1),0,IF(N(Tasks[[#This Row],[Actual Finish]])&gt;0,1,MIN(1,N(Tasks[[#This Row],[% Complete]]))))</f>
        <v>0</v>
      </c>
      <c r="CN63" s="38" t="n">
        <f aca="false">IF(OR(NOT(Tasks[[#This Row],[_IsLeaf]]=1),Tasks[[#This Row],[Resource]]=""),0,N(Tasks[[#This Row],[Duration]])*HoursPerDay*IF(Tasks[[#This Row],[Units]]="",DefaultUnits,Tasks[[#This Row],[Units]]))</f>
        <v>0</v>
      </c>
      <c r="CO63" s="38" t="n">
        <f aca="false">IF(Tasks[[#This Row],[_LeafWork]]=0,0,Tasks[[#This Row],[_LeafWork]]*IFERROR(INDEX(res_Rate,MATCH(Tasks[[#This Row],[Resource]],res_Name,0)),0))</f>
        <v>0</v>
      </c>
      <c r="CP63" s="38" t="n">
        <f aca="false">Tasks[[#This Row],[_LeafWork]]+IF(Tasks[[#This Row],[_IsLeaf]]=1,SUMIFS(asg_Work,asg_TaskUID,Tasks[[#This Row],[UID]],asg_Valid,1),0)</f>
        <v>0</v>
      </c>
      <c r="CQ63" s="38" t="n">
        <f aca="false">Tasks[[#This Row],[_LeafCost]]+IF(Tasks[[#This Row],[_IsLeaf]]=1,SUMIFS(asg_Cost,asg_TaskUID,Tasks[[#This Row],[UID]],asg_Valid,1),0)</f>
        <v>0</v>
      </c>
      <c r="CR63" s="38" t="n">
        <f aca="false">IF(Tasks[[#This Row],[_LeafTotalCost]]=0,Tasks[[#This Row],[_LeafAC]],Tasks[[#This Row],[_LeafAC]]*Tasks[[#This Row],[_LeafCost]]/Tasks[[#This Row],[_LeafTotalCost]])</f>
        <v>0</v>
      </c>
      <c r="CS6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3" s="38" t="n">
        <f aca="false">IF(NOT(Tasks[[#This Row],[_IsLeaf]]=1),0,MAX(_xlfn.MAXIFS(Tasks[_Row],Tasks[Pred1 UID],Tasks[[#This Row],[UID]]),_xlfn.MAXIFS(Tasks[_Row],Tasks[Pred2 UID],Tasks[[#This Row],[UID]]),_xlfn.MAXIFS(Tasks[_Row],Tasks[Pred3 UID],Tasks[[#This Row],[UID]]),_xlfn.MAXIFS(Tasks[_Row],Tasks[Pred4 UID],Tasks[[#This Row],[UID]])))</f>
        <v>0</v>
      </c>
      <c r="DB6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3" s="115" t="str">
        <f aca="false">IF(NOT(Tasks[[#This Row],[_IsLeaf]]=1),"",IF(N(Tasks[[#This Row],[Duration]])&lt;=0,Tasks[[#This Row],[_LeafLateFinish]],WORKDAY.INTL(Tasks[[#This Row],[_LeafLateFinish]],-(Tasks[[#This Row],[Duration]]-1),WorkWeek,Holidays)))</f>
        <v/>
      </c>
      <c r="DE6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3" s="114" t="b">
        <f aca="false">AND(Tasks[[#This Row],[_IsLeaf]]=1,Tasks[[#This Row],[_LeafProgress]]&lt;1,N(Tasks[[#This Row],[_LeafTotalSlack]])&lt;=CriticalSlackDays)</f>
        <v>0</v>
      </c>
      <c r="DG63" s="38" t="n">
        <f aca="false">IF(AND(Tasks[[#This Row],[_IsLeaf]]=1,Tasks[[#This Row],[_ConstraintCode]]=1,Tasks[[#This Row],[Mode]]&lt;&gt;"Manual",N(Tasks[[#This Row],[Actual Start]])=0),MAX(0,N(Tasks[[#This Row],[Free Slack]])),0)</f>
        <v>0</v>
      </c>
      <c r="DH63" s="115" t="str">
        <f aca="false">IF(NOT(Tasks[[#This Row],[_IsLeaf]]=1),"",IF(Tasks[[#This Row],[_AlapShift]]=0,Tasks[[#This Row],[_LeafCalcStart]],WORKDAY.INTL(Tasks[[#This Row],[_LeafCalcStart]],Tasks[[#This Row],[_AlapShift]],WorkWeek,Holidays)))</f>
        <v/>
      </c>
      <c r="DI63" s="115" t="str">
        <f aca="false">IF(NOT(Tasks[[#This Row],[_IsLeaf]]=1),"",IF(Tasks[[#This Row],[_AlapShift]]=0,Tasks[[#This Row],[_LeafCalcFinish]],WORKDAY.INTL(Tasks[[#This Row],[_LeafCalcFinish]],Tasks[[#This Row],[_AlapShift]],WorkWeek,Holidays)))</f>
        <v/>
      </c>
      <c r="DJ63" s="115" t="str">
        <f aca="false">IF(NOT(Tasks[[#This Row],[_IsLeaf]]=1),"",IF(Tasks[[#This Row],[_AlapShift]]=0,Tasks[[#This Row],[_LeafFcstStart]],WORKDAY.INTL(Tasks[[#This Row],[_LeafFcstStart]],Tasks[[#This Row],[_AlapShift]],WorkWeek,Holidays)))</f>
        <v/>
      </c>
      <c r="DK63" s="115" t="str">
        <f aca="false">IF(NOT(Tasks[[#This Row],[_IsLeaf]]=1),"",IF(Tasks[[#This Row],[_AlapShift]]=0,Tasks[[#This Row],[_LeafFcstFinish]],WORKDAY.INTL(Tasks[[#This Row],[_LeafFcstFinish]],Tasks[[#This Row],[_AlapShift]],WorkWeek,Holidays)))</f>
        <v/>
      </c>
      <c r="DL63" s="115" t="str">
        <f aca="false">IF(Tasks[[#This Row],[Task Name]]="","",IF(Tasks[[#This Row],[_IsSummary]],MIN(INDEX(Tasks[_ShownCalcStart],Tasks[[#This Row],[_Row]]+1):INDEX(Tasks[_ShownCalcStart],Tasks[[#This Row],[_Row]]+Tasks[[#This Row],[_Descendants]])),Tasks[[#This Row],[_ShownCalcStart]]))</f>
        <v/>
      </c>
      <c r="DM63" s="115" t="str">
        <f aca="false">IF(Tasks[[#This Row],[Task Name]]="","",IF(Tasks[[#This Row],[_IsSummary]],MAX(INDEX(Tasks[_ShownCalcFinish],Tasks[[#This Row],[_Row]]+1):INDEX(Tasks[_ShownCalcFinish],Tasks[[#This Row],[_Row]]+Tasks[[#This Row],[_Descendants]])),Tasks[[#This Row],[_ShownCalcFinish]]))</f>
        <v/>
      </c>
      <c r="DN6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3" s="38" t="n">
        <f aca="false">IF(AND(Tasks[[#This Row],[_IsLeaf]]=1,Tasks[[#This Row],[_LeafTotalWork]]&gt;0),NETWORKDAYS.INTL(ProjectStart,Tasks[[#This Row],[_ShownFcstStart]],WorkWeek,Holidays),0)</f>
        <v>0</v>
      </c>
      <c r="EA63" s="38" t="n">
        <f aca="false">IF(AND(Tasks[[#This Row],[_IsLeaf]]=1,Tasks[[#This Row],[_LeafTotalWork]]&gt;0),MAX(Tasks[[#This Row],[_StartWorkday]],NETWORKDAYS.INTL(ProjectStart,Tasks[[#This Row],[_ShownFcstFinish]],WorkWeek,Holidays)),0)</f>
        <v>0</v>
      </c>
      <c r="EB63" s="38" t="n">
        <f aca="false">IF(AND(Tasks[[#This Row],[_IsLeaf]]=1,Tasks[[#This Row],[_LeafTotalWork]]&gt;0),Tasks[[#This Row],[_LeafWork]]/(Tasks[[#This Row],[_FinishWorkday]]-Tasks[[#This Row],[_StartWorkday]]+1),0)</f>
        <v>0</v>
      </c>
      <c r="EC63" s="38" t="n">
        <f aca="false">Tasks[[#This Row],[_WorkPerWorkday]]*(Tasks[[#This Row],[_StartWorkday]]-1)</f>
        <v>-0</v>
      </c>
      <c r="ED63" s="38" t="n">
        <f aca="false">IF(Tasks[[#This Row],[_IsLeaf]]=1,MAX(N(Tasks[[#This Row],[Duration]]),0.1),0)</f>
        <v>0</v>
      </c>
      <c r="EE63" s="38" t="n">
        <f aca="false">Tasks[[#This Row],[_WeightDur]]*Tasks[[#This Row],[_LeafProgress]]</f>
        <v>0</v>
      </c>
      <c r="EF6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3" s="38" t="str">
        <f aca="false">IF(AND(Tasks[[#This Row],[_IsLeaf]]=1,N(Tasks[[#This Row],[Duration]])=0,Tasks[[#This Row],[_LeafProgress]]&lt;1),Tasks[[#This Row],[_ShownFcstFinish]]+Tasks[[#This Row],[_Row]]/100000,"")</f>
        <v/>
      </c>
      <c r="EH6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3" s="38" t="n">
        <f aca="false">IF(NOT(Tasks[[#This Row],[_IsLeaf]]=1),0,IF(Tasks[[#This Row],[Baseline Cost]]="",Tasks[[#This Row],[_LeafTotalCost]],N(Tasks[[#This Row],[Baseline Cost]])))</f>
        <v>0</v>
      </c>
      <c r="EJ63" s="38" t="n">
        <f aca="false">Tasks[[#This Row],[_LeafBudget]]*Tasks[[#This Row],[_PlannedPct]]</f>
        <v>0</v>
      </c>
      <c r="EK63" s="38" t="n">
        <f aca="false">Tasks[[#This Row],[_LeafBudget]]*Tasks[[#This Row],[_LeafProgress]]</f>
        <v>0</v>
      </c>
      <c r="EL63" s="38" t="n">
        <f aca="false">IF(NOT(Tasks[[#This Row],[_IsLeaf]]=1),0,IF(Tasks[[#This Row],[Actual Cost]]="",Tasks[[#This Row],[_LeafTotalCost]]*Tasks[[#This Row],[_LeafProgress]],N(Tasks[[#This Row],[Actual Cost]])))</f>
        <v>0</v>
      </c>
      <c r="EM63" s="38" t="str">
        <f aca="false">IF(Tasks[[#This Row],[Task Name]]="","",LEFT(Tasks[[#This Row],[WBS]],FIND(".",Tasks[[#This Row],[WBS]]&amp;".")-1))</f>
        <v/>
      </c>
      <c r="EN63" s="38" t="str">
        <f aca="false">IF(AND(Tasks[[#This Row],[Task Name]]&lt;&gt;"",Tasks[[#This Row],[_Level]]=1),Tasks[[#This Row],[_Row]],"")</f>
        <v/>
      </c>
      <c r="EO63" s="38" t="str">
        <f aca="false">IF(AND(Tasks[[#This Row],[_IsLeaf]]=1,N(Tasks[[#This Row],[Duration]])=0),Tasks[[#This Row],[Planned Finish]]+Tasks[[#This Row],[_Row]]/100000,"")</f>
        <v/>
      </c>
      <c r="EP63" s="38" t="str">
        <f aca="false">IF(AND(Tasks[[#This Row],[_IsLeaf]]=1,Tasks[[#This Row],[_LeafProgress]]&lt;1,OR(N(Tasks[[#This Row],[Finish Var]])&gt;0,Tasks[[#This Row],[Status]]="Late Start")),MAX(0,Tasks[[#This Row],[Finish Var]])+1-Tasks[[#This Row],[_Row]]/1000000,"")</f>
        <v/>
      </c>
      <c r="EQ63" s="38" t="str">
        <f aca="false">IF(AND(Tasks[[#This Row],[_IsLeaf]]=1,N(Tasks[[#This Row],[Actual Start]])=0,Tasks[[#This Row],[_ShownFcstStart]]&gt;=StatusDate,Tasks[[#This Row],[_ShownFcstStart]]&lt;=LookaheadEnd),Tasks[[#This Row],[_ShownFcstStart]]+Tasks[[#This Row],[_Row]]/100000,"")</f>
        <v/>
      </c>
      <c r="ER63" s="38" t="str">
        <f aca="false">IF(AND(Tasks[[#This Row],[_IsLeaf]]=1,Tasks[[#This Row],[_LeafProgress]]&lt;1,Tasks[[#This Row],[_ShownFcstFinish]]&gt;=StatusDate,Tasks[[#This Row],[_ShownFcstFinish]]&lt;=LookaheadEnd),Tasks[[#This Row],[_ShownFcstFinish]]+Tasks[[#This Row],[_Row]]/100000,"")</f>
        <v/>
      </c>
      <c r="ES63" s="38" t="str">
        <f aca="false">IF(Tasks[[#This Row],[_LeafCritical]],Tasks[[#This Row],[_ShownFcstStart]]+Tasks[[#This Row],[_Row]]/100000,"")</f>
        <v/>
      </c>
      <c r="ET63" s="38" t="n">
        <f aca="false">Tasks[[#This Row],[_LeafWork]]*Tasks[[#This Row],[_LeafProgress]]</f>
        <v>0</v>
      </c>
      <c r="EU63" s="115" t="str">
        <f aca="false">IF(AND(Tasks[[#This Row],[_IsLeaf]]=1,Tasks[[#This Row],[_LeafProgress]]&gt;=1),IF(N(Tasks[[#This Row],[Actual Finish]])&gt;0,Tasks[[#This Row],[Actual Finish]],Tasks[[#This Row],[_ShownFcstFinish]]),"")</f>
        <v/>
      </c>
      <c r="EV63" s="38" t="n">
        <f aca="false">IF(Tasks[[#This Row],[_IsLeaf]]=1,N(Tasks[[#This Row],[Story Points]]),0)</f>
        <v>0</v>
      </c>
      <c r="EW63" s="38" t="str">
        <f aca="false">IF(AND(Tasks[[#This Row],[_IsLeaf]]=1,CurrentSprint&lt;&gt;"",Tasks[[#This Row],[Sprint]]=CurrentSprint),Tasks[[#This Row],[_Row]],"")</f>
        <v/>
      </c>
    </row>
    <row r="64" customFormat="false" ht="15" hidden="false" customHeight="false" outlineLevel="0" collapsed="false">
      <c r="A64" s="51" t="str">
        <f aca="false">IF(Tasks[[#This Row],[Task Name]]="","",COUNTA(Tasks[[#Headers],[Task Name]]:Tasks[[#This Row],[Task Name]])-1)</f>
        <v/>
      </c>
      <c r="B64" s="52" t="n">
        <v>59</v>
      </c>
      <c r="C6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52"/>
      <c r="E64" s="53"/>
      <c r="F64" s="52"/>
      <c r="G64" s="52"/>
      <c r="H64" s="52"/>
      <c r="I64" s="52"/>
      <c r="J64" s="52"/>
      <c r="K64" s="52"/>
      <c r="L64" s="52"/>
      <c r="M64" s="52"/>
      <c r="N64" s="52"/>
      <c r="O64" s="52"/>
      <c r="P64" s="52"/>
      <c r="Q64" s="52"/>
      <c r="R64" s="52"/>
      <c r="S64" s="53"/>
      <c r="T64" s="102"/>
      <c r="U64" s="102"/>
      <c r="V64" s="7"/>
      <c r="W64" s="7"/>
      <c r="X64" s="53"/>
      <c r="Y64" s="31" t="str">
        <f aca="false">IF(Tasks[[#This Row],[Task Name]]="","",IF(Tasks[[#This Row],[_IsSummary]],MIN(INDEX(Tasks[_ShownFcstStart],Tasks[[#This Row],[_Row]]+1):INDEX(Tasks[_ShownFcstStart],Tasks[[#This Row],[_Row]]+Tasks[[#This Row],[_Descendants]])),Tasks[[#This Row],[_ShownFcstStart]]))</f>
        <v/>
      </c>
      <c r="Z64" s="31" t="str">
        <f aca="false">IF(Tasks[[#This Row],[Task Name]]="","",IF(Tasks[[#This Row],[_IsSummary]],MAX(INDEX(Tasks[_ShownFcstFinish],Tasks[[#This Row],[_Row]]+1):INDEX(Tasks[_ShownFcstFinish],Tasks[[#This Row],[_Row]]+Tasks[[#This Row],[_Descendants]])),Tasks[[#This Row],[_ShownFcstFinish]]))</f>
        <v/>
      </c>
      <c r="AA64" s="51" t="str">
        <f aca="false">IF(Tasks[[#This Row],[Task Name]]="","",IF(Tasks[[#This Row],[Progress]]&gt;=1,"Complete",IF(OR(N(Tasks[[#This Row],[Actual Start]])&gt;0,Tasks[[#This Row],[Progress]]&gt;0),IF(Tasks[[#This Row],[Finish Var]]&gt;0,"Behind","In Progress"),IF(Tasks[[#This Row],[Planned Start]]&lt;StatusDate,"Late Start","Not Started"))))</f>
        <v/>
      </c>
      <c r="AB64" s="51" t="str">
        <f aca="false">IF(Tasks[[#This Row],[Task Name]]="","",IF(IF(Tasks[[#This Row],[_IsSummary]],COUNTIF(INDEX(Tasks[_LeafCritical],Tasks[[#This Row],[_Row]]+1):INDEX(Tasks[_LeafCritical],Tasks[[#This Row],[_Row]]+Tasks[[#This Row],[_Descendants]]),TRUE())&gt;0,Tasks[[#This Row],[_LeafCritical]]),"Yes",""))</f>
        <v/>
      </c>
      <c r="AC6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4" s="51" t="str">
        <f aca="false">IF(Tasks[[#This Row],[Task Name]]="","",IF(Tasks[[#This Row],[_Level]]&lt;=OutlineShowLevel,"Yes","No"))</f>
        <v/>
      </c>
      <c r="AE64" s="7"/>
      <c r="AF64" s="52"/>
      <c r="AG64" s="53"/>
      <c r="AH64" s="7"/>
      <c r="AI6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4" s="31" t="str">
        <f aca="false">IF(Tasks[[#This Row],[Task Name]]="","",IF(N(Tasks[[#This Row],[Baseline Start]])&gt;0,Tasks[[#This Row],[Baseline Start]],Tasks[[#This Row],[_CalcStart]]))</f>
        <v/>
      </c>
      <c r="AK64" s="31" t="str">
        <f aca="false">IF(Tasks[[#This Row],[Task Name]]="","",IF(N(Tasks[[#This Row],[Baseline Finish]])&gt;0,Tasks[[#This Row],[Baseline Finish]],Tasks[[#This Row],[_CalcFinish]]))</f>
        <v/>
      </c>
      <c r="AL6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4" s="31" t="str">
        <f aca="false">IF(Tasks[[#This Row],[Task Name]]="","",IF(Tasks[[#This Row],[_IsSummary]],MIN(INDEX(Tasks[_LeafLateStart],Tasks[[#This Row],[_Row]]+1):INDEX(Tasks[_LeafLateStart],Tasks[[#This Row],[_Row]]+Tasks[[#This Row],[_Descendants]])),Tasks[[#This Row],[_LeafLateStart]]))</f>
        <v/>
      </c>
      <c r="AN64" s="31" t="str">
        <f aca="false">IF(Tasks[[#This Row],[Task Name]]="","",IF(Tasks[[#This Row],[_IsSummary]],MAX(INDEX(Tasks[_LeafLateFinish],Tasks[[#This Row],[_Row]]+1):INDEX(Tasks[_LeafLateFinish],Tasks[[#This Row],[_Row]]+Tasks[[#This Row],[_Descendants]])),Tasks[[#This Row],[_LeafLateFinish]]))</f>
        <v/>
      </c>
      <c r="AO64" s="51" t="str">
        <f aca="false">IF(Tasks[[#This Row],[Task Name]]="","",IF(Tasks[[#This Row],[_IsSummary]],MIN(INDEX(Tasks[_LeafTotalSlack],Tasks[[#This Row],[_Row]]+1):INDEX(Tasks[_LeafTotalSlack],Tasks[[#This Row],[_Row]]+Tasks[[#This Row],[_Descendants]])),Tasks[[#This Row],[_LeafTotalSlack]]))</f>
        <v/>
      </c>
      <c r="AP6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4" s="110" t="str">
        <f aca="false">IF(Tasks[[#This Row],[Task Name]]="","",IF(Tasks[[#This Row],[_IsSummary]],SUM(INDEX(Tasks[_LeafTotalWork],Tasks[[#This Row],[_Row]]+1):INDEX(Tasks[_LeafTotalWork],Tasks[[#This Row],[_Row]]+Tasks[[#This Row],[_Descendants]])),Tasks[[#This Row],[_LeafTotalWork]]))</f>
        <v/>
      </c>
      <c r="AV6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4" s="111" t="str">
        <f aca="false">IF(Tasks[[#This Row],[Task Name]]="","",IF(Tasks[[#This Row],[_IsSummary]],SUM(INDEX(Tasks[_LeafTotalCost],Tasks[[#This Row],[_Row]]+1):INDEX(Tasks[_LeafTotalCost],Tasks[[#This Row],[_Row]]+Tasks[[#This Row],[_Descendants]])),Tasks[[#This Row],[_LeafTotalCost]]))</f>
        <v/>
      </c>
      <c r="AY64" s="112"/>
      <c r="AZ6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4" s="52"/>
      <c r="BB64" s="98"/>
      <c r="BC64" s="51" t="str">
        <f aca="false">IF(OR(Tasks[[#This Row],[Task Name]]="",Tasks[[#This Row],[Baseline Duration]]=""),"",Tasks[[#This Row],[BL Source Duration]]-N(Tasks[[#This Row],[Baseline Duration]]))</f>
        <v/>
      </c>
      <c r="BD64" s="110" t="str">
        <f aca="false">IF(OR(Tasks[[#This Row],[Task Name]]="",Tasks[[#This Row],[Baseline Work]]=""),"",Tasks[[#This Row],[Work]]-N(Tasks[[#This Row],[Baseline Work]]))</f>
        <v/>
      </c>
      <c r="BE64" s="111" t="str">
        <f aca="false">IF(OR(Tasks[[#This Row],[Task Name]]="",Tasks[[#This Row],[Baseline Cost]]=""),"",Tasks[[#This Row],[Cost]]-N(Tasks[[#This Row],[Baseline Cost]]))</f>
        <v/>
      </c>
      <c r="BF64" s="31" t="str">
        <f aca="false">IF(Tasks[[#This Row],[Task Name]]="","",Tasks[[#This Row],[Forecast Start]])</f>
        <v/>
      </c>
      <c r="BG64" s="31" t="str">
        <f aca="false">IF(Tasks[[#This Row],[Task Name]]="","",Tasks[[#This Row],[Forecast Finish]])</f>
        <v/>
      </c>
      <c r="BH64" s="51" t="str">
        <f aca="false">IF(Tasks[[#This Row],[Task Name]]="","",IF(Tasks[[#This Row],[_IsSummary]],NETWORKDAYS.INTL(Tasks[[#This Row],[Forecast Start]],Tasks[[#This Row],[Forecast Finish]],WorkWeek,Holidays),N(Tasks[[#This Row],[Duration]])))</f>
        <v/>
      </c>
      <c r="BI64" s="110" t="str">
        <f aca="false">IF(Tasks[[#This Row],[Task Name]]="","",Tasks[[#This Row],[Work]])</f>
        <v/>
      </c>
      <c r="BJ64" s="111" t="str">
        <f aca="false">IF(Tasks[[#This Row],[Task Name]]="","",Tasks[[#This Row],[Cost]])</f>
        <v/>
      </c>
      <c r="BK64" s="7"/>
      <c r="BL64" s="7"/>
      <c r="BM64" s="52"/>
      <c r="BN64" s="113"/>
      <c r="BO64" s="112"/>
      <c r="BP64" s="111" t="str">
        <f aca="false">IF(Tasks[[#This Row],[Task Name]]="","",IF(Tasks[[#This Row],[_IsSummary]],SUM(INDEX(Tasks[_LeafEV],Tasks[[#This Row],[_Row]]+1):INDEX(Tasks[_LeafEV],Tasks[[#This Row],[_Row]]+Tasks[[#This Row],[_Descendants]])),Tasks[[#This Row],[_LeafEV]]))</f>
        <v/>
      </c>
      <c r="BQ64" s="111" t="str">
        <f aca="false">IF(Tasks[[#This Row],[Task Name]]="","",IF(Tasks[[#This Row],[_IsSummary]],SUM(INDEX(Tasks[_LeafBudget],Tasks[[#This Row],[_Row]]+1):INDEX(Tasks[_LeafBudget],Tasks[[#This Row],[_Row]]+Tasks[[#This Row],[_Descendants]])),Tasks[[#This Row],[_LeafBudget]]))</f>
        <v/>
      </c>
      <c r="BR64" s="111" t="str">
        <f aca="false">IF(Tasks[[#This Row],[Task Name]]="","",IF(Tasks[[#This Row],[_IsSummary]],SUM(INDEX(Tasks[_LeafPV],Tasks[[#This Row],[_Row]]+1):INDEX(Tasks[_LeafPV],Tasks[[#This Row],[_Row]]+Tasks[[#This Row],[_Descendants]])),Tasks[[#This Row],[_LeafPV]]))</f>
        <v/>
      </c>
      <c r="BS64" s="111" t="str">
        <f aca="false">IF(Tasks[[#This Row],[Task Name]]="","",IF(Tasks[[#This Row],[_IsSummary]],SUM(INDEX(Tasks[_LeafAC],Tasks[[#This Row],[_Row]]+1):INDEX(Tasks[_LeafAC],Tasks[[#This Row],[_Row]]+Tasks[[#This Row],[_Descendants]])),Tasks[[#This Row],[_LeafAC]]))</f>
        <v/>
      </c>
      <c r="BT64" s="38" t="str">
        <f aca="false">IF(Tasks[[#This Row],[Task Name]]="","",MAX(1,N(Tasks[[#This Row],[Level]])))</f>
        <v/>
      </c>
      <c r="BU64" s="38" t="n">
        <f aca="false">ROW()-ROW(Tasks[[#Headers],[ID]])</f>
        <v>59</v>
      </c>
      <c r="BV64" s="38" t="n">
        <f aca="false">IF(OR(Tasks[[#This Row],[Task Name]]="",Tasks[[#This Row],[_Level]]&lt;=1),0,IFERROR(LOOKUP(2,1/(Tasks[[#Headers],[_Level]]:Tasks[[#This Row],[_Level]]=Tasks[[#This Row],[_Level]]-1),ROW(Tasks[[#Headers],[_Level]]:Tasks[[#This Row],[_Level]])),0))</f>
        <v>0</v>
      </c>
      <c r="BW64" s="38" t="n">
        <f aca="false">IFERROR(N(INDEX(Tasks[_Level],Tasks[[#This Row],[_Row]]+1)),0)</f>
        <v>0</v>
      </c>
      <c r="BX64" s="114" t="b">
        <f aca="false">AND(Tasks[[#This Row],[Task Name]]&lt;&gt;"",Tasks[[#This Row],[_NextLevel]]&gt;Tasks[[#This Row],[_Level]])</f>
        <v>0</v>
      </c>
      <c r="BY64" s="38" t="n">
        <f aca="false">IF(Tasks[[#This Row],[_IsSummary]],COUNTIF(Tasks[WBS],Tasks[[#This Row],[WBS]]&amp;".*"),0)</f>
        <v>0</v>
      </c>
      <c r="BZ64" s="38" t="n">
        <f aca="false">IF(AND(Tasks[[#This Row],[Task Name]]&lt;&gt;"",NOT(Tasks[[#This Row],[_IsSummary]])),1,0)</f>
        <v>0</v>
      </c>
      <c r="CA64" s="38" t="n">
        <f aca="false">IF(N(Tasks[[#This Row],[Pred1 UID]])=0,0,IFERROR(MATCH(Tasks[[#This Row],[Pred1 UID]],Tasks[UID],0),-1))</f>
        <v>0</v>
      </c>
      <c r="CB64" s="38" t="n">
        <f aca="false">IF(N(Tasks[[#This Row],[Pred2 UID]])=0,0,IFERROR(MATCH(Tasks[[#This Row],[Pred2 UID]],Tasks[UID],0),-1))</f>
        <v>0</v>
      </c>
      <c r="CC64" s="38" t="n">
        <f aca="false">IF(N(Tasks[[#This Row],[Pred3 UID]])=0,0,IFERROR(MATCH(Tasks[[#This Row],[Pred3 UID]],Tasks[UID],0),-1))</f>
        <v>0</v>
      </c>
      <c r="CD64" s="38" t="n">
        <f aca="false">IF(N(Tasks[[#This Row],[Pred4 UID]])=0,0,IFERROR(MATCH(Tasks[[#This Row],[Pred4 UID]],Tasks[UID],0),-1))</f>
        <v>0</v>
      </c>
      <c r="CE6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4" s="115" t="n">
        <f aca="false">IF(OR(Tasks[[#This Row],[_ConstraintCode]]=2,Tasks[[#This Row],[_ConstraintCode]]=3,Tasks[[#This Row],[_ConstraintCode]]=4,Tasks[[#This Row],[_ConstraintCode]]=6),Tasks[[#This Row],[_ConstraintStart]],0)</f>
        <v>0</v>
      </c>
      <c r="CH64" s="115" t="n">
        <f aca="false">IF(OR(Tasks[[#This Row],[_ConstraintCode]]=2,Tasks[[#This Row],[_ConstraintCode]]=3,Tasks[[#This Row],[_ConstraintCode]]=5,Tasks[[#This Row],[_ConstraintCode]]=7),Tasks[[#This Row],[_ConstraintStart]],2958465)</f>
        <v>2958465</v>
      </c>
      <c r="CI6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4" s="115" t="str">
        <f aca="false">IF(NOT(Tasks[[#This Row],[_IsLeaf]]=1),"",IF(N(Tasks[[#This Row],[Duration]])&lt;=0,Tasks[[#This Row],[_LeafCalcStart]],WORKDAY.INTL(Tasks[[#This Row],[_LeafCalcStart]],Tasks[[#This Row],[Duration]]-1,WorkWeek,Holidays)))</f>
        <v/>
      </c>
      <c r="CK6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4" s="38" t="n">
        <f aca="false">IF(NOT(Tasks[[#This Row],[_IsLeaf]]=1),0,IF(N(Tasks[[#This Row],[Actual Finish]])&gt;0,1,MIN(1,N(Tasks[[#This Row],[% Complete]]))))</f>
        <v>0</v>
      </c>
      <c r="CN64" s="38" t="n">
        <f aca="false">IF(OR(NOT(Tasks[[#This Row],[_IsLeaf]]=1),Tasks[[#This Row],[Resource]]=""),0,N(Tasks[[#This Row],[Duration]])*HoursPerDay*IF(Tasks[[#This Row],[Units]]="",DefaultUnits,Tasks[[#This Row],[Units]]))</f>
        <v>0</v>
      </c>
      <c r="CO64" s="38" t="n">
        <f aca="false">IF(Tasks[[#This Row],[_LeafWork]]=0,0,Tasks[[#This Row],[_LeafWork]]*IFERROR(INDEX(res_Rate,MATCH(Tasks[[#This Row],[Resource]],res_Name,0)),0))</f>
        <v>0</v>
      </c>
      <c r="CP64" s="38" t="n">
        <f aca="false">Tasks[[#This Row],[_LeafWork]]+IF(Tasks[[#This Row],[_IsLeaf]]=1,SUMIFS(asg_Work,asg_TaskUID,Tasks[[#This Row],[UID]],asg_Valid,1),0)</f>
        <v>0</v>
      </c>
      <c r="CQ64" s="38" t="n">
        <f aca="false">Tasks[[#This Row],[_LeafCost]]+IF(Tasks[[#This Row],[_IsLeaf]]=1,SUMIFS(asg_Cost,asg_TaskUID,Tasks[[#This Row],[UID]],asg_Valid,1),0)</f>
        <v>0</v>
      </c>
      <c r="CR64" s="38" t="n">
        <f aca="false">IF(Tasks[[#This Row],[_LeafTotalCost]]=0,Tasks[[#This Row],[_LeafAC]],Tasks[[#This Row],[_LeafAC]]*Tasks[[#This Row],[_LeafCost]]/Tasks[[#This Row],[_LeafTotalCost]])</f>
        <v>0</v>
      </c>
      <c r="CS6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4" s="38" t="n">
        <f aca="false">IF(NOT(Tasks[[#This Row],[_IsLeaf]]=1),0,MAX(_xlfn.MAXIFS(Tasks[_Row],Tasks[Pred1 UID],Tasks[[#This Row],[UID]]),_xlfn.MAXIFS(Tasks[_Row],Tasks[Pred2 UID],Tasks[[#This Row],[UID]]),_xlfn.MAXIFS(Tasks[_Row],Tasks[Pred3 UID],Tasks[[#This Row],[UID]]),_xlfn.MAXIFS(Tasks[_Row],Tasks[Pred4 UID],Tasks[[#This Row],[UID]])))</f>
        <v>0</v>
      </c>
      <c r="DB6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4" s="115" t="str">
        <f aca="false">IF(NOT(Tasks[[#This Row],[_IsLeaf]]=1),"",IF(N(Tasks[[#This Row],[Duration]])&lt;=0,Tasks[[#This Row],[_LeafLateFinish]],WORKDAY.INTL(Tasks[[#This Row],[_LeafLateFinish]],-(Tasks[[#This Row],[Duration]]-1),WorkWeek,Holidays)))</f>
        <v/>
      </c>
      <c r="DE6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4" s="114" t="b">
        <f aca="false">AND(Tasks[[#This Row],[_IsLeaf]]=1,Tasks[[#This Row],[_LeafProgress]]&lt;1,N(Tasks[[#This Row],[_LeafTotalSlack]])&lt;=CriticalSlackDays)</f>
        <v>0</v>
      </c>
      <c r="DG64" s="38" t="n">
        <f aca="false">IF(AND(Tasks[[#This Row],[_IsLeaf]]=1,Tasks[[#This Row],[_ConstraintCode]]=1,Tasks[[#This Row],[Mode]]&lt;&gt;"Manual",N(Tasks[[#This Row],[Actual Start]])=0),MAX(0,N(Tasks[[#This Row],[Free Slack]])),0)</f>
        <v>0</v>
      </c>
      <c r="DH64" s="115" t="str">
        <f aca="false">IF(NOT(Tasks[[#This Row],[_IsLeaf]]=1),"",IF(Tasks[[#This Row],[_AlapShift]]=0,Tasks[[#This Row],[_LeafCalcStart]],WORKDAY.INTL(Tasks[[#This Row],[_LeafCalcStart]],Tasks[[#This Row],[_AlapShift]],WorkWeek,Holidays)))</f>
        <v/>
      </c>
      <c r="DI64" s="115" t="str">
        <f aca="false">IF(NOT(Tasks[[#This Row],[_IsLeaf]]=1),"",IF(Tasks[[#This Row],[_AlapShift]]=0,Tasks[[#This Row],[_LeafCalcFinish]],WORKDAY.INTL(Tasks[[#This Row],[_LeafCalcFinish]],Tasks[[#This Row],[_AlapShift]],WorkWeek,Holidays)))</f>
        <v/>
      </c>
      <c r="DJ64" s="115" t="str">
        <f aca="false">IF(NOT(Tasks[[#This Row],[_IsLeaf]]=1),"",IF(Tasks[[#This Row],[_AlapShift]]=0,Tasks[[#This Row],[_LeafFcstStart]],WORKDAY.INTL(Tasks[[#This Row],[_LeafFcstStart]],Tasks[[#This Row],[_AlapShift]],WorkWeek,Holidays)))</f>
        <v/>
      </c>
      <c r="DK64" s="115" t="str">
        <f aca="false">IF(NOT(Tasks[[#This Row],[_IsLeaf]]=1),"",IF(Tasks[[#This Row],[_AlapShift]]=0,Tasks[[#This Row],[_LeafFcstFinish]],WORKDAY.INTL(Tasks[[#This Row],[_LeafFcstFinish]],Tasks[[#This Row],[_AlapShift]],WorkWeek,Holidays)))</f>
        <v/>
      </c>
      <c r="DL64" s="115" t="str">
        <f aca="false">IF(Tasks[[#This Row],[Task Name]]="","",IF(Tasks[[#This Row],[_IsSummary]],MIN(INDEX(Tasks[_ShownCalcStart],Tasks[[#This Row],[_Row]]+1):INDEX(Tasks[_ShownCalcStart],Tasks[[#This Row],[_Row]]+Tasks[[#This Row],[_Descendants]])),Tasks[[#This Row],[_ShownCalcStart]]))</f>
        <v/>
      </c>
      <c r="DM64" s="115" t="str">
        <f aca="false">IF(Tasks[[#This Row],[Task Name]]="","",IF(Tasks[[#This Row],[_IsSummary]],MAX(INDEX(Tasks[_ShownCalcFinish],Tasks[[#This Row],[_Row]]+1):INDEX(Tasks[_ShownCalcFinish],Tasks[[#This Row],[_Row]]+Tasks[[#This Row],[_Descendants]])),Tasks[[#This Row],[_ShownCalcFinish]]))</f>
        <v/>
      </c>
      <c r="DN6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4" s="38" t="n">
        <f aca="false">IF(AND(Tasks[[#This Row],[_IsLeaf]]=1,Tasks[[#This Row],[_LeafTotalWork]]&gt;0),NETWORKDAYS.INTL(ProjectStart,Tasks[[#This Row],[_ShownFcstStart]],WorkWeek,Holidays),0)</f>
        <v>0</v>
      </c>
      <c r="EA64" s="38" t="n">
        <f aca="false">IF(AND(Tasks[[#This Row],[_IsLeaf]]=1,Tasks[[#This Row],[_LeafTotalWork]]&gt;0),MAX(Tasks[[#This Row],[_StartWorkday]],NETWORKDAYS.INTL(ProjectStart,Tasks[[#This Row],[_ShownFcstFinish]],WorkWeek,Holidays)),0)</f>
        <v>0</v>
      </c>
      <c r="EB64" s="38" t="n">
        <f aca="false">IF(AND(Tasks[[#This Row],[_IsLeaf]]=1,Tasks[[#This Row],[_LeafTotalWork]]&gt;0),Tasks[[#This Row],[_LeafWork]]/(Tasks[[#This Row],[_FinishWorkday]]-Tasks[[#This Row],[_StartWorkday]]+1),0)</f>
        <v>0</v>
      </c>
      <c r="EC64" s="38" t="n">
        <f aca="false">Tasks[[#This Row],[_WorkPerWorkday]]*(Tasks[[#This Row],[_StartWorkday]]-1)</f>
        <v>-0</v>
      </c>
      <c r="ED64" s="38" t="n">
        <f aca="false">IF(Tasks[[#This Row],[_IsLeaf]]=1,MAX(N(Tasks[[#This Row],[Duration]]),0.1),0)</f>
        <v>0</v>
      </c>
      <c r="EE64" s="38" t="n">
        <f aca="false">Tasks[[#This Row],[_WeightDur]]*Tasks[[#This Row],[_LeafProgress]]</f>
        <v>0</v>
      </c>
      <c r="EF6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4" s="38" t="str">
        <f aca="false">IF(AND(Tasks[[#This Row],[_IsLeaf]]=1,N(Tasks[[#This Row],[Duration]])=0,Tasks[[#This Row],[_LeafProgress]]&lt;1),Tasks[[#This Row],[_ShownFcstFinish]]+Tasks[[#This Row],[_Row]]/100000,"")</f>
        <v/>
      </c>
      <c r="EH6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4" s="38" t="n">
        <f aca="false">IF(NOT(Tasks[[#This Row],[_IsLeaf]]=1),0,IF(Tasks[[#This Row],[Baseline Cost]]="",Tasks[[#This Row],[_LeafTotalCost]],N(Tasks[[#This Row],[Baseline Cost]])))</f>
        <v>0</v>
      </c>
      <c r="EJ64" s="38" t="n">
        <f aca="false">Tasks[[#This Row],[_LeafBudget]]*Tasks[[#This Row],[_PlannedPct]]</f>
        <v>0</v>
      </c>
      <c r="EK64" s="38" t="n">
        <f aca="false">Tasks[[#This Row],[_LeafBudget]]*Tasks[[#This Row],[_LeafProgress]]</f>
        <v>0</v>
      </c>
      <c r="EL64" s="38" t="n">
        <f aca="false">IF(NOT(Tasks[[#This Row],[_IsLeaf]]=1),0,IF(Tasks[[#This Row],[Actual Cost]]="",Tasks[[#This Row],[_LeafTotalCost]]*Tasks[[#This Row],[_LeafProgress]],N(Tasks[[#This Row],[Actual Cost]])))</f>
        <v>0</v>
      </c>
      <c r="EM64" s="38" t="str">
        <f aca="false">IF(Tasks[[#This Row],[Task Name]]="","",LEFT(Tasks[[#This Row],[WBS]],FIND(".",Tasks[[#This Row],[WBS]]&amp;".")-1))</f>
        <v/>
      </c>
      <c r="EN64" s="38" t="str">
        <f aca="false">IF(AND(Tasks[[#This Row],[Task Name]]&lt;&gt;"",Tasks[[#This Row],[_Level]]=1),Tasks[[#This Row],[_Row]],"")</f>
        <v/>
      </c>
      <c r="EO64" s="38" t="str">
        <f aca="false">IF(AND(Tasks[[#This Row],[_IsLeaf]]=1,N(Tasks[[#This Row],[Duration]])=0),Tasks[[#This Row],[Planned Finish]]+Tasks[[#This Row],[_Row]]/100000,"")</f>
        <v/>
      </c>
      <c r="EP64" s="38" t="str">
        <f aca="false">IF(AND(Tasks[[#This Row],[_IsLeaf]]=1,Tasks[[#This Row],[_LeafProgress]]&lt;1,OR(N(Tasks[[#This Row],[Finish Var]])&gt;0,Tasks[[#This Row],[Status]]="Late Start")),MAX(0,Tasks[[#This Row],[Finish Var]])+1-Tasks[[#This Row],[_Row]]/1000000,"")</f>
        <v/>
      </c>
      <c r="EQ64" s="38" t="str">
        <f aca="false">IF(AND(Tasks[[#This Row],[_IsLeaf]]=1,N(Tasks[[#This Row],[Actual Start]])=0,Tasks[[#This Row],[_ShownFcstStart]]&gt;=StatusDate,Tasks[[#This Row],[_ShownFcstStart]]&lt;=LookaheadEnd),Tasks[[#This Row],[_ShownFcstStart]]+Tasks[[#This Row],[_Row]]/100000,"")</f>
        <v/>
      </c>
      <c r="ER64" s="38" t="str">
        <f aca="false">IF(AND(Tasks[[#This Row],[_IsLeaf]]=1,Tasks[[#This Row],[_LeafProgress]]&lt;1,Tasks[[#This Row],[_ShownFcstFinish]]&gt;=StatusDate,Tasks[[#This Row],[_ShownFcstFinish]]&lt;=LookaheadEnd),Tasks[[#This Row],[_ShownFcstFinish]]+Tasks[[#This Row],[_Row]]/100000,"")</f>
        <v/>
      </c>
      <c r="ES64" s="38" t="str">
        <f aca="false">IF(Tasks[[#This Row],[_LeafCritical]],Tasks[[#This Row],[_ShownFcstStart]]+Tasks[[#This Row],[_Row]]/100000,"")</f>
        <v/>
      </c>
      <c r="ET64" s="38" t="n">
        <f aca="false">Tasks[[#This Row],[_LeafWork]]*Tasks[[#This Row],[_LeafProgress]]</f>
        <v>0</v>
      </c>
      <c r="EU64" s="115" t="str">
        <f aca="false">IF(AND(Tasks[[#This Row],[_IsLeaf]]=1,Tasks[[#This Row],[_LeafProgress]]&gt;=1),IF(N(Tasks[[#This Row],[Actual Finish]])&gt;0,Tasks[[#This Row],[Actual Finish]],Tasks[[#This Row],[_ShownFcstFinish]]),"")</f>
        <v/>
      </c>
      <c r="EV64" s="38" t="n">
        <f aca="false">IF(Tasks[[#This Row],[_IsLeaf]]=1,N(Tasks[[#This Row],[Story Points]]),0)</f>
        <v>0</v>
      </c>
      <c r="EW64" s="38" t="str">
        <f aca="false">IF(AND(Tasks[[#This Row],[_IsLeaf]]=1,CurrentSprint&lt;&gt;"",Tasks[[#This Row],[Sprint]]=CurrentSprint),Tasks[[#This Row],[_Row]],"")</f>
        <v/>
      </c>
    </row>
    <row r="65" customFormat="false" ht="15" hidden="false" customHeight="false" outlineLevel="0" collapsed="false">
      <c r="A65" s="51" t="str">
        <f aca="false">IF(Tasks[[#This Row],[Task Name]]="","",COUNTA(Tasks[[#Headers],[Task Name]]:Tasks[[#This Row],[Task Name]])-1)</f>
        <v/>
      </c>
      <c r="B65" s="52" t="n">
        <v>60</v>
      </c>
      <c r="C6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52"/>
      <c r="E65" s="53"/>
      <c r="F65" s="52"/>
      <c r="G65" s="52"/>
      <c r="H65" s="52"/>
      <c r="I65" s="52"/>
      <c r="J65" s="52"/>
      <c r="K65" s="52"/>
      <c r="L65" s="52"/>
      <c r="M65" s="52"/>
      <c r="N65" s="52"/>
      <c r="O65" s="52"/>
      <c r="P65" s="52"/>
      <c r="Q65" s="52"/>
      <c r="R65" s="52"/>
      <c r="S65" s="53"/>
      <c r="T65" s="102"/>
      <c r="U65" s="102"/>
      <c r="V65" s="7"/>
      <c r="W65" s="7"/>
      <c r="X65" s="53"/>
      <c r="Y65" s="31" t="str">
        <f aca="false">IF(Tasks[[#This Row],[Task Name]]="","",IF(Tasks[[#This Row],[_IsSummary]],MIN(INDEX(Tasks[_ShownFcstStart],Tasks[[#This Row],[_Row]]+1):INDEX(Tasks[_ShownFcstStart],Tasks[[#This Row],[_Row]]+Tasks[[#This Row],[_Descendants]])),Tasks[[#This Row],[_ShownFcstStart]]))</f>
        <v/>
      </c>
      <c r="Z65" s="31" t="str">
        <f aca="false">IF(Tasks[[#This Row],[Task Name]]="","",IF(Tasks[[#This Row],[_IsSummary]],MAX(INDEX(Tasks[_ShownFcstFinish],Tasks[[#This Row],[_Row]]+1):INDEX(Tasks[_ShownFcstFinish],Tasks[[#This Row],[_Row]]+Tasks[[#This Row],[_Descendants]])),Tasks[[#This Row],[_ShownFcstFinish]]))</f>
        <v/>
      </c>
      <c r="AA65" s="51" t="str">
        <f aca="false">IF(Tasks[[#This Row],[Task Name]]="","",IF(Tasks[[#This Row],[Progress]]&gt;=1,"Complete",IF(OR(N(Tasks[[#This Row],[Actual Start]])&gt;0,Tasks[[#This Row],[Progress]]&gt;0),IF(Tasks[[#This Row],[Finish Var]]&gt;0,"Behind","In Progress"),IF(Tasks[[#This Row],[Planned Start]]&lt;StatusDate,"Late Start","Not Started"))))</f>
        <v/>
      </c>
      <c r="AB65" s="51" t="str">
        <f aca="false">IF(Tasks[[#This Row],[Task Name]]="","",IF(IF(Tasks[[#This Row],[_IsSummary]],COUNTIF(INDEX(Tasks[_LeafCritical],Tasks[[#This Row],[_Row]]+1):INDEX(Tasks[_LeafCritical],Tasks[[#This Row],[_Row]]+Tasks[[#This Row],[_Descendants]]),TRUE())&gt;0,Tasks[[#This Row],[_LeafCritical]]),"Yes",""))</f>
        <v/>
      </c>
      <c r="AC6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5" s="51" t="str">
        <f aca="false">IF(Tasks[[#This Row],[Task Name]]="","",IF(Tasks[[#This Row],[_Level]]&lt;=OutlineShowLevel,"Yes","No"))</f>
        <v/>
      </c>
      <c r="AE65" s="7"/>
      <c r="AF65" s="52"/>
      <c r="AG65" s="53"/>
      <c r="AH65" s="7"/>
      <c r="AI6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5" s="31" t="str">
        <f aca="false">IF(Tasks[[#This Row],[Task Name]]="","",IF(N(Tasks[[#This Row],[Baseline Start]])&gt;0,Tasks[[#This Row],[Baseline Start]],Tasks[[#This Row],[_CalcStart]]))</f>
        <v/>
      </c>
      <c r="AK65" s="31" t="str">
        <f aca="false">IF(Tasks[[#This Row],[Task Name]]="","",IF(N(Tasks[[#This Row],[Baseline Finish]])&gt;0,Tasks[[#This Row],[Baseline Finish]],Tasks[[#This Row],[_CalcFinish]]))</f>
        <v/>
      </c>
      <c r="AL6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5" s="31" t="str">
        <f aca="false">IF(Tasks[[#This Row],[Task Name]]="","",IF(Tasks[[#This Row],[_IsSummary]],MIN(INDEX(Tasks[_LeafLateStart],Tasks[[#This Row],[_Row]]+1):INDEX(Tasks[_LeafLateStart],Tasks[[#This Row],[_Row]]+Tasks[[#This Row],[_Descendants]])),Tasks[[#This Row],[_LeafLateStart]]))</f>
        <v/>
      </c>
      <c r="AN65" s="31" t="str">
        <f aca="false">IF(Tasks[[#This Row],[Task Name]]="","",IF(Tasks[[#This Row],[_IsSummary]],MAX(INDEX(Tasks[_LeafLateFinish],Tasks[[#This Row],[_Row]]+1):INDEX(Tasks[_LeafLateFinish],Tasks[[#This Row],[_Row]]+Tasks[[#This Row],[_Descendants]])),Tasks[[#This Row],[_LeafLateFinish]]))</f>
        <v/>
      </c>
      <c r="AO65" s="51" t="str">
        <f aca="false">IF(Tasks[[#This Row],[Task Name]]="","",IF(Tasks[[#This Row],[_IsSummary]],MIN(INDEX(Tasks[_LeafTotalSlack],Tasks[[#This Row],[_Row]]+1):INDEX(Tasks[_LeafTotalSlack],Tasks[[#This Row],[_Row]]+Tasks[[#This Row],[_Descendants]])),Tasks[[#This Row],[_LeafTotalSlack]]))</f>
        <v/>
      </c>
      <c r="AP6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5" s="110" t="str">
        <f aca="false">IF(Tasks[[#This Row],[Task Name]]="","",IF(Tasks[[#This Row],[_IsSummary]],SUM(INDEX(Tasks[_LeafTotalWork],Tasks[[#This Row],[_Row]]+1):INDEX(Tasks[_LeafTotalWork],Tasks[[#This Row],[_Row]]+Tasks[[#This Row],[_Descendants]])),Tasks[[#This Row],[_LeafTotalWork]]))</f>
        <v/>
      </c>
      <c r="AV6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5" s="111" t="str">
        <f aca="false">IF(Tasks[[#This Row],[Task Name]]="","",IF(Tasks[[#This Row],[_IsSummary]],SUM(INDEX(Tasks[_LeafTotalCost],Tasks[[#This Row],[_Row]]+1):INDEX(Tasks[_LeafTotalCost],Tasks[[#This Row],[_Row]]+Tasks[[#This Row],[_Descendants]])),Tasks[[#This Row],[_LeafTotalCost]]))</f>
        <v/>
      </c>
      <c r="AY65" s="112"/>
      <c r="AZ6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5" s="52"/>
      <c r="BB65" s="98"/>
      <c r="BC65" s="51" t="str">
        <f aca="false">IF(OR(Tasks[[#This Row],[Task Name]]="",Tasks[[#This Row],[Baseline Duration]]=""),"",Tasks[[#This Row],[BL Source Duration]]-N(Tasks[[#This Row],[Baseline Duration]]))</f>
        <v/>
      </c>
      <c r="BD65" s="110" t="str">
        <f aca="false">IF(OR(Tasks[[#This Row],[Task Name]]="",Tasks[[#This Row],[Baseline Work]]=""),"",Tasks[[#This Row],[Work]]-N(Tasks[[#This Row],[Baseline Work]]))</f>
        <v/>
      </c>
      <c r="BE65" s="111" t="str">
        <f aca="false">IF(OR(Tasks[[#This Row],[Task Name]]="",Tasks[[#This Row],[Baseline Cost]]=""),"",Tasks[[#This Row],[Cost]]-N(Tasks[[#This Row],[Baseline Cost]]))</f>
        <v/>
      </c>
      <c r="BF65" s="31" t="str">
        <f aca="false">IF(Tasks[[#This Row],[Task Name]]="","",Tasks[[#This Row],[Forecast Start]])</f>
        <v/>
      </c>
      <c r="BG65" s="31" t="str">
        <f aca="false">IF(Tasks[[#This Row],[Task Name]]="","",Tasks[[#This Row],[Forecast Finish]])</f>
        <v/>
      </c>
      <c r="BH65" s="51" t="str">
        <f aca="false">IF(Tasks[[#This Row],[Task Name]]="","",IF(Tasks[[#This Row],[_IsSummary]],NETWORKDAYS.INTL(Tasks[[#This Row],[Forecast Start]],Tasks[[#This Row],[Forecast Finish]],WorkWeek,Holidays),N(Tasks[[#This Row],[Duration]])))</f>
        <v/>
      </c>
      <c r="BI65" s="110" t="str">
        <f aca="false">IF(Tasks[[#This Row],[Task Name]]="","",Tasks[[#This Row],[Work]])</f>
        <v/>
      </c>
      <c r="BJ65" s="111" t="str">
        <f aca="false">IF(Tasks[[#This Row],[Task Name]]="","",Tasks[[#This Row],[Cost]])</f>
        <v/>
      </c>
      <c r="BK65" s="7"/>
      <c r="BL65" s="7"/>
      <c r="BM65" s="52"/>
      <c r="BN65" s="113"/>
      <c r="BO65" s="112"/>
      <c r="BP65" s="111" t="str">
        <f aca="false">IF(Tasks[[#This Row],[Task Name]]="","",IF(Tasks[[#This Row],[_IsSummary]],SUM(INDEX(Tasks[_LeafEV],Tasks[[#This Row],[_Row]]+1):INDEX(Tasks[_LeafEV],Tasks[[#This Row],[_Row]]+Tasks[[#This Row],[_Descendants]])),Tasks[[#This Row],[_LeafEV]]))</f>
        <v/>
      </c>
      <c r="BQ65" s="111" t="str">
        <f aca="false">IF(Tasks[[#This Row],[Task Name]]="","",IF(Tasks[[#This Row],[_IsSummary]],SUM(INDEX(Tasks[_LeafBudget],Tasks[[#This Row],[_Row]]+1):INDEX(Tasks[_LeafBudget],Tasks[[#This Row],[_Row]]+Tasks[[#This Row],[_Descendants]])),Tasks[[#This Row],[_LeafBudget]]))</f>
        <v/>
      </c>
      <c r="BR65" s="111" t="str">
        <f aca="false">IF(Tasks[[#This Row],[Task Name]]="","",IF(Tasks[[#This Row],[_IsSummary]],SUM(INDEX(Tasks[_LeafPV],Tasks[[#This Row],[_Row]]+1):INDEX(Tasks[_LeafPV],Tasks[[#This Row],[_Row]]+Tasks[[#This Row],[_Descendants]])),Tasks[[#This Row],[_LeafPV]]))</f>
        <v/>
      </c>
      <c r="BS65" s="111" t="str">
        <f aca="false">IF(Tasks[[#This Row],[Task Name]]="","",IF(Tasks[[#This Row],[_IsSummary]],SUM(INDEX(Tasks[_LeafAC],Tasks[[#This Row],[_Row]]+1):INDEX(Tasks[_LeafAC],Tasks[[#This Row],[_Row]]+Tasks[[#This Row],[_Descendants]])),Tasks[[#This Row],[_LeafAC]]))</f>
        <v/>
      </c>
      <c r="BT65" s="38" t="str">
        <f aca="false">IF(Tasks[[#This Row],[Task Name]]="","",MAX(1,N(Tasks[[#This Row],[Level]])))</f>
        <v/>
      </c>
      <c r="BU65" s="38" t="n">
        <f aca="false">ROW()-ROW(Tasks[[#Headers],[ID]])</f>
        <v>60</v>
      </c>
      <c r="BV65" s="38" t="n">
        <f aca="false">IF(OR(Tasks[[#This Row],[Task Name]]="",Tasks[[#This Row],[_Level]]&lt;=1),0,IFERROR(LOOKUP(2,1/(Tasks[[#Headers],[_Level]]:Tasks[[#This Row],[_Level]]=Tasks[[#This Row],[_Level]]-1),ROW(Tasks[[#Headers],[_Level]]:Tasks[[#This Row],[_Level]])),0))</f>
        <v>0</v>
      </c>
      <c r="BW65" s="38" t="n">
        <f aca="false">IFERROR(N(INDEX(Tasks[_Level],Tasks[[#This Row],[_Row]]+1)),0)</f>
        <v>0</v>
      </c>
      <c r="BX65" s="114" t="b">
        <f aca="false">AND(Tasks[[#This Row],[Task Name]]&lt;&gt;"",Tasks[[#This Row],[_NextLevel]]&gt;Tasks[[#This Row],[_Level]])</f>
        <v>0</v>
      </c>
      <c r="BY65" s="38" t="n">
        <f aca="false">IF(Tasks[[#This Row],[_IsSummary]],COUNTIF(Tasks[WBS],Tasks[[#This Row],[WBS]]&amp;".*"),0)</f>
        <v>0</v>
      </c>
      <c r="BZ65" s="38" t="n">
        <f aca="false">IF(AND(Tasks[[#This Row],[Task Name]]&lt;&gt;"",NOT(Tasks[[#This Row],[_IsSummary]])),1,0)</f>
        <v>0</v>
      </c>
      <c r="CA65" s="38" t="n">
        <f aca="false">IF(N(Tasks[[#This Row],[Pred1 UID]])=0,0,IFERROR(MATCH(Tasks[[#This Row],[Pred1 UID]],Tasks[UID],0),-1))</f>
        <v>0</v>
      </c>
      <c r="CB65" s="38" t="n">
        <f aca="false">IF(N(Tasks[[#This Row],[Pred2 UID]])=0,0,IFERROR(MATCH(Tasks[[#This Row],[Pred2 UID]],Tasks[UID],0),-1))</f>
        <v>0</v>
      </c>
      <c r="CC65" s="38" t="n">
        <f aca="false">IF(N(Tasks[[#This Row],[Pred3 UID]])=0,0,IFERROR(MATCH(Tasks[[#This Row],[Pred3 UID]],Tasks[UID],0),-1))</f>
        <v>0</v>
      </c>
      <c r="CD65" s="38" t="n">
        <f aca="false">IF(N(Tasks[[#This Row],[Pred4 UID]])=0,0,IFERROR(MATCH(Tasks[[#This Row],[Pred4 UID]],Tasks[UID],0),-1))</f>
        <v>0</v>
      </c>
      <c r="CE6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5" s="115" t="n">
        <f aca="false">IF(OR(Tasks[[#This Row],[_ConstraintCode]]=2,Tasks[[#This Row],[_ConstraintCode]]=3,Tasks[[#This Row],[_ConstraintCode]]=4,Tasks[[#This Row],[_ConstraintCode]]=6),Tasks[[#This Row],[_ConstraintStart]],0)</f>
        <v>0</v>
      </c>
      <c r="CH65" s="115" t="n">
        <f aca="false">IF(OR(Tasks[[#This Row],[_ConstraintCode]]=2,Tasks[[#This Row],[_ConstraintCode]]=3,Tasks[[#This Row],[_ConstraintCode]]=5,Tasks[[#This Row],[_ConstraintCode]]=7),Tasks[[#This Row],[_ConstraintStart]],2958465)</f>
        <v>2958465</v>
      </c>
      <c r="CI6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5" s="115" t="str">
        <f aca="false">IF(NOT(Tasks[[#This Row],[_IsLeaf]]=1),"",IF(N(Tasks[[#This Row],[Duration]])&lt;=0,Tasks[[#This Row],[_LeafCalcStart]],WORKDAY.INTL(Tasks[[#This Row],[_LeafCalcStart]],Tasks[[#This Row],[Duration]]-1,WorkWeek,Holidays)))</f>
        <v/>
      </c>
      <c r="CK6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5" s="38" t="n">
        <f aca="false">IF(NOT(Tasks[[#This Row],[_IsLeaf]]=1),0,IF(N(Tasks[[#This Row],[Actual Finish]])&gt;0,1,MIN(1,N(Tasks[[#This Row],[% Complete]]))))</f>
        <v>0</v>
      </c>
      <c r="CN65" s="38" t="n">
        <f aca="false">IF(OR(NOT(Tasks[[#This Row],[_IsLeaf]]=1),Tasks[[#This Row],[Resource]]=""),0,N(Tasks[[#This Row],[Duration]])*HoursPerDay*IF(Tasks[[#This Row],[Units]]="",DefaultUnits,Tasks[[#This Row],[Units]]))</f>
        <v>0</v>
      </c>
      <c r="CO65" s="38" t="n">
        <f aca="false">IF(Tasks[[#This Row],[_LeafWork]]=0,0,Tasks[[#This Row],[_LeafWork]]*IFERROR(INDEX(res_Rate,MATCH(Tasks[[#This Row],[Resource]],res_Name,0)),0))</f>
        <v>0</v>
      </c>
      <c r="CP65" s="38" t="n">
        <f aca="false">Tasks[[#This Row],[_LeafWork]]+IF(Tasks[[#This Row],[_IsLeaf]]=1,SUMIFS(asg_Work,asg_TaskUID,Tasks[[#This Row],[UID]],asg_Valid,1),0)</f>
        <v>0</v>
      </c>
      <c r="CQ65" s="38" t="n">
        <f aca="false">Tasks[[#This Row],[_LeafCost]]+IF(Tasks[[#This Row],[_IsLeaf]]=1,SUMIFS(asg_Cost,asg_TaskUID,Tasks[[#This Row],[UID]],asg_Valid,1),0)</f>
        <v>0</v>
      </c>
      <c r="CR65" s="38" t="n">
        <f aca="false">IF(Tasks[[#This Row],[_LeafTotalCost]]=0,Tasks[[#This Row],[_LeafAC]],Tasks[[#This Row],[_LeafAC]]*Tasks[[#This Row],[_LeafCost]]/Tasks[[#This Row],[_LeafTotalCost]])</f>
        <v>0</v>
      </c>
      <c r="CS6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5" s="38" t="n">
        <f aca="false">IF(NOT(Tasks[[#This Row],[_IsLeaf]]=1),0,MAX(_xlfn.MAXIFS(Tasks[_Row],Tasks[Pred1 UID],Tasks[[#This Row],[UID]]),_xlfn.MAXIFS(Tasks[_Row],Tasks[Pred2 UID],Tasks[[#This Row],[UID]]),_xlfn.MAXIFS(Tasks[_Row],Tasks[Pred3 UID],Tasks[[#This Row],[UID]]),_xlfn.MAXIFS(Tasks[_Row],Tasks[Pred4 UID],Tasks[[#This Row],[UID]])))</f>
        <v>0</v>
      </c>
      <c r="DB6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5" s="115" t="str">
        <f aca="false">IF(NOT(Tasks[[#This Row],[_IsLeaf]]=1),"",IF(N(Tasks[[#This Row],[Duration]])&lt;=0,Tasks[[#This Row],[_LeafLateFinish]],WORKDAY.INTL(Tasks[[#This Row],[_LeafLateFinish]],-(Tasks[[#This Row],[Duration]]-1),WorkWeek,Holidays)))</f>
        <v/>
      </c>
      <c r="DE6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5" s="114" t="b">
        <f aca="false">AND(Tasks[[#This Row],[_IsLeaf]]=1,Tasks[[#This Row],[_LeafProgress]]&lt;1,N(Tasks[[#This Row],[_LeafTotalSlack]])&lt;=CriticalSlackDays)</f>
        <v>0</v>
      </c>
      <c r="DG65" s="38" t="n">
        <f aca="false">IF(AND(Tasks[[#This Row],[_IsLeaf]]=1,Tasks[[#This Row],[_ConstraintCode]]=1,Tasks[[#This Row],[Mode]]&lt;&gt;"Manual",N(Tasks[[#This Row],[Actual Start]])=0),MAX(0,N(Tasks[[#This Row],[Free Slack]])),0)</f>
        <v>0</v>
      </c>
      <c r="DH65" s="115" t="str">
        <f aca="false">IF(NOT(Tasks[[#This Row],[_IsLeaf]]=1),"",IF(Tasks[[#This Row],[_AlapShift]]=0,Tasks[[#This Row],[_LeafCalcStart]],WORKDAY.INTL(Tasks[[#This Row],[_LeafCalcStart]],Tasks[[#This Row],[_AlapShift]],WorkWeek,Holidays)))</f>
        <v/>
      </c>
      <c r="DI65" s="115" t="str">
        <f aca="false">IF(NOT(Tasks[[#This Row],[_IsLeaf]]=1),"",IF(Tasks[[#This Row],[_AlapShift]]=0,Tasks[[#This Row],[_LeafCalcFinish]],WORKDAY.INTL(Tasks[[#This Row],[_LeafCalcFinish]],Tasks[[#This Row],[_AlapShift]],WorkWeek,Holidays)))</f>
        <v/>
      </c>
      <c r="DJ65" s="115" t="str">
        <f aca="false">IF(NOT(Tasks[[#This Row],[_IsLeaf]]=1),"",IF(Tasks[[#This Row],[_AlapShift]]=0,Tasks[[#This Row],[_LeafFcstStart]],WORKDAY.INTL(Tasks[[#This Row],[_LeafFcstStart]],Tasks[[#This Row],[_AlapShift]],WorkWeek,Holidays)))</f>
        <v/>
      </c>
      <c r="DK65" s="115" t="str">
        <f aca="false">IF(NOT(Tasks[[#This Row],[_IsLeaf]]=1),"",IF(Tasks[[#This Row],[_AlapShift]]=0,Tasks[[#This Row],[_LeafFcstFinish]],WORKDAY.INTL(Tasks[[#This Row],[_LeafFcstFinish]],Tasks[[#This Row],[_AlapShift]],WorkWeek,Holidays)))</f>
        <v/>
      </c>
      <c r="DL65" s="115" t="str">
        <f aca="false">IF(Tasks[[#This Row],[Task Name]]="","",IF(Tasks[[#This Row],[_IsSummary]],MIN(INDEX(Tasks[_ShownCalcStart],Tasks[[#This Row],[_Row]]+1):INDEX(Tasks[_ShownCalcStart],Tasks[[#This Row],[_Row]]+Tasks[[#This Row],[_Descendants]])),Tasks[[#This Row],[_ShownCalcStart]]))</f>
        <v/>
      </c>
      <c r="DM65" s="115" t="str">
        <f aca="false">IF(Tasks[[#This Row],[Task Name]]="","",IF(Tasks[[#This Row],[_IsSummary]],MAX(INDEX(Tasks[_ShownCalcFinish],Tasks[[#This Row],[_Row]]+1):INDEX(Tasks[_ShownCalcFinish],Tasks[[#This Row],[_Row]]+Tasks[[#This Row],[_Descendants]])),Tasks[[#This Row],[_ShownCalcFinish]]))</f>
        <v/>
      </c>
      <c r="DN6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5" s="38" t="n">
        <f aca="false">IF(AND(Tasks[[#This Row],[_IsLeaf]]=1,Tasks[[#This Row],[_LeafTotalWork]]&gt;0),NETWORKDAYS.INTL(ProjectStart,Tasks[[#This Row],[_ShownFcstStart]],WorkWeek,Holidays),0)</f>
        <v>0</v>
      </c>
      <c r="EA65" s="38" t="n">
        <f aca="false">IF(AND(Tasks[[#This Row],[_IsLeaf]]=1,Tasks[[#This Row],[_LeafTotalWork]]&gt;0),MAX(Tasks[[#This Row],[_StartWorkday]],NETWORKDAYS.INTL(ProjectStart,Tasks[[#This Row],[_ShownFcstFinish]],WorkWeek,Holidays)),0)</f>
        <v>0</v>
      </c>
      <c r="EB65" s="38" t="n">
        <f aca="false">IF(AND(Tasks[[#This Row],[_IsLeaf]]=1,Tasks[[#This Row],[_LeafTotalWork]]&gt;0),Tasks[[#This Row],[_LeafWork]]/(Tasks[[#This Row],[_FinishWorkday]]-Tasks[[#This Row],[_StartWorkday]]+1),0)</f>
        <v>0</v>
      </c>
      <c r="EC65" s="38" t="n">
        <f aca="false">Tasks[[#This Row],[_WorkPerWorkday]]*(Tasks[[#This Row],[_StartWorkday]]-1)</f>
        <v>-0</v>
      </c>
      <c r="ED65" s="38" t="n">
        <f aca="false">IF(Tasks[[#This Row],[_IsLeaf]]=1,MAX(N(Tasks[[#This Row],[Duration]]),0.1),0)</f>
        <v>0</v>
      </c>
      <c r="EE65" s="38" t="n">
        <f aca="false">Tasks[[#This Row],[_WeightDur]]*Tasks[[#This Row],[_LeafProgress]]</f>
        <v>0</v>
      </c>
      <c r="EF6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5" s="38" t="str">
        <f aca="false">IF(AND(Tasks[[#This Row],[_IsLeaf]]=1,N(Tasks[[#This Row],[Duration]])=0,Tasks[[#This Row],[_LeafProgress]]&lt;1),Tasks[[#This Row],[_ShownFcstFinish]]+Tasks[[#This Row],[_Row]]/100000,"")</f>
        <v/>
      </c>
      <c r="EH6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5" s="38" t="n">
        <f aca="false">IF(NOT(Tasks[[#This Row],[_IsLeaf]]=1),0,IF(Tasks[[#This Row],[Baseline Cost]]="",Tasks[[#This Row],[_LeafTotalCost]],N(Tasks[[#This Row],[Baseline Cost]])))</f>
        <v>0</v>
      </c>
      <c r="EJ65" s="38" t="n">
        <f aca="false">Tasks[[#This Row],[_LeafBudget]]*Tasks[[#This Row],[_PlannedPct]]</f>
        <v>0</v>
      </c>
      <c r="EK65" s="38" t="n">
        <f aca="false">Tasks[[#This Row],[_LeafBudget]]*Tasks[[#This Row],[_LeafProgress]]</f>
        <v>0</v>
      </c>
      <c r="EL65" s="38" t="n">
        <f aca="false">IF(NOT(Tasks[[#This Row],[_IsLeaf]]=1),0,IF(Tasks[[#This Row],[Actual Cost]]="",Tasks[[#This Row],[_LeafTotalCost]]*Tasks[[#This Row],[_LeafProgress]],N(Tasks[[#This Row],[Actual Cost]])))</f>
        <v>0</v>
      </c>
      <c r="EM65" s="38" t="str">
        <f aca="false">IF(Tasks[[#This Row],[Task Name]]="","",LEFT(Tasks[[#This Row],[WBS]],FIND(".",Tasks[[#This Row],[WBS]]&amp;".")-1))</f>
        <v/>
      </c>
      <c r="EN65" s="38" t="str">
        <f aca="false">IF(AND(Tasks[[#This Row],[Task Name]]&lt;&gt;"",Tasks[[#This Row],[_Level]]=1),Tasks[[#This Row],[_Row]],"")</f>
        <v/>
      </c>
      <c r="EO65" s="38" t="str">
        <f aca="false">IF(AND(Tasks[[#This Row],[_IsLeaf]]=1,N(Tasks[[#This Row],[Duration]])=0),Tasks[[#This Row],[Planned Finish]]+Tasks[[#This Row],[_Row]]/100000,"")</f>
        <v/>
      </c>
      <c r="EP65" s="38" t="str">
        <f aca="false">IF(AND(Tasks[[#This Row],[_IsLeaf]]=1,Tasks[[#This Row],[_LeafProgress]]&lt;1,OR(N(Tasks[[#This Row],[Finish Var]])&gt;0,Tasks[[#This Row],[Status]]="Late Start")),MAX(0,Tasks[[#This Row],[Finish Var]])+1-Tasks[[#This Row],[_Row]]/1000000,"")</f>
        <v/>
      </c>
      <c r="EQ65" s="38" t="str">
        <f aca="false">IF(AND(Tasks[[#This Row],[_IsLeaf]]=1,N(Tasks[[#This Row],[Actual Start]])=0,Tasks[[#This Row],[_ShownFcstStart]]&gt;=StatusDate,Tasks[[#This Row],[_ShownFcstStart]]&lt;=LookaheadEnd),Tasks[[#This Row],[_ShownFcstStart]]+Tasks[[#This Row],[_Row]]/100000,"")</f>
        <v/>
      </c>
      <c r="ER65" s="38" t="str">
        <f aca="false">IF(AND(Tasks[[#This Row],[_IsLeaf]]=1,Tasks[[#This Row],[_LeafProgress]]&lt;1,Tasks[[#This Row],[_ShownFcstFinish]]&gt;=StatusDate,Tasks[[#This Row],[_ShownFcstFinish]]&lt;=LookaheadEnd),Tasks[[#This Row],[_ShownFcstFinish]]+Tasks[[#This Row],[_Row]]/100000,"")</f>
        <v/>
      </c>
      <c r="ES65" s="38" t="str">
        <f aca="false">IF(Tasks[[#This Row],[_LeafCritical]],Tasks[[#This Row],[_ShownFcstStart]]+Tasks[[#This Row],[_Row]]/100000,"")</f>
        <v/>
      </c>
      <c r="ET65" s="38" t="n">
        <f aca="false">Tasks[[#This Row],[_LeafWork]]*Tasks[[#This Row],[_LeafProgress]]</f>
        <v>0</v>
      </c>
      <c r="EU65" s="115" t="str">
        <f aca="false">IF(AND(Tasks[[#This Row],[_IsLeaf]]=1,Tasks[[#This Row],[_LeafProgress]]&gt;=1),IF(N(Tasks[[#This Row],[Actual Finish]])&gt;0,Tasks[[#This Row],[Actual Finish]],Tasks[[#This Row],[_ShownFcstFinish]]),"")</f>
        <v/>
      </c>
      <c r="EV65" s="38" t="n">
        <f aca="false">IF(Tasks[[#This Row],[_IsLeaf]]=1,N(Tasks[[#This Row],[Story Points]]),0)</f>
        <v>0</v>
      </c>
      <c r="EW65" s="38" t="str">
        <f aca="false">IF(AND(Tasks[[#This Row],[_IsLeaf]]=1,CurrentSprint&lt;&gt;"",Tasks[[#This Row],[Sprint]]=CurrentSprint),Tasks[[#This Row],[_Row]],"")</f>
        <v/>
      </c>
    </row>
    <row r="66" customFormat="false" ht="15" hidden="false" customHeight="false" outlineLevel="0" collapsed="false">
      <c r="A66" s="51" t="str">
        <f aca="false">IF(Tasks[[#This Row],[Task Name]]="","",COUNTA(Tasks[[#Headers],[Task Name]]:Tasks[[#This Row],[Task Name]])-1)</f>
        <v/>
      </c>
      <c r="B66" s="52" t="n">
        <v>61</v>
      </c>
      <c r="C6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52"/>
      <c r="E66" s="53"/>
      <c r="F66" s="52"/>
      <c r="G66" s="52"/>
      <c r="H66" s="52"/>
      <c r="I66" s="52"/>
      <c r="J66" s="52"/>
      <c r="K66" s="52"/>
      <c r="L66" s="52"/>
      <c r="M66" s="52"/>
      <c r="N66" s="52"/>
      <c r="O66" s="52"/>
      <c r="P66" s="52"/>
      <c r="Q66" s="52"/>
      <c r="R66" s="52"/>
      <c r="S66" s="53"/>
      <c r="T66" s="102"/>
      <c r="U66" s="102"/>
      <c r="V66" s="7"/>
      <c r="W66" s="7"/>
      <c r="X66" s="53"/>
      <c r="Y66" s="31" t="str">
        <f aca="false">IF(Tasks[[#This Row],[Task Name]]="","",IF(Tasks[[#This Row],[_IsSummary]],MIN(INDEX(Tasks[_ShownFcstStart],Tasks[[#This Row],[_Row]]+1):INDEX(Tasks[_ShownFcstStart],Tasks[[#This Row],[_Row]]+Tasks[[#This Row],[_Descendants]])),Tasks[[#This Row],[_ShownFcstStart]]))</f>
        <v/>
      </c>
      <c r="Z66" s="31" t="str">
        <f aca="false">IF(Tasks[[#This Row],[Task Name]]="","",IF(Tasks[[#This Row],[_IsSummary]],MAX(INDEX(Tasks[_ShownFcstFinish],Tasks[[#This Row],[_Row]]+1):INDEX(Tasks[_ShownFcstFinish],Tasks[[#This Row],[_Row]]+Tasks[[#This Row],[_Descendants]])),Tasks[[#This Row],[_ShownFcstFinish]]))</f>
        <v/>
      </c>
      <c r="AA66" s="51" t="str">
        <f aca="false">IF(Tasks[[#This Row],[Task Name]]="","",IF(Tasks[[#This Row],[Progress]]&gt;=1,"Complete",IF(OR(N(Tasks[[#This Row],[Actual Start]])&gt;0,Tasks[[#This Row],[Progress]]&gt;0),IF(Tasks[[#This Row],[Finish Var]]&gt;0,"Behind","In Progress"),IF(Tasks[[#This Row],[Planned Start]]&lt;StatusDate,"Late Start","Not Started"))))</f>
        <v/>
      </c>
      <c r="AB66" s="51" t="str">
        <f aca="false">IF(Tasks[[#This Row],[Task Name]]="","",IF(IF(Tasks[[#This Row],[_IsSummary]],COUNTIF(INDEX(Tasks[_LeafCritical],Tasks[[#This Row],[_Row]]+1):INDEX(Tasks[_LeafCritical],Tasks[[#This Row],[_Row]]+Tasks[[#This Row],[_Descendants]]),TRUE())&gt;0,Tasks[[#This Row],[_LeafCritical]]),"Yes",""))</f>
        <v/>
      </c>
      <c r="AC6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6" s="51" t="str">
        <f aca="false">IF(Tasks[[#This Row],[Task Name]]="","",IF(Tasks[[#This Row],[_Level]]&lt;=OutlineShowLevel,"Yes","No"))</f>
        <v/>
      </c>
      <c r="AE66" s="7"/>
      <c r="AF66" s="52"/>
      <c r="AG66" s="53"/>
      <c r="AH66" s="7"/>
      <c r="AI6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6" s="31" t="str">
        <f aca="false">IF(Tasks[[#This Row],[Task Name]]="","",IF(N(Tasks[[#This Row],[Baseline Start]])&gt;0,Tasks[[#This Row],[Baseline Start]],Tasks[[#This Row],[_CalcStart]]))</f>
        <v/>
      </c>
      <c r="AK66" s="31" t="str">
        <f aca="false">IF(Tasks[[#This Row],[Task Name]]="","",IF(N(Tasks[[#This Row],[Baseline Finish]])&gt;0,Tasks[[#This Row],[Baseline Finish]],Tasks[[#This Row],[_CalcFinish]]))</f>
        <v/>
      </c>
      <c r="AL6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6" s="31" t="str">
        <f aca="false">IF(Tasks[[#This Row],[Task Name]]="","",IF(Tasks[[#This Row],[_IsSummary]],MIN(INDEX(Tasks[_LeafLateStart],Tasks[[#This Row],[_Row]]+1):INDEX(Tasks[_LeafLateStart],Tasks[[#This Row],[_Row]]+Tasks[[#This Row],[_Descendants]])),Tasks[[#This Row],[_LeafLateStart]]))</f>
        <v/>
      </c>
      <c r="AN66" s="31" t="str">
        <f aca="false">IF(Tasks[[#This Row],[Task Name]]="","",IF(Tasks[[#This Row],[_IsSummary]],MAX(INDEX(Tasks[_LeafLateFinish],Tasks[[#This Row],[_Row]]+1):INDEX(Tasks[_LeafLateFinish],Tasks[[#This Row],[_Row]]+Tasks[[#This Row],[_Descendants]])),Tasks[[#This Row],[_LeafLateFinish]]))</f>
        <v/>
      </c>
      <c r="AO66" s="51" t="str">
        <f aca="false">IF(Tasks[[#This Row],[Task Name]]="","",IF(Tasks[[#This Row],[_IsSummary]],MIN(INDEX(Tasks[_LeafTotalSlack],Tasks[[#This Row],[_Row]]+1):INDEX(Tasks[_LeafTotalSlack],Tasks[[#This Row],[_Row]]+Tasks[[#This Row],[_Descendants]])),Tasks[[#This Row],[_LeafTotalSlack]]))</f>
        <v/>
      </c>
      <c r="AP6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6" s="110" t="str">
        <f aca="false">IF(Tasks[[#This Row],[Task Name]]="","",IF(Tasks[[#This Row],[_IsSummary]],SUM(INDEX(Tasks[_LeafTotalWork],Tasks[[#This Row],[_Row]]+1):INDEX(Tasks[_LeafTotalWork],Tasks[[#This Row],[_Row]]+Tasks[[#This Row],[_Descendants]])),Tasks[[#This Row],[_LeafTotalWork]]))</f>
        <v/>
      </c>
      <c r="AV6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6" s="111" t="str">
        <f aca="false">IF(Tasks[[#This Row],[Task Name]]="","",IF(Tasks[[#This Row],[_IsSummary]],SUM(INDEX(Tasks[_LeafTotalCost],Tasks[[#This Row],[_Row]]+1):INDEX(Tasks[_LeafTotalCost],Tasks[[#This Row],[_Row]]+Tasks[[#This Row],[_Descendants]])),Tasks[[#This Row],[_LeafTotalCost]]))</f>
        <v/>
      </c>
      <c r="AY66" s="112"/>
      <c r="AZ6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6" s="52"/>
      <c r="BB66" s="98"/>
      <c r="BC66" s="51" t="str">
        <f aca="false">IF(OR(Tasks[[#This Row],[Task Name]]="",Tasks[[#This Row],[Baseline Duration]]=""),"",Tasks[[#This Row],[BL Source Duration]]-N(Tasks[[#This Row],[Baseline Duration]]))</f>
        <v/>
      </c>
      <c r="BD66" s="110" t="str">
        <f aca="false">IF(OR(Tasks[[#This Row],[Task Name]]="",Tasks[[#This Row],[Baseline Work]]=""),"",Tasks[[#This Row],[Work]]-N(Tasks[[#This Row],[Baseline Work]]))</f>
        <v/>
      </c>
      <c r="BE66" s="111" t="str">
        <f aca="false">IF(OR(Tasks[[#This Row],[Task Name]]="",Tasks[[#This Row],[Baseline Cost]]=""),"",Tasks[[#This Row],[Cost]]-N(Tasks[[#This Row],[Baseline Cost]]))</f>
        <v/>
      </c>
      <c r="BF66" s="31" t="str">
        <f aca="false">IF(Tasks[[#This Row],[Task Name]]="","",Tasks[[#This Row],[Forecast Start]])</f>
        <v/>
      </c>
      <c r="BG66" s="31" t="str">
        <f aca="false">IF(Tasks[[#This Row],[Task Name]]="","",Tasks[[#This Row],[Forecast Finish]])</f>
        <v/>
      </c>
      <c r="BH66" s="51" t="str">
        <f aca="false">IF(Tasks[[#This Row],[Task Name]]="","",IF(Tasks[[#This Row],[_IsSummary]],NETWORKDAYS.INTL(Tasks[[#This Row],[Forecast Start]],Tasks[[#This Row],[Forecast Finish]],WorkWeek,Holidays),N(Tasks[[#This Row],[Duration]])))</f>
        <v/>
      </c>
      <c r="BI66" s="110" t="str">
        <f aca="false">IF(Tasks[[#This Row],[Task Name]]="","",Tasks[[#This Row],[Work]])</f>
        <v/>
      </c>
      <c r="BJ66" s="111" t="str">
        <f aca="false">IF(Tasks[[#This Row],[Task Name]]="","",Tasks[[#This Row],[Cost]])</f>
        <v/>
      </c>
      <c r="BK66" s="7"/>
      <c r="BL66" s="7"/>
      <c r="BM66" s="52"/>
      <c r="BN66" s="113"/>
      <c r="BO66" s="112"/>
      <c r="BP66" s="111" t="str">
        <f aca="false">IF(Tasks[[#This Row],[Task Name]]="","",IF(Tasks[[#This Row],[_IsSummary]],SUM(INDEX(Tasks[_LeafEV],Tasks[[#This Row],[_Row]]+1):INDEX(Tasks[_LeafEV],Tasks[[#This Row],[_Row]]+Tasks[[#This Row],[_Descendants]])),Tasks[[#This Row],[_LeafEV]]))</f>
        <v/>
      </c>
      <c r="BQ66" s="111" t="str">
        <f aca="false">IF(Tasks[[#This Row],[Task Name]]="","",IF(Tasks[[#This Row],[_IsSummary]],SUM(INDEX(Tasks[_LeafBudget],Tasks[[#This Row],[_Row]]+1):INDEX(Tasks[_LeafBudget],Tasks[[#This Row],[_Row]]+Tasks[[#This Row],[_Descendants]])),Tasks[[#This Row],[_LeafBudget]]))</f>
        <v/>
      </c>
      <c r="BR66" s="111" t="str">
        <f aca="false">IF(Tasks[[#This Row],[Task Name]]="","",IF(Tasks[[#This Row],[_IsSummary]],SUM(INDEX(Tasks[_LeafPV],Tasks[[#This Row],[_Row]]+1):INDEX(Tasks[_LeafPV],Tasks[[#This Row],[_Row]]+Tasks[[#This Row],[_Descendants]])),Tasks[[#This Row],[_LeafPV]]))</f>
        <v/>
      </c>
      <c r="BS66" s="111" t="str">
        <f aca="false">IF(Tasks[[#This Row],[Task Name]]="","",IF(Tasks[[#This Row],[_IsSummary]],SUM(INDEX(Tasks[_LeafAC],Tasks[[#This Row],[_Row]]+1):INDEX(Tasks[_LeafAC],Tasks[[#This Row],[_Row]]+Tasks[[#This Row],[_Descendants]])),Tasks[[#This Row],[_LeafAC]]))</f>
        <v/>
      </c>
      <c r="BT66" s="38" t="str">
        <f aca="false">IF(Tasks[[#This Row],[Task Name]]="","",MAX(1,N(Tasks[[#This Row],[Level]])))</f>
        <v/>
      </c>
      <c r="BU66" s="38" t="n">
        <f aca="false">ROW()-ROW(Tasks[[#Headers],[ID]])</f>
        <v>61</v>
      </c>
      <c r="BV66" s="38" t="n">
        <f aca="false">IF(OR(Tasks[[#This Row],[Task Name]]="",Tasks[[#This Row],[_Level]]&lt;=1),0,IFERROR(LOOKUP(2,1/(Tasks[[#Headers],[_Level]]:Tasks[[#This Row],[_Level]]=Tasks[[#This Row],[_Level]]-1),ROW(Tasks[[#Headers],[_Level]]:Tasks[[#This Row],[_Level]])),0))</f>
        <v>0</v>
      </c>
      <c r="BW66" s="38" t="n">
        <f aca="false">IFERROR(N(INDEX(Tasks[_Level],Tasks[[#This Row],[_Row]]+1)),0)</f>
        <v>0</v>
      </c>
      <c r="BX66" s="114" t="b">
        <f aca="false">AND(Tasks[[#This Row],[Task Name]]&lt;&gt;"",Tasks[[#This Row],[_NextLevel]]&gt;Tasks[[#This Row],[_Level]])</f>
        <v>0</v>
      </c>
      <c r="BY66" s="38" t="n">
        <f aca="false">IF(Tasks[[#This Row],[_IsSummary]],COUNTIF(Tasks[WBS],Tasks[[#This Row],[WBS]]&amp;".*"),0)</f>
        <v>0</v>
      </c>
      <c r="BZ66" s="38" t="n">
        <f aca="false">IF(AND(Tasks[[#This Row],[Task Name]]&lt;&gt;"",NOT(Tasks[[#This Row],[_IsSummary]])),1,0)</f>
        <v>0</v>
      </c>
      <c r="CA66" s="38" t="n">
        <f aca="false">IF(N(Tasks[[#This Row],[Pred1 UID]])=0,0,IFERROR(MATCH(Tasks[[#This Row],[Pred1 UID]],Tasks[UID],0),-1))</f>
        <v>0</v>
      </c>
      <c r="CB66" s="38" t="n">
        <f aca="false">IF(N(Tasks[[#This Row],[Pred2 UID]])=0,0,IFERROR(MATCH(Tasks[[#This Row],[Pred2 UID]],Tasks[UID],0),-1))</f>
        <v>0</v>
      </c>
      <c r="CC66" s="38" t="n">
        <f aca="false">IF(N(Tasks[[#This Row],[Pred3 UID]])=0,0,IFERROR(MATCH(Tasks[[#This Row],[Pred3 UID]],Tasks[UID],0),-1))</f>
        <v>0</v>
      </c>
      <c r="CD66" s="38" t="n">
        <f aca="false">IF(N(Tasks[[#This Row],[Pred4 UID]])=0,0,IFERROR(MATCH(Tasks[[#This Row],[Pred4 UID]],Tasks[UID],0),-1))</f>
        <v>0</v>
      </c>
      <c r="CE6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6" s="115" t="n">
        <f aca="false">IF(OR(Tasks[[#This Row],[_ConstraintCode]]=2,Tasks[[#This Row],[_ConstraintCode]]=3,Tasks[[#This Row],[_ConstraintCode]]=4,Tasks[[#This Row],[_ConstraintCode]]=6),Tasks[[#This Row],[_ConstraintStart]],0)</f>
        <v>0</v>
      </c>
      <c r="CH66" s="115" t="n">
        <f aca="false">IF(OR(Tasks[[#This Row],[_ConstraintCode]]=2,Tasks[[#This Row],[_ConstraintCode]]=3,Tasks[[#This Row],[_ConstraintCode]]=5,Tasks[[#This Row],[_ConstraintCode]]=7),Tasks[[#This Row],[_ConstraintStart]],2958465)</f>
        <v>2958465</v>
      </c>
      <c r="CI6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6" s="115" t="str">
        <f aca="false">IF(NOT(Tasks[[#This Row],[_IsLeaf]]=1),"",IF(N(Tasks[[#This Row],[Duration]])&lt;=0,Tasks[[#This Row],[_LeafCalcStart]],WORKDAY.INTL(Tasks[[#This Row],[_LeafCalcStart]],Tasks[[#This Row],[Duration]]-1,WorkWeek,Holidays)))</f>
        <v/>
      </c>
      <c r="CK6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6" s="38" t="n">
        <f aca="false">IF(NOT(Tasks[[#This Row],[_IsLeaf]]=1),0,IF(N(Tasks[[#This Row],[Actual Finish]])&gt;0,1,MIN(1,N(Tasks[[#This Row],[% Complete]]))))</f>
        <v>0</v>
      </c>
      <c r="CN66" s="38" t="n">
        <f aca="false">IF(OR(NOT(Tasks[[#This Row],[_IsLeaf]]=1),Tasks[[#This Row],[Resource]]=""),0,N(Tasks[[#This Row],[Duration]])*HoursPerDay*IF(Tasks[[#This Row],[Units]]="",DefaultUnits,Tasks[[#This Row],[Units]]))</f>
        <v>0</v>
      </c>
      <c r="CO66" s="38" t="n">
        <f aca="false">IF(Tasks[[#This Row],[_LeafWork]]=0,0,Tasks[[#This Row],[_LeafWork]]*IFERROR(INDEX(res_Rate,MATCH(Tasks[[#This Row],[Resource]],res_Name,0)),0))</f>
        <v>0</v>
      </c>
      <c r="CP66" s="38" t="n">
        <f aca="false">Tasks[[#This Row],[_LeafWork]]+IF(Tasks[[#This Row],[_IsLeaf]]=1,SUMIFS(asg_Work,asg_TaskUID,Tasks[[#This Row],[UID]],asg_Valid,1),0)</f>
        <v>0</v>
      </c>
      <c r="CQ66" s="38" t="n">
        <f aca="false">Tasks[[#This Row],[_LeafCost]]+IF(Tasks[[#This Row],[_IsLeaf]]=1,SUMIFS(asg_Cost,asg_TaskUID,Tasks[[#This Row],[UID]],asg_Valid,1),0)</f>
        <v>0</v>
      </c>
      <c r="CR66" s="38" t="n">
        <f aca="false">IF(Tasks[[#This Row],[_LeafTotalCost]]=0,Tasks[[#This Row],[_LeafAC]],Tasks[[#This Row],[_LeafAC]]*Tasks[[#This Row],[_LeafCost]]/Tasks[[#This Row],[_LeafTotalCost]])</f>
        <v>0</v>
      </c>
      <c r="CS6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6" s="38" t="n">
        <f aca="false">IF(NOT(Tasks[[#This Row],[_IsLeaf]]=1),0,MAX(_xlfn.MAXIFS(Tasks[_Row],Tasks[Pred1 UID],Tasks[[#This Row],[UID]]),_xlfn.MAXIFS(Tasks[_Row],Tasks[Pred2 UID],Tasks[[#This Row],[UID]]),_xlfn.MAXIFS(Tasks[_Row],Tasks[Pred3 UID],Tasks[[#This Row],[UID]]),_xlfn.MAXIFS(Tasks[_Row],Tasks[Pred4 UID],Tasks[[#This Row],[UID]])))</f>
        <v>0</v>
      </c>
      <c r="DB6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6" s="115" t="str">
        <f aca="false">IF(NOT(Tasks[[#This Row],[_IsLeaf]]=1),"",IF(N(Tasks[[#This Row],[Duration]])&lt;=0,Tasks[[#This Row],[_LeafLateFinish]],WORKDAY.INTL(Tasks[[#This Row],[_LeafLateFinish]],-(Tasks[[#This Row],[Duration]]-1),WorkWeek,Holidays)))</f>
        <v/>
      </c>
      <c r="DE6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6" s="114" t="b">
        <f aca="false">AND(Tasks[[#This Row],[_IsLeaf]]=1,Tasks[[#This Row],[_LeafProgress]]&lt;1,N(Tasks[[#This Row],[_LeafTotalSlack]])&lt;=CriticalSlackDays)</f>
        <v>0</v>
      </c>
      <c r="DG66" s="38" t="n">
        <f aca="false">IF(AND(Tasks[[#This Row],[_IsLeaf]]=1,Tasks[[#This Row],[_ConstraintCode]]=1,Tasks[[#This Row],[Mode]]&lt;&gt;"Manual",N(Tasks[[#This Row],[Actual Start]])=0),MAX(0,N(Tasks[[#This Row],[Free Slack]])),0)</f>
        <v>0</v>
      </c>
      <c r="DH66" s="115" t="str">
        <f aca="false">IF(NOT(Tasks[[#This Row],[_IsLeaf]]=1),"",IF(Tasks[[#This Row],[_AlapShift]]=0,Tasks[[#This Row],[_LeafCalcStart]],WORKDAY.INTL(Tasks[[#This Row],[_LeafCalcStart]],Tasks[[#This Row],[_AlapShift]],WorkWeek,Holidays)))</f>
        <v/>
      </c>
      <c r="DI66" s="115" t="str">
        <f aca="false">IF(NOT(Tasks[[#This Row],[_IsLeaf]]=1),"",IF(Tasks[[#This Row],[_AlapShift]]=0,Tasks[[#This Row],[_LeafCalcFinish]],WORKDAY.INTL(Tasks[[#This Row],[_LeafCalcFinish]],Tasks[[#This Row],[_AlapShift]],WorkWeek,Holidays)))</f>
        <v/>
      </c>
      <c r="DJ66" s="115" t="str">
        <f aca="false">IF(NOT(Tasks[[#This Row],[_IsLeaf]]=1),"",IF(Tasks[[#This Row],[_AlapShift]]=0,Tasks[[#This Row],[_LeafFcstStart]],WORKDAY.INTL(Tasks[[#This Row],[_LeafFcstStart]],Tasks[[#This Row],[_AlapShift]],WorkWeek,Holidays)))</f>
        <v/>
      </c>
      <c r="DK66" s="115" t="str">
        <f aca="false">IF(NOT(Tasks[[#This Row],[_IsLeaf]]=1),"",IF(Tasks[[#This Row],[_AlapShift]]=0,Tasks[[#This Row],[_LeafFcstFinish]],WORKDAY.INTL(Tasks[[#This Row],[_LeafFcstFinish]],Tasks[[#This Row],[_AlapShift]],WorkWeek,Holidays)))</f>
        <v/>
      </c>
      <c r="DL66" s="115" t="str">
        <f aca="false">IF(Tasks[[#This Row],[Task Name]]="","",IF(Tasks[[#This Row],[_IsSummary]],MIN(INDEX(Tasks[_ShownCalcStart],Tasks[[#This Row],[_Row]]+1):INDEX(Tasks[_ShownCalcStart],Tasks[[#This Row],[_Row]]+Tasks[[#This Row],[_Descendants]])),Tasks[[#This Row],[_ShownCalcStart]]))</f>
        <v/>
      </c>
      <c r="DM66" s="115" t="str">
        <f aca="false">IF(Tasks[[#This Row],[Task Name]]="","",IF(Tasks[[#This Row],[_IsSummary]],MAX(INDEX(Tasks[_ShownCalcFinish],Tasks[[#This Row],[_Row]]+1):INDEX(Tasks[_ShownCalcFinish],Tasks[[#This Row],[_Row]]+Tasks[[#This Row],[_Descendants]])),Tasks[[#This Row],[_ShownCalcFinish]]))</f>
        <v/>
      </c>
      <c r="DN6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6" s="38" t="n">
        <f aca="false">IF(AND(Tasks[[#This Row],[_IsLeaf]]=1,Tasks[[#This Row],[_LeafTotalWork]]&gt;0),NETWORKDAYS.INTL(ProjectStart,Tasks[[#This Row],[_ShownFcstStart]],WorkWeek,Holidays),0)</f>
        <v>0</v>
      </c>
      <c r="EA66" s="38" t="n">
        <f aca="false">IF(AND(Tasks[[#This Row],[_IsLeaf]]=1,Tasks[[#This Row],[_LeafTotalWork]]&gt;0),MAX(Tasks[[#This Row],[_StartWorkday]],NETWORKDAYS.INTL(ProjectStart,Tasks[[#This Row],[_ShownFcstFinish]],WorkWeek,Holidays)),0)</f>
        <v>0</v>
      </c>
      <c r="EB66" s="38" t="n">
        <f aca="false">IF(AND(Tasks[[#This Row],[_IsLeaf]]=1,Tasks[[#This Row],[_LeafTotalWork]]&gt;0),Tasks[[#This Row],[_LeafWork]]/(Tasks[[#This Row],[_FinishWorkday]]-Tasks[[#This Row],[_StartWorkday]]+1),0)</f>
        <v>0</v>
      </c>
      <c r="EC66" s="38" t="n">
        <f aca="false">Tasks[[#This Row],[_WorkPerWorkday]]*(Tasks[[#This Row],[_StartWorkday]]-1)</f>
        <v>-0</v>
      </c>
      <c r="ED66" s="38" t="n">
        <f aca="false">IF(Tasks[[#This Row],[_IsLeaf]]=1,MAX(N(Tasks[[#This Row],[Duration]]),0.1),0)</f>
        <v>0</v>
      </c>
      <c r="EE66" s="38" t="n">
        <f aca="false">Tasks[[#This Row],[_WeightDur]]*Tasks[[#This Row],[_LeafProgress]]</f>
        <v>0</v>
      </c>
      <c r="EF6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6" s="38" t="str">
        <f aca="false">IF(AND(Tasks[[#This Row],[_IsLeaf]]=1,N(Tasks[[#This Row],[Duration]])=0,Tasks[[#This Row],[_LeafProgress]]&lt;1),Tasks[[#This Row],[_ShownFcstFinish]]+Tasks[[#This Row],[_Row]]/100000,"")</f>
        <v/>
      </c>
      <c r="EH6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6" s="38" t="n">
        <f aca="false">IF(NOT(Tasks[[#This Row],[_IsLeaf]]=1),0,IF(Tasks[[#This Row],[Baseline Cost]]="",Tasks[[#This Row],[_LeafTotalCost]],N(Tasks[[#This Row],[Baseline Cost]])))</f>
        <v>0</v>
      </c>
      <c r="EJ66" s="38" t="n">
        <f aca="false">Tasks[[#This Row],[_LeafBudget]]*Tasks[[#This Row],[_PlannedPct]]</f>
        <v>0</v>
      </c>
      <c r="EK66" s="38" t="n">
        <f aca="false">Tasks[[#This Row],[_LeafBudget]]*Tasks[[#This Row],[_LeafProgress]]</f>
        <v>0</v>
      </c>
      <c r="EL66" s="38" t="n">
        <f aca="false">IF(NOT(Tasks[[#This Row],[_IsLeaf]]=1),0,IF(Tasks[[#This Row],[Actual Cost]]="",Tasks[[#This Row],[_LeafTotalCost]]*Tasks[[#This Row],[_LeafProgress]],N(Tasks[[#This Row],[Actual Cost]])))</f>
        <v>0</v>
      </c>
      <c r="EM66" s="38" t="str">
        <f aca="false">IF(Tasks[[#This Row],[Task Name]]="","",LEFT(Tasks[[#This Row],[WBS]],FIND(".",Tasks[[#This Row],[WBS]]&amp;".")-1))</f>
        <v/>
      </c>
      <c r="EN66" s="38" t="str">
        <f aca="false">IF(AND(Tasks[[#This Row],[Task Name]]&lt;&gt;"",Tasks[[#This Row],[_Level]]=1),Tasks[[#This Row],[_Row]],"")</f>
        <v/>
      </c>
      <c r="EO66" s="38" t="str">
        <f aca="false">IF(AND(Tasks[[#This Row],[_IsLeaf]]=1,N(Tasks[[#This Row],[Duration]])=0),Tasks[[#This Row],[Planned Finish]]+Tasks[[#This Row],[_Row]]/100000,"")</f>
        <v/>
      </c>
      <c r="EP66" s="38" t="str">
        <f aca="false">IF(AND(Tasks[[#This Row],[_IsLeaf]]=1,Tasks[[#This Row],[_LeafProgress]]&lt;1,OR(N(Tasks[[#This Row],[Finish Var]])&gt;0,Tasks[[#This Row],[Status]]="Late Start")),MAX(0,Tasks[[#This Row],[Finish Var]])+1-Tasks[[#This Row],[_Row]]/1000000,"")</f>
        <v/>
      </c>
      <c r="EQ66" s="38" t="str">
        <f aca="false">IF(AND(Tasks[[#This Row],[_IsLeaf]]=1,N(Tasks[[#This Row],[Actual Start]])=0,Tasks[[#This Row],[_ShownFcstStart]]&gt;=StatusDate,Tasks[[#This Row],[_ShownFcstStart]]&lt;=LookaheadEnd),Tasks[[#This Row],[_ShownFcstStart]]+Tasks[[#This Row],[_Row]]/100000,"")</f>
        <v/>
      </c>
      <c r="ER66" s="38" t="str">
        <f aca="false">IF(AND(Tasks[[#This Row],[_IsLeaf]]=1,Tasks[[#This Row],[_LeafProgress]]&lt;1,Tasks[[#This Row],[_ShownFcstFinish]]&gt;=StatusDate,Tasks[[#This Row],[_ShownFcstFinish]]&lt;=LookaheadEnd),Tasks[[#This Row],[_ShownFcstFinish]]+Tasks[[#This Row],[_Row]]/100000,"")</f>
        <v/>
      </c>
      <c r="ES66" s="38" t="str">
        <f aca="false">IF(Tasks[[#This Row],[_LeafCritical]],Tasks[[#This Row],[_ShownFcstStart]]+Tasks[[#This Row],[_Row]]/100000,"")</f>
        <v/>
      </c>
      <c r="ET66" s="38" t="n">
        <f aca="false">Tasks[[#This Row],[_LeafWork]]*Tasks[[#This Row],[_LeafProgress]]</f>
        <v>0</v>
      </c>
      <c r="EU66" s="115" t="str">
        <f aca="false">IF(AND(Tasks[[#This Row],[_IsLeaf]]=1,Tasks[[#This Row],[_LeafProgress]]&gt;=1),IF(N(Tasks[[#This Row],[Actual Finish]])&gt;0,Tasks[[#This Row],[Actual Finish]],Tasks[[#This Row],[_ShownFcstFinish]]),"")</f>
        <v/>
      </c>
      <c r="EV66" s="38" t="n">
        <f aca="false">IF(Tasks[[#This Row],[_IsLeaf]]=1,N(Tasks[[#This Row],[Story Points]]),0)</f>
        <v>0</v>
      </c>
      <c r="EW66" s="38" t="str">
        <f aca="false">IF(AND(Tasks[[#This Row],[_IsLeaf]]=1,CurrentSprint&lt;&gt;"",Tasks[[#This Row],[Sprint]]=CurrentSprint),Tasks[[#This Row],[_Row]],"")</f>
        <v/>
      </c>
    </row>
    <row r="67" customFormat="false" ht="15" hidden="false" customHeight="false" outlineLevel="0" collapsed="false">
      <c r="A67" s="51" t="str">
        <f aca="false">IF(Tasks[[#This Row],[Task Name]]="","",COUNTA(Tasks[[#Headers],[Task Name]]:Tasks[[#This Row],[Task Name]])-1)</f>
        <v/>
      </c>
      <c r="B67" s="52" t="n">
        <v>62</v>
      </c>
      <c r="C6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52"/>
      <c r="E67" s="53"/>
      <c r="F67" s="52"/>
      <c r="G67" s="52"/>
      <c r="H67" s="52"/>
      <c r="I67" s="52"/>
      <c r="J67" s="52"/>
      <c r="K67" s="52"/>
      <c r="L67" s="52"/>
      <c r="M67" s="52"/>
      <c r="N67" s="52"/>
      <c r="O67" s="52"/>
      <c r="P67" s="52"/>
      <c r="Q67" s="52"/>
      <c r="R67" s="52"/>
      <c r="S67" s="53"/>
      <c r="T67" s="102"/>
      <c r="U67" s="102"/>
      <c r="V67" s="7"/>
      <c r="W67" s="7"/>
      <c r="X67" s="53"/>
      <c r="Y67" s="31" t="str">
        <f aca="false">IF(Tasks[[#This Row],[Task Name]]="","",IF(Tasks[[#This Row],[_IsSummary]],MIN(INDEX(Tasks[_ShownFcstStart],Tasks[[#This Row],[_Row]]+1):INDEX(Tasks[_ShownFcstStart],Tasks[[#This Row],[_Row]]+Tasks[[#This Row],[_Descendants]])),Tasks[[#This Row],[_ShownFcstStart]]))</f>
        <v/>
      </c>
      <c r="Z67" s="31" t="str">
        <f aca="false">IF(Tasks[[#This Row],[Task Name]]="","",IF(Tasks[[#This Row],[_IsSummary]],MAX(INDEX(Tasks[_ShownFcstFinish],Tasks[[#This Row],[_Row]]+1):INDEX(Tasks[_ShownFcstFinish],Tasks[[#This Row],[_Row]]+Tasks[[#This Row],[_Descendants]])),Tasks[[#This Row],[_ShownFcstFinish]]))</f>
        <v/>
      </c>
      <c r="AA67" s="51" t="str">
        <f aca="false">IF(Tasks[[#This Row],[Task Name]]="","",IF(Tasks[[#This Row],[Progress]]&gt;=1,"Complete",IF(OR(N(Tasks[[#This Row],[Actual Start]])&gt;0,Tasks[[#This Row],[Progress]]&gt;0),IF(Tasks[[#This Row],[Finish Var]]&gt;0,"Behind","In Progress"),IF(Tasks[[#This Row],[Planned Start]]&lt;StatusDate,"Late Start","Not Started"))))</f>
        <v/>
      </c>
      <c r="AB67" s="51" t="str">
        <f aca="false">IF(Tasks[[#This Row],[Task Name]]="","",IF(IF(Tasks[[#This Row],[_IsSummary]],COUNTIF(INDEX(Tasks[_LeafCritical],Tasks[[#This Row],[_Row]]+1):INDEX(Tasks[_LeafCritical],Tasks[[#This Row],[_Row]]+Tasks[[#This Row],[_Descendants]]),TRUE())&gt;0,Tasks[[#This Row],[_LeafCritical]]),"Yes",""))</f>
        <v/>
      </c>
      <c r="AC6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7" s="51" t="str">
        <f aca="false">IF(Tasks[[#This Row],[Task Name]]="","",IF(Tasks[[#This Row],[_Level]]&lt;=OutlineShowLevel,"Yes","No"))</f>
        <v/>
      </c>
      <c r="AE67" s="7"/>
      <c r="AF67" s="52"/>
      <c r="AG67" s="53"/>
      <c r="AH67" s="7"/>
      <c r="AI6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7" s="31" t="str">
        <f aca="false">IF(Tasks[[#This Row],[Task Name]]="","",IF(N(Tasks[[#This Row],[Baseline Start]])&gt;0,Tasks[[#This Row],[Baseline Start]],Tasks[[#This Row],[_CalcStart]]))</f>
        <v/>
      </c>
      <c r="AK67" s="31" t="str">
        <f aca="false">IF(Tasks[[#This Row],[Task Name]]="","",IF(N(Tasks[[#This Row],[Baseline Finish]])&gt;0,Tasks[[#This Row],[Baseline Finish]],Tasks[[#This Row],[_CalcFinish]]))</f>
        <v/>
      </c>
      <c r="AL6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7" s="31" t="str">
        <f aca="false">IF(Tasks[[#This Row],[Task Name]]="","",IF(Tasks[[#This Row],[_IsSummary]],MIN(INDEX(Tasks[_LeafLateStart],Tasks[[#This Row],[_Row]]+1):INDEX(Tasks[_LeafLateStart],Tasks[[#This Row],[_Row]]+Tasks[[#This Row],[_Descendants]])),Tasks[[#This Row],[_LeafLateStart]]))</f>
        <v/>
      </c>
      <c r="AN67" s="31" t="str">
        <f aca="false">IF(Tasks[[#This Row],[Task Name]]="","",IF(Tasks[[#This Row],[_IsSummary]],MAX(INDEX(Tasks[_LeafLateFinish],Tasks[[#This Row],[_Row]]+1):INDEX(Tasks[_LeafLateFinish],Tasks[[#This Row],[_Row]]+Tasks[[#This Row],[_Descendants]])),Tasks[[#This Row],[_LeafLateFinish]]))</f>
        <v/>
      </c>
      <c r="AO67" s="51" t="str">
        <f aca="false">IF(Tasks[[#This Row],[Task Name]]="","",IF(Tasks[[#This Row],[_IsSummary]],MIN(INDEX(Tasks[_LeafTotalSlack],Tasks[[#This Row],[_Row]]+1):INDEX(Tasks[_LeafTotalSlack],Tasks[[#This Row],[_Row]]+Tasks[[#This Row],[_Descendants]])),Tasks[[#This Row],[_LeafTotalSlack]]))</f>
        <v/>
      </c>
      <c r="AP6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7" s="110" t="str">
        <f aca="false">IF(Tasks[[#This Row],[Task Name]]="","",IF(Tasks[[#This Row],[_IsSummary]],SUM(INDEX(Tasks[_LeafTotalWork],Tasks[[#This Row],[_Row]]+1):INDEX(Tasks[_LeafTotalWork],Tasks[[#This Row],[_Row]]+Tasks[[#This Row],[_Descendants]])),Tasks[[#This Row],[_LeafTotalWork]]))</f>
        <v/>
      </c>
      <c r="AV6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7" s="111" t="str">
        <f aca="false">IF(Tasks[[#This Row],[Task Name]]="","",IF(Tasks[[#This Row],[_IsSummary]],SUM(INDEX(Tasks[_LeafTotalCost],Tasks[[#This Row],[_Row]]+1):INDEX(Tasks[_LeafTotalCost],Tasks[[#This Row],[_Row]]+Tasks[[#This Row],[_Descendants]])),Tasks[[#This Row],[_LeafTotalCost]]))</f>
        <v/>
      </c>
      <c r="AY67" s="112"/>
      <c r="AZ6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7" s="52"/>
      <c r="BB67" s="98"/>
      <c r="BC67" s="51" t="str">
        <f aca="false">IF(OR(Tasks[[#This Row],[Task Name]]="",Tasks[[#This Row],[Baseline Duration]]=""),"",Tasks[[#This Row],[BL Source Duration]]-N(Tasks[[#This Row],[Baseline Duration]]))</f>
        <v/>
      </c>
      <c r="BD67" s="110" t="str">
        <f aca="false">IF(OR(Tasks[[#This Row],[Task Name]]="",Tasks[[#This Row],[Baseline Work]]=""),"",Tasks[[#This Row],[Work]]-N(Tasks[[#This Row],[Baseline Work]]))</f>
        <v/>
      </c>
      <c r="BE67" s="111" t="str">
        <f aca="false">IF(OR(Tasks[[#This Row],[Task Name]]="",Tasks[[#This Row],[Baseline Cost]]=""),"",Tasks[[#This Row],[Cost]]-N(Tasks[[#This Row],[Baseline Cost]]))</f>
        <v/>
      </c>
      <c r="BF67" s="31" t="str">
        <f aca="false">IF(Tasks[[#This Row],[Task Name]]="","",Tasks[[#This Row],[Forecast Start]])</f>
        <v/>
      </c>
      <c r="BG67" s="31" t="str">
        <f aca="false">IF(Tasks[[#This Row],[Task Name]]="","",Tasks[[#This Row],[Forecast Finish]])</f>
        <v/>
      </c>
      <c r="BH67" s="51" t="str">
        <f aca="false">IF(Tasks[[#This Row],[Task Name]]="","",IF(Tasks[[#This Row],[_IsSummary]],NETWORKDAYS.INTL(Tasks[[#This Row],[Forecast Start]],Tasks[[#This Row],[Forecast Finish]],WorkWeek,Holidays),N(Tasks[[#This Row],[Duration]])))</f>
        <v/>
      </c>
      <c r="BI67" s="110" t="str">
        <f aca="false">IF(Tasks[[#This Row],[Task Name]]="","",Tasks[[#This Row],[Work]])</f>
        <v/>
      </c>
      <c r="BJ67" s="111" t="str">
        <f aca="false">IF(Tasks[[#This Row],[Task Name]]="","",Tasks[[#This Row],[Cost]])</f>
        <v/>
      </c>
      <c r="BK67" s="7"/>
      <c r="BL67" s="7"/>
      <c r="BM67" s="52"/>
      <c r="BN67" s="113"/>
      <c r="BO67" s="112"/>
      <c r="BP67" s="111" t="str">
        <f aca="false">IF(Tasks[[#This Row],[Task Name]]="","",IF(Tasks[[#This Row],[_IsSummary]],SUM(INDEX(Tasks[_LeafEV],Tasks[[#This Row],[_Row]]+1):INDEX(Tasks[_LeafEV],Tasks[[#This Row],[_Row]]+Tasks[[#This Row],[_Descendants]])),Tasks[[#This Row],[_LeafEV]]))</f>
        <v/>
      </c>
      <c r="BQ67" s="111" t="str">
        <f aca="false">IF(Tasks[[#This Row],[Task Name]]="","",IF(Tasks[[#This Row],[_IsSummary]],SUM(INDEX(Tasks[_LeafBudget],Tasks[[#This Row],[_Row]]+1):INDEX(Tasks[_LeafBudget],Tasks[[#This Row],[_Row]]+Tasks[[#This Row],[_Descendants]])),Tasks[[#This Row],[_LeafBudget]]))</f>
        <v/>
      </c>
      <c r="BR67" s="111" t="str">
        <f aca="false">IF(Tasks[[#This Row],[Task Name]]="","",IF(Tasks[[#This Row],[_IsSummary]],SUM(INDEX(Tasks[_LeafPV],Tasks[[#This Row],[_Row]]+1):INDEX(Tasks[_LeafPV],Tasks[[#This Row],[_Row]]+Tasks[[#This Row],[_Descendants]])),Tasks[[#This Row],[_LeafPV]]))</f>
        <v/>
      </c>
      <c r="BS67" s="111" t="str">
        <f aca="false">IF(Tasks[[#This Row],[Task Name]]="","",IF(Tasks[[#This Row],[_IsSummary]],SUM(INDEX(Tasks[_LeafAC],Tasks[[#This Row],[_Row]]+1):INDEX(Tasks[_LeafAC],Tasks[[#This Row],[_Row]]+Tasks[[#This Row],[_Descendants]])),Tasks[[#This Row],[_LeafAC]]))</f>
        <v/>
      </c>
      <c r="BT67" s="38" t="str">
        <f aca="false">IF(Tasks[[#This Row],[Task Name]]="","",MAX(1,N(Tasks[[#This Row],[Level]])))</f>
        <v/>
      </c>
      <c r="BU67" s="38" t="n">
        <f aca="false">ROW()-ROW(Tasks[[#Headers],[ID]])</f>
        <v>62</v>
      </c>
      <c r="BV67" s="38" t="n">
        <f aca="false">IF(OR(Tasks[[#This Row],[Task Name]]="",Tasks[[#This Row],[_Level]]&lt;=1),0,IFERROR(LOOKUP(2,1/(Tasks[[#Headers],[_Level]]:Tasks[[#This Row],[_Level]]=Tasks[[#This Row],[_Level]]-1),ROW(Tasks[[#Headers],[_Level]]:Tasks[[#This Row],[_Level]])),0))</f>
        <v>0</v>
      </c>
      <c r="BW67" s="38" t="n">
        <f aca="false">IFERROR(N(INDEX(Tasks[_Level],Tasks[[#This Row],[_Row]]+1)),0)</f>
        <v>0</v>
      </c>
      <c r="BX67" s="114" t="b">
        <f aca="false">AND(Tasks[[#This Row],[Task Name]]&lt;&gt;"",Tasks[[#This Row],[_NextLevel]]&gt;Tasks[[#This Row],[_Level]])</f>
        <v>0</v>
      </c>
      <c r="BY67" s="38" t="n">
        <f aca="false">IF(Tasks[[#This Row],[_IsSummary]],COUNTIF(Tasks[WBS],Tasks[[#This Row],[WBS]]&amp;".*"),0)</f>
        <v>0</v>
      </c>
      <c r="BZ67" s="38" t="n">
        <f aca="false">IF(AND(Tasks[[#This Row],[Task Name]]&lt;&gt;"",NOT(Tasks[[#This Row],[_IsSummary]])),1,0)</f>
        <v>0</v>
      </c>
      <c r="CA67" s="38" t="n">
        <f aca="false">IF(N(Tasks[[#This Row],[Pred1 UID]])=0,0,IFERROR(MATCH(Tasks[[#This Row],[Pred1 UID]],Tasks[UID],0),-1))</f>
        <v>0</v>
      </c>
      <c r="CB67" s="38" t="n">
        <f aca="false">IF(N(Tasks[[#This Row],[Pred2 UID]])=0,0,IFERROR(MATCH(Tasks[[#This Row],[Pred2 UID]],Tasks[UID],0),-1))</f>
        <v>0</v>
      </c>
      <c r="CC67" s="38" t="n">
        <f aca="false">IF(N(Tasks[[#This Row],[Pred3 UID]])=0,0,IFERROR(MATCH(Tasks[[#This Row],[Pred3 UID]],Tasks[UID],0),-1))</f>
        <v>0</v>
      </c>
      <c r="CD67" s="38" t="n">
        <f aca="false">IF(N(Tasks[[#This Row],[Pred4 UID]])=0,0,IFERROR(MATCH(Tasks[[#This Row],[Pred4 UID]],Tasks[UID],0),-1))</f>
        <v>0</v>
      </c>
      <c r="CE6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7" s="115" t="n">
        <f aca="false">IF(OR(Tasks[[#This Row],[_ConstraintCode]]=2,Tasks[[#This Row],[_ConstraintCode]]=3,Tasks[[#This Row],[_ConstraintCode]]=4,Tasks[[#This Row],[_ConstraintCode]]=6),Tasks[[#This Row],[_ConstraintStart]],0)</f>
        <v>0</v>
      </c>
      <c r="CH67" s="115" t="n">
        <f aca="false">IF(OR(Tasks[[#This Row],[_ConstraintCode]]=2,Tasks[[#This Row],[_ConstraintCode]]=3,Tasks[[#This Row],[_ConstraintCode]]=5,Tasks[[#This Row],[_ConstraintCode]]=7),Tasks[[#This Row],[_ConstraintStart]],2958465)</f>
        <v>2958465</v>
      </c>
      <c r="CI6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7" s="115" t="str">
        <f aca="false">IF(NOT(Tasks[[#This Row],[_IsLeaf]]=1),"",IF(N(Tasks[[#This Row],[Duration]])&lt;=0,Tasks[[#This Row],[_LeafCalcStart]],WORKDAY.INTL(Tasks[[#This Row],[_LeafCalcStart]],Tasks[[#This Row],[Duration]]-1,WorkWeek,Holidays)))</f>
        <v/>
      </c>
      <c r="CK6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7" s="38" t="n">
        <f aca="false">IF(NOT(Tasks[[#This Row],[_IsLeaf]]=1),0,IF(N(Tasks[[#This Row],[Actual Finish]])&gt;0,1,MIN(1,N(Tasks[[#This Row],[% Complete]]))))</f>
        <v>0</v>
      </c>
      <c r="CN67" s="38" t="n">
        <f aca="false">IF(OR(NOT(Tasks[[#This Row],[_IsLeaf]]=1),Tasks[[#This Row],[Resource]]=""),0,N(Tasks[[#This Row],[Duration]])*HoursPerDay*IF(Tasks[[#This Row],[Units]]="",DefaultUnits,Tasks[[#This Row],[Units]]))</f>
        <v>0</v>
      </c>
      <c r="CO67" s="38" t="n">
        <f aca="false">IF(Tasks[[#This Row],[_LeafWork]]=0,0,Tasks[[#This Row],[_LeafWork]]*IFERROR(INDEX(res_Rate,MATCH(Tasks[[#This Row],[Resource]],res_Name,0)),0))</f>
        <v>0</v>
      </c>
      <c r="CP67" s="38" t="n">
        <f aca="false">Tasks[[#This Row],[_LeafWork]]+IF(Tasks[[#This Row],[_IsLeaf]]=1,SUMIFS(asg_Work,asg_TaskUID,Tasks[[#This Row],[UID]],asg_Valid,1),0)</f>
        <v>0</v>
      </c>
      <c r="CQ67" s="38" t="n">
        <f aca="false">Tasks[[#This Row],[_LeafCost]]+IF(Tasks[[#This Row],[_IsLeaf]]=1,SUMIFS(asg_Cost,asg_TaskUID,Tasks[[#This Row],[UID]],asg_Valid,1),0)</f>
        <v>0</v>
      </c>
      <c r="CR67" s="38" t="n">
        <f aca="false">IF(Tasks[[#This Row],[_LeafTotalCost]]=0,Tasks[[#This Row],[_LeafAC]],Tasks[[#This Row],[_LeafAC]]*Tasks[[#This Row],[_LeafCost]]/Tasks[[#This Row],[_LeafTotalCost]])</f>
        <v>0</v>
      </c>
      <c r="CS6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7" s="38" t="n">
        <f aca="false">IF(NOT(Tasks[[#This Row],[_IsLeaf]]=1),0,MAX(_xlfn.MAXIFS(Tasks[_Row],Tasks[Pred1 UID],Tasks[[#This Row],[UID]]),_xlfn.MAXIFS(Tasks[_Row],Tasks[Pred2 UID],Tasks[[#This Row],[UID]]),_xlfn.MAXIFS(Tasks[_Row],Tasks[Pred3 UID],Tasks[[#This Row],[UID]]),_xlfn.MAXIFS(Tasks[_Row],Tasks[Pred4 UID],Tasks[[#This Row],[UID]])))</f>
        <v>0</v>
      </c>
      <c r="DB6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7" s="115" t="str">
        <f aca="false">IF(NOT(Tasks[[#This Row],[_IsLeaf]]=1),"",IF(N(Tasks[[#This Row],[Duration]])&lt;=0,Tasks[[#This Row],[_LeafLateFinish]],WORKDAY.INTL(Tasks[[#This Row],[_LeafLateFinish]],-(Tasks[[#This Row],[Duration]]-1),WorkWeek,Holidays)))</f>
        <v/>
      </c>
      <c r="DE6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7" s="114" t="b">
        <f aca="false">AND(Tasks[[#This Row],[_IsLeaf]]=1,Tasks[[#This Row],[_LeafProgress]]&lt;1,N(Tasks[[#This Row],[_LeafTotalSlack]])&lt;=CriticalSlackDays)</f>
        <v>0</v>
      </c>
      <c r="DG67" s="38" t="n">
        <f aca="false">IF(AND(Tasks[[#This Row],[_IsLeaf]]=1,Tasks[[#This Row],[_ConstraintCode]]=1,Tasks[[#This Row],[Mode]]&lt;&gt;"Manual",N(Tasks[[#This Row],[Actual Start]])=0),MAX(0,N(Tasks[[#This Row],[Free Slack]])),0)</f>
        <v>0</v>
      </c>
      <c r="DH67" s="115" t="str">
        <f aca="false">IF(NOT(Tasks[[#This Row],[_IsLeaf]]=1),"",IF(Tasks[[#This Row],[_AlapShift]]=0,Tasks[[#This Row],[_LeafCalcStart]],WORKDAY.INTL(Tasks[[#This Row],[_LeafCalcStart]],Tasks[[#This Row],[_AlapShift]],WorkWeek,Holidays)))</f>
        <v/>
      </c>
      <c r="DI67" s="115" t="str">
        <f aca="false">IF(NOT(Tasks[[#This Row],[_IsLeaf]]=1),"",IF(Tasks[[#This Row],[_AlapShift]]=0,Tasks[[#This Row],[_LeafCalcFinish]],WORKDAY.INTL(Tasks[[#This Row],[_LeafCalcFinish]],Tasks[[#This Row],[_AlapShift]],WorkWeek,Holidays)))</f>
        <v/>
      </c>
      <c r="DJ67" s="115" t="str">
        <f aca="false">IF(NOT(Tasks[[#This Row],[_IsLeaf]]=1),"",IF(Tasks[[#This Row],[_AlapShift]]=0,Tasks[[#This Row],[_LeafFcstStart]],WORKDAY.INTL(Tasks[[#This Row],[_LeafFcstStart]],Tasks[[#This Row],[_AlapShift]],WorkWeek,Holidays)))</f>
        <v/>
      </c>
      <c r="DK67" s="115" t="str">
        <f aca="false">IF(NOT(Tasks[[#This Row],[_IsLeaf]]=1),"",IF(Tasks[[#This Row],[_AlapShift]]=0,Tasks[[#This Row],[_LeafFcstFinish]],WORKDAY.INTL(Tasks[[#This Row],[_LeafFcstFinish]],Tasks[[#This Row],[_AlapShift]],WorkWeek,Holidays)))</f>
        <v/>
      </c>
      <c r="DL67" s="115" t="str">
        <f aca="false">IF(Tasks[[#This Row],[Task Name]]="","",IF(Tasks[[#This Row],[_IsSummary]],MIN(INDEX(Tasks[_ShownCalcStart],Tasks[[#This Row],[_Row]]+1):INDEX(Tasks[_ShownCalcStart],Tasks[[#This Row],[_Row]]+Tasks[[#This Row],[_Descendants]])),Tasks[[#This Row],[_ShownCalcStart]]))</f>
        <v/>
      </c>
      <c r="DM67" s="115" t="str">
        <f aca="false">IF(Tasks[[#This Row],[Task Name]]="","",IF(Tasks[[#This Row],[_IsSummary]],MAX(INDEX(Tasks[_ShownCalcFinish],Tasks[[#This Row],[_Row]]+1):INDEX(Tasks[_ShownCalcFinish],Tasks[[#This Row],[_Row]]+Tasks[[#This Row],[_Descendants]])),Tasks[[#This Row],[_ShownCalcFinish]]))</f>
        <v/>
      </c>
      <c r="DN6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7" s="38" t="n">
        <f aca="false">IF(AND(Tasks[[#This Row],[_IsLeaf]]=1,Tasks[[#This Row],[_LeafTotalWork]]&gt;0),NETWORKDAYS.INTL(ProjectStart,Tasks[[#This Row],[_ShownFcstStart]],WorkWeek,Holidays),0)</f>
        <v>0</v>
      </c>
      <c r="EA67" s="38" t="n">
        <f aca="false">IF(AND(Tasks[[#This Row],[_IsLeaf]]=1,Tasks[[#This Row],[_LeafTotalWork]]&gt;0),MAX(Tasks[[#This Row],[_StartWorkday]],NETWORKDAYS.INTL(ProjectStart,Tasks[[#This Row],[_ShownFcstFinish]],WorkWeek,Holidays)),0)</f>
        <v>0</v>
      </c>
      <c r="EB67" s="38" t="n">
        <f aca="false">IF(AND(Tasks[[#This Row],[_IsLeaf]]=1,Tasks[[#This Row],[_LeafTotalWork]]&gt;0),Tasks[[#This Row],[_LeafWork]]/(Tasks[[#This Row],[_FinishWorkday]]-Tasks[[#This Row],[_StartWorkday]]+1),0)</f>
        <v>0</v>
      </c>
      <c r="EC67" s="38" t="n">
        <f aca="false">Tasks[[#This Row],[_WorkPerWorkday]]*(Tasks[[#This Row],[_StartWorkday]]-1)</f>
        <v>-0</v>
      </c>
      <c r="ED67" s="38" t="n">
        <f aca="false">IF(Tasks[[#This Row],[_IsLeaf]]=1,MAX(N(Tasks[[#This Row],[Duration]]),0.1),0)</f>
        <v>0</v>
      </c>
      <c r="EE67" s="38" t="n">
        <f aca="false">Tasks[[#This Row],[_WeightDur]]*Tasks[[#This Row],[_LeafProgress]]</f>
        <v>0</v>
      </c>
      <c r="EF6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7" s="38" t="str">
        <f aca="false">IF(AND(Tasks[[#This Row],[_IsLeaf]]=1,N(Tasks[[#This Row],[Duration]])=0,Tasks[[#This Row],[_LeafProgress]]&lt;1),Tasks[[#This Row],[_ShownFcstFinish]]+Tasks[[#This Row],[_Row]]/100000,"")</f>
        <v/>
      </c>
      <c r="EH6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7" s="38" t="n">
        <f aca="false">IF(NOT(Tasks[[#This Row],[_IsLeaf]]=1),0,IF(Tasks[[#This Row],[Baseline Cost]]="",Tasks[[#This Row],[_LeafTotalCost]],N(Tasks[[#This Row],[Baseline Cost]])))</f>
        <v>0</v>
      </c>
      <c r="EJ67" s="38" t="n">
        <f aca="false">Tasks[[#This Row],[_LeafBudget]]*Tasks[[#This Row],[_PlannedPct]]</f>
        <v>0</v>
      </c>
      <c r="EK67" s="38" t="n">
        <f aca="false">Tasks[[#This Row],[_LeafBudget]]*Tasks[[#This Row],[_LeafProgress]]</f>
        <v>0</v>
      </c>
      <c r="EL67" s="38" t="n">
        <f aca="false">IF(NOT(Tasks[[#This Row],[_IsLeaf]]=1),0,IF(Tasks[[#This Row],[Actual Cost]]="",Tasks[[#This Row],[_LeafTotalCost]]*Tasks[[#This Row],[_LeafProgress]],N(Tasks[[#This Row],[Actual Cost]])))</f>
        <v>0</v>
      </c>
      <c r="EM67" s="38" t="str">
        <f aca="false">IF(Tasks[[#This Row],[Task Name]]="","",LEFT(Tasks[[#This Row],[WBS]],FIND(".",Tasks[[#This Row],[WBS]]&amp;".")-1))</f>
        <v/>
      </c>
      <c r="EN67" s="38" t="str">
        <f aca="false">IF(AND(Tasks[[#This Row],[Task Name]]&lt;&gt;"",Tasks[[#This Row],[_Level]]=1),Tasks[[#This Row],[_Row]],"")</f>
        <v/>
      </c>
      <c r="EO67" s="38" t="str">
        <f aca="false">IF(AND(Tasks[[#This Row],[_IsLeaf]]=1,N(Tasks[[#This Row],[Duration]])=0),Tasks[[#This Row],[Planned Finish]]+Tasks[[#This Row],[_Row]]/100000,"")</f>
        <v/>
      </c>
      <c r="EP67" s="38" t="str">
        <f aca="false">IF(AND(Tasks[[#This Row],[_IsLeaf]]=1,Tasks[[#This Row],[_LeafProgress]]&lt;1,OR(N(Tasks[[#This Row],[Finish Var]])&gt;0,Tasks[[#This Row],[Status]]="Late Start")),MAX(0,Tasks[[#This Row],[Finish Var]])+1-Tasks[[#This Row],[_Row]]/1000000,"")</f>
        <v/>
      </c>
      <c r="EQ67" s="38" t="str">
        <f aca="false">IF(AND(Tasks[[#This Row],[_IsLeaf]]=1,N(Tasks[[#This Row],[Actual Start]])=0,Tasks[[#This Row],[_ShownFcstStart]]&gt;=StatusDate,Tasks[[#This Row],[_ShownFcstStart]]&lt;=LookaheadEnd),Tasks[[#This Row],[_ShownFcstStart]]+Tasks[[#This Row],[_Row]]/100000,"")</f>
        <v/>
      </c>
      <c r="ER67" s="38" t="str">
        <f aca="false">IF(AND(Tasks[[#This Row],[_IsLeaf]]=1,Tasks[[#This Row],[_LeafProgress]]&lt;1,Tasks[[#This Row],[_ShownFcstFinish]]&gt;=StatusDate,Tasks[[#This Row],[_ShownFcstFinish]]&lt;=LookaheadEnd),Tasks[[#This Row],[_ShownFcstFinish]]+Tasks[[#This Row],[_Row]]/100000,"")</f>
        <v/>
      </c>
      <c r="ES67" s="38" t="str">
        <f aca="false">IF(Tasks[[#This Row],[_LeafCritical]],Tasks[[#This Row],[_ShownFcstStart]]+Tasks[[#This Row],[_Row]]/100000,"")</f>
        <v/>
      </c>
      <c r="ET67" s="38" t="n">
        <f aca="false">Tasks[[#This Row],[_LeafWork]]*Tasks[[#This Row],[_LeafProgress]]</f>
        <v>0</v>
      </c>
      <c r="EU67" s="115" t="str">
        <f aca="false">IF(AND(Tasks[[#This Row],[_IsLeaf]]=1,Tasks[[#This Row],[_LeafProgress]]&gt;=1),IF(N(Tasks[[#This Row],[Actual Finish]])&gt;0,Tasks[[#This Row],[Actual Finish]],Tasks[[#This Row],[_ShownFcstFinish]]),"")</f>
        <v/>
      </c>
      <c r="EV67" s="38" t="n">
        <f aca="false">IF(Tasks[[#This Row],[_IsLeaf]]=1,N(Tasks[[#This Row],[Story Points]]),0)</f>
        <v>0</v>
      </c>
      <c r="EW67" s="38" t="str">
        <f aca="false">IF(AND(Tasks[[#This Row],[_IsLeaf]]=1,CurrentSprint&lt;&gt;"",Tasks[[#This Row],[Sprint]]=CurrentSprint),Tasks[[#This Row],[_Row]],"")</f>
        <v/>
      </c>
    </row>
    <row r="68" customFormat="false" ht="15" hidden="false" customHeight="false" outlineLevel="0" collapsed="false">
      <c r="A68" s="51" t="str">
        <f aca="false">IF(Tasks[[#This Row],[Task Name]]="","",COUNTA(Tasks[[#Headers],[Task Name]]:Tasks[[#This Row],[Task Name]])-1)</f>
        <v/>
      </c>
      <c r="B68" s="52" t="n">
        <v>63</v>
      </c>
      <c r="C6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52"/>
      <c r="E68" s="53"/>
      <c r="F68" s="52"/>
      <c r="G68" s="52"/>
      <c r="H68" s="52"/>
      <c r="I68" s="52"/>
      <c r="J68" s="52"/>
      <c r="K68" s="52"/>
      <c r="L68" s="52"/>
      <c r="M68" s="52"/>
      <c r="N68" s="52"/>
      <c r="O68" s="52"/>
      <c r="P68" s="52"/>
      <c r="Q68" s="52"/>
      <c r="R68" s="52"/>
      <c r="S68" s="53"/>
      <c r="T68" s="102"/>
      <c r="U68" s="102"/>
      <c r="V68" s="7"/>
      <c r="W68" s="7"/>
      <c r="X68" s="53"/>
      <c r="Y68" s="31" t="str">
        <f aca="false">IF(Tasks[[#This Row],[Task Name]]="","",IF(Tasks[[#This Row],[_IsSummary]],MIN(INDEX(Tasks[_ShownFcstStart],Tasks[[#This Row],[_Row]]+1):INDEX(Tasks[_ShownFcstStart],Tasks[[#This Row],[_Row]]+Tasks[[#This Row],[_Descendants]])),Tasks[[#This Row],[_ShownFcstStart]]))</f>
        <v/>
      </c>
      <c r="Z68" s="31" t="str">
        <f aca="false">IF(Tasks[[#This Row],[Task Name]]="","",IF(Tasks[[#This Row],[_IsSummary]],MAX(INDEX(Tasks[_ShownFcstFinish],Tasks[[#This Row],[_Row]]+1):INDEX(Tasks[_ShownFcstFinish],Tasks[[#This Row],[_Row]]+Tasks[[#This Row],[_Descendants]])),Tasks[[#This Row],[_ShownFcstFinish]]))</f>
        <v/>
      </c>
      <c r="AA68" s="51" t="str">
        <f aca="false">IF(Tasks[[#This Row],[Task Name]]="","",IF(Tasks[[#This Row],[Progress]]&gt;=1,"Complete",IF(OR(N(Tasks[[#This Row],[Actual Start]])&gt;0,Tasks[[#This Row],[Progress]]&gt;0),IF(Tasks[[#This Row],[Finish Var]]&gt;0,"Behind","In Progress"),IF(Tasks[[#This Row],[Planned Start]]&lt;StatusDate,"Late Start","Not Started"))))</f>
        <v/>
      </c>
      <c r="AB68" s="51" t="str">
        <f aca="false">IF(Tasks[[#This Row],[Task Name]]="","",IF(IF(Tasks[[#This Row],[_IsSummary]],COUNTIF(INDEX(Tasks[_LeafCritical],Tasks[[#This Row],[_Row]]+1):INDEX(Tasks[_LeafCritical],Tasks[[#This Row],[_Row]]+Tasks[[#This Row],[_Descendants]]),TRUE())&gt;0,Tasks[[#This Row],[_LeafCritical]]),"Yes",""))</f>
        <v/>
      </c>
      <c r="AC6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8" s="51" t="str">
        <f aca="false">IF(Tasks[[#This Row],[Task Name]]="","",IF(Tasks[[#This Row],[_Level]]&lt;=OutlineShowLevel,"Yes","No"))</f>
        <v/>
      </c>
      <c r="AE68" s="7"/>
      <c r="AF68" s="52"/>
      <c r="AG68" s="53"/>
      <c r="AH68" s="7"/>
      <c r="AI6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8" s="31" t="str">
        <f aca="false">IF(Tasks[[#This Row],[Task Name]]="","",IF(N(Tasks[[#This Row],[Baseline Start]])&gt;0,Tasks[[#This Row],[Baseline Start]],Tasks[[#This Row],[_CalcStart]]))</f>
        <v/>
      </c>
      <c r="AK68" s="31" t="str">
        <f aca="false">IF(Tasks[[#This Row],[Task Name]]="","",IF(N(Tasks[[#This Row],[Baseline Finish]])&gt;0,Tasks[[#This Row],[Baseline Finish]],Tasks[[#This Row],[_CalcFinish]]))</f>
        <v/>
      </c>
      <c r="AL6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8" s="31" t="str">
        <f aca="false">IF(Tasks[[#This Row],[Task Name]]="","",IF(Tasks[[#This Row],[_IsSummary]],MIN(INDEX(Tasks[_LeafLateStart],Tasks[[#This Row],[_Row]]+1):INDEX(Tasks[_LeafLateStart],Tasks[[#This Row],[_Row]]+Tasks[[#This Row],[_Descendants]])),Tasks[[#This Row],[_LeafLateStart]]))</f>
        <v/>
      </c>
      <c r="AN68" s="31" t="str">
        <f aca="false">IF(Tasks[[#This Row],[Task Name]]="","",IF(Tasks[[#This Row],[_IsSummary]],MAX(INDEX(Tasks[_LeafLateFinish],Tasks[[#This Row],[_Row]]+1):INDEX(Tasks[_LeafLateFinish],Tasks[[#This Row],[_Row]]+Tasks[[#This Row],[_Descendants]])),Tasks[[#This Row],[_LeafLateFinish]]))</f>
        <v/>
      </c>
      <c r="AO68" s="51" t="str">
        <f aca="false">IF(Tasks[[#This Row],[Task Name]]="","",IF(Tasks[[#This Row],[_IsSummary]],MIN(INDEX(Tasks[_LeafTotalSlack],Tasks[[#This Row],[_Row]]+1):INDEX(Tasks[_LeafTotalSlack],Tasks[[#This Row],[_Row]]+Tasks[[#This Row],[_Descendants]])),Tasks[[#This Row],[_LeafTotalSlack]]))</f>
        <v/>
      </c>
      <c r="AP6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8" s="110" t="str">
        <f aca="false">IF(Tasks[[#This Row],[Task Name]]="","",IF(Tasks[[#This Row],[_IsSummary]],SUM(INDEX(Tasks[_LeafTotalWork],Tasks[[#This Row],[_Row]]+1):INDEX(Tasks[_LeafTotalWork],Tasks[[#This Row],[_Row]]+Tasks[[#This Row],[_Descendants]])),Tasks[[#This Row],[_LeafTotalWork]]))</f>
        <v/>
      </c>
      <c r="AV6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8" s="111" t="str">
        <f aca="false">IF(Tasks[[#This Row],[Task Name]]="","",IF(Tasks[[#This Row],[_IsSummary]],SUM(INDEX(Tasks[_LeafTotalCost],Tasks[[#This Row],[_Row]]+1):INDEX(Tasks[_LeafTotalCost],Tasks[[#This Row],[_Row]]+Tasks[[#This Row],[_Descendants]])),Tasks[[#This Row],[_LeafTotalCost]]))</f>
        <v/>
      </c>
      <c r="AY68" s="112"/>
      <c r="AZ6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8" s="52"/>
      <c r="BB68" s="98"/>
      <c r="BC68" s="51" t="str">
        <f aca="false">IF(OR(Tasks[[#This Row],[Task Name]]="",Tasks[[#This Row],[Baseline Duration]]=""),"",Tasks[[#This Row],[BL Source Duration]]-N(Tasks[[#This Row],[Baseline Duration]]))</f>
        <v/>
      </c>
      <c r="BD68" s="110" t="str">
        <f aca="false">IF(OR(Tasks[[#This Row],[Task Name]]="",Tasks[[#This Row],[Baseline Work]]=""),"",Tasks[[#This Row],[Work]]-N(Tasks[[#This Row],[Baseline Work]]))</f>
        <v/>
      </c>
      <c r="BE68" s="111" t="str">
        <f aca="false">IF(OR(Tasks[[#This Row],[Task Name]]="",Tasks[[#This Row],[Baseline Cost]]=""),"",Tasks[[#This Row],[Cost]]-N(Tasks[[#This Row],[Baseline Cost]]))</f>
        <v/>
      </c>
      <c r="BF68" s="31" t="str">
        <f aca="false">IF(Tasks[[#This Row],[Task Name]]="","",Tasks[[#This Row],[Forecast Start]])</f>
        <v/>
      </c>
      <c r="BG68" s="31" t="str">
        <f aca="false">IF(Tasks[[#This Row],[Task Name]]="","",Tasks[[#This Row],[Forecast Finish]])</f>
        <v/>
      </c>
      <c r="BH68" s="51" t="str">
        <f aca="false">IF(Tasks[[#This Row],[Task Name]]="","",IF(Tasks[[#This Row],[_IsSummary]],NETWORKDAYS.INTL(Tasks[[#This Row],[Forecast Start]],Tasks[[#This Row],[Forecast Finish]],WorkWeek,Holidays),N(Tasks[[#This Row],[Duration]])))</f>
        <v/>
      </c>
      <c r="BI68" s="110" t="str">
        <f aca="false">IF(Tasks[[#This Row],[Task Name]]="","",Tasks[[#This Row],[Work]])</f>
        <v/>
      </c>
      <c r="BJ68" s="111" t="str">
        <f aca="false">IF(Tasks[[#This Row],[Task Name]]="","",Tasks[[#This Row],[Cost]])</f>
        <v/>
      </c>
      <c r="BK68" s="7"/>
      <c r="BL68" s="7"/>
      <c r="BM68" s="52"/>
      <c r="BN68" s="113"/>
      <c r="BO68" s="112"/>
      <c r="BP68" s="111" t="str">
        <f aca="false">IF(Tasks[[#This Row],[Task Name]]="","",IF(Tasks[[#This Row],[_IsSummary]],SUM(INDEX(Tasks[_LeafEV],Tasks[[#This Row],[_Row]]+1):INDEX(Tasks[_LeafEV],Tasks[[#This Row],[_Row]]+Tasks[[#This Row],[_Descendants]])),Tasks[[#This Row],[_LeafEV]]))</f>
        <v/>
      </c>
      <c r="BQ68" s="111" t="str">
        <f aca="false">IF(Tasks[[#This Row],[Task Name]]="","",IF(Tasks[[#This Row],[_IsSummary]],SUM(INDEX(Tasks[_LeafBudget],Tasks[[#This Row],[_Row]]+1):INDEX(Tasks[_LeafBudget],Tasks[[#This Row],[_Row]]+Tasks[[#This Row],[_Descendants]])),Tasks[[#This Row],[_LeafBudget]]))</f>
        <v/>
      </c>
      <c r="BR68" s="111" t="str">
        <f aca="false">IF(Tasks[[#This Row],[Task Name]]="","",IF(Tasks[[#This Row],[_IsSummary]],SUM(INDEX(Tasks[_LeafPV],Tasks[[#This Row],[_Row]]+1):INDEX(Tasks[_LeafPV],Tasks[[#This Row],[_Row]]+Tasks[[#This Row],[_Descendants]])),Tasks[[#This Row],[_LeafPV]]))</f>
        <v/>
      </c>
      <c r="BS68" s="111" t="str">
        <f aca="false">IF(Tasks[[#This Row],[Task Name]]="","",IF(Tasks[[#This Row],[_IsSummary]],SUM(INDEX(Tasks[_LeafAC],Tasks[[#This Row],[_Row]]+1):INDEX(Tasks[_LeafAC],Tasks[[#This Row],[_Row]]+Tasks[[#This Row],[_Descendants]])),Tasks[[#This Row],[_LeafAC]]))</f>
        <v/>
      </c>
      <c r="BT68" s="38" t="str">
        <f aca="false">IF(Tasks[[#This Row],[Task Name]]="","",MAX(1,N(Tasks[[#This Row],[Level]])))</f>
        <v/>
      </c>
      <c r="BU68" s="38" t="n">
        <f aca="false">ROW()-ROW(Tasks[[#Headers],[ID]])</f>
        <v>63</v>
      </c>
      <c r="BV68" s="38" t="n">
        <f aca="false">IF(OR(Tasks[[#This Row],[Task Name]]="",Tasks[[#This Row],[_Level]]&lt;=1),0,IFERROR(LOOKUP(2,1/(Tasks[[#Headers],[_Level]]:Tasks[[#This Row],[_Level]]=Tasks[[#This Row],[_Level]]-1),ROW(Tasks[[#Headers],[_Level]]:Tasks[[#This Row],[_Level]])),0))</f>
        <v>0</v>
      </c>
      <c r="BW68" s="38" t="n">
        <f aca="false">IFERROR(N(INDEX(Tasks[_Level],Tasks[[#This Row],[_Row]]+1)),0)</f>
        <v>0</v>
      </c>
      <c r="BX68" s="114" t="b">
        <f aca="false">AND(Tasks[[#This Row],[Task Name]]&lt;&gt;"",Tasks[[#This Row],[_NextLevel]]&gt;Tasks[[#This Row],[_Level]])</f>
        <v>0</v>
      </c>
      <c r="BY68" s="38" t="n">
        <f aca="false">IF(Tasks[[#This Row],[_IsSummary]],COUNTIF(Tasks[WBS],Tasks[[#This Row],[WBS]]&amp;".*"),0)</f>
        <v>0</v>
      </c>
      <c r="BZ68" s="38" t="n">
        <f aca="false">IF(AND(Tasks[[#This Row],[Task Name]]&lt;&gt;"",NOT(Tasks[[#This Row],[_IsSummary]])),1,0)</f>
        <v>0</v>
      </c>
      <c r="CA68" s="38" t="n">
        <f aca="false">IF(N(Tasks[[#This Row],[Pred1 UID]])=0,0,IFERROR(MATCH(Tasks[[#This Row],[Pred1 UID]],Tasks[UID],0),-1))</f>
        <v>0</v>
      </c>
      <c r="CB68" s="38" t="n">
        <f aca="false">IF(N(Tasks[[#This Row],[Pred2 UID]])=0,0,IFERROR(MATCH(Tasks[[#This Row],[Pred2 UID]],Tasks[UID],0),-1))</f>
        <v>0</v>
      </c>
      <c r="CC68" s="38" t="n">
        <f aca="false">IF(N(Tasks[[#This Row],[Pred3 UID]])=0,0,IFERROR(MATCH(Tasks[[#This Row],[Pred3 UID]],Tasks[UID],0),-1))</f>
        <v>0</v>
      </c>
      <c r="CD68" s="38" t="n">
        <f aca="false">IF(N(Tasks[[#This Row],[Pred4 UID]])=0,0,IFERROR(MATCH(Tasks[[#This Row],[Pred4 UID]],Tasks[UID],0),-1))</f>
        <v>0</v>
      </c>
      <c r="CE6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8" s="115" t="n">
        <f aca="false">IF(OR(Tasks[[#This Row],[_ConstraintCode]]=2,Tasks[[#This Row],[_ConstraintCode]]=3,Tasks[[#This Row],[_ConstraintCode]]=4,Tasks[[#This Row],[_ConstraintCode]]=6),Tasks[[#This Row],[_ConstraintStart]],0)</f>
        <v>0</v>
      </c>
      <c r="CH68" s="115" t="n">
        <f aca="false">IF(OR(Tasks[[#This Row],[_ConstraintCode]]=2,Tasks[[#This Row],[_ConstraintCode]]=3,Tasks[[#This Row],[_ConstraintCode]]=5,Tasks[[#This Row],[_ConstraintCode]]=7),Tasks[[#This Row],[_ConstraintStart]],2958465)</f>
        <v>2958465</v>
      </c>
      <c r="CI6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8" s="115" t="str">
        <f aca="false">IF(NOT(Tasks[[#This Row],[_IsLeaf]]=1),"",IF(N(Tasks[[#This Row],[Duration]])&lt;=0,Tasks[[#This Row],[_LeafCalcStart]],WORKDAY.INTL(Tasks[[#This Row],[_LeafCalcStart]],Tasks[[#This Row],[Duration]]-1,WorkWeek,Holidays)))</f>
        <v/>
      </c>
      <c r="CK6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8" s="38" t="n">
        <f aca="false">IF(NOT(Tasks[[#This Row],[_IsLeaf]]=1),0,IF(N(Tasks[[#This Row],[Actual Finish]])&gt;0,1,MIN(1,N(Tasks[[#This Row],[% Complete]]))))</f>
        <v>0</v>
      </c>
      <c r="CN68" s="38" t="n">
        <f aca="false">IF(OR(NOT(Tasks[[#This Row],[_IsLeaf]]=1),Tasks[[#This Row],[Resource]]=""),0,N(Tasks[[#This Row],[Duration]])*HoursPerDay*IF(Tasks[[#This Row],[Units]]="",DefaultUnits,Tasks[[#This Row],[Units]]))</f>
        <v>0</v>
      </c>
      <c r="CO68" s="38" t="n">
        <f aca="false">IF(Tasks[[#This Row],[_LeafWork]]=0,0,Tasks[[#This Row],[_LeafWork]]*IFERROR(INDEX(res_Rate,MATCH(Tasks[[#This Row],[Resource]],res_Name,0)),0))</f>
        <v>0</v>
      </c>
      <c r="CP68" s="38" t="n">
        <f aca="false">Tasks[[#This Row],[_LeafWork]]+IF(Tasks[[#This Row],[_IsLeaf]]=1,SUMIFS(asg_Work,asg_TaskUID,Tasks[[#This Row],[UID]],asg_Valid,1),0)</f>
        <v>0</v>
      </c>
      <c r="CQ68" s="38" t="n">
        <f aca="false">Tasks[[#This Row],[_LeafCost]]+IF(Tasks[[#This Row],[_IsLeaf]]=1,SUMIFS(asg_Cost,asg_TaskUID,Tasks[[#This Row],[UID]],asg_Valid,1),0)</f>
        <v>0</v>
      </c>
      <c r="CR68" s="38" t="n">
        <f aca="false">IF(Tasks[[#This Row],[_LeafTotalCost]]=0,Tasks[[#This Row],[_LeafAC]],Tasks[[#This Row],[_LeafAC]]*Tasks[[#This Row],[_LeafCost]]/Tasks[[#This Row],[_LeafTotalCost]])</f>
        <v>0</v>
      </c>
      <c r="CS6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8" s="38" t="n">
        <f aca="false">IF(NOT(Tasks[[#This Row],[_IsLeaf]]=1),0,MAX(_xlfn.MAXIFS(Tasks[_Row],Tasks[Pred1 UID],Tasks[[#This Row],[UID]]),_xlfn.MAXIFS(Tasks[_Row],Tasks[Pred2 UID],Tasks[[#This Row],[UID]]),_xlfn.MAXIFS(Tasks[_Row],Tasks[Pred3 UID],Tasks[[#This Row],[UID]]),_xlfn.MAXIFS(Tasks[_Row],Tasks[Pred4 UID],Tasks[[#This Row],[UID]])))</f>
        <v>0</v>
      </c>
      <c r="DB6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8" s="115" t="str">
        <f aca="false">IF(NOT(Tasks[[#This Row],[_IsLeaf]]=1),"",IF(N(Tasks[[#This Row],[Duration]])&lt;=0,Tasks[[#This Row],[_LeafLateFinish]],WORKDAY.INTL(Tasks[[#This Row],[_LeafLateFinish]],-(Tasks[[#This Row],[Duration]]-1),WorkWeek,Holidays)))</f>
        <v/>
      </c>
      <c r="DE6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8" s="114" t="b">
        <f aca="false">AND(Tasks[[#This Row],[_IsLeaf]]=1,Tasks[[#This Row],[_LeafProgress]]&lt;1,N(Tasks[[#This Row],[_LeafTotalSlack]])&lt;=CriticalSlackDays)</f>
        <v>0</v>
      </c>
      <c r="DG68" s="38" t="n">
        <f aca="false">IF(AND(Tasks[[#This Row],[_IsLeaf]]=1,Tasks[[#This Row],[_ConstraintCode]]=1,Tasks[[#This Row],[Mode]]&lt;&gt;"Manual",N(Tasks[[#This Row],[Actual Start]])=0),MAX(0,N(Tasks[[#This Row],[Free Slack]])),0)</f>
        <v>0</v>
      </c>
      <c r="DH68" s="115" t="str">
        <f aca="false">IF(NOT(Tasks[[#This Row],[_IsLeaf]]=1),"",IF(Tasks[[#This Row],[_AlapShift]]=0,Tasks[[#This Row],[_LeafCalcStart]],WORKDAY.INTL(Tasks[[#This Row],[_LeafCalcStart]],Tasks[[#This Row],[_AlapShift]],WorkWeek,Holidays)))</f>
        <v/>
      </c>
      <c r="DI68" s="115" t="str">
        <f aca="false">IF(NOT(Tasks[[#This Row],[_IsLeaf]]=1),"",IF(Tasks[[#This Row],[_AlapShift]]=0,Tasks[[#This Row],[_LeafCalcFinish]],WORKDAY.INTL(Tasks[[#This Row],[_LeafCalcFinish]],Tasks[[#This Row],[_AlapShift]],WorkWeek,Holidays)))</f>
        <v/>
      </c>
      <c r="DJ68" s="115" t="str">
        <f aca="false">IF(NOT(Tasks[[#This Row],[_IsLeaf]]=1),"",IF(Tasks[[#This Row],[_AlapShift]]=0,Tasks[[#This Row],[_LeafFcstStart]],WORKDAY.INTL(Tasks[[#This Row],[_LeafFcstStart]],Tasks[[#This Row],[_AlapShift]],WorkWeek,Holidays)))</f>
        <v/>
      </c>
      <c r="DK68" s="115" t="str">
        <f aca="false">IF(NOT(Tasks[[#This Row],[_IsLeaf]]=1),"",IF(Tasks[[#This Row],[_AlapShift]]=0,Tasks[[#This Row],[_LeafFcstFinish]],WORKDAY.INTL(Tasks[[#This Row],[_LeafFcstFinish]],Tasks[[#This Row],[_AlapShift]],WorkWeek,Holidays)))</f>
        <v/>
      </c>
      <c r="DL68" s="115" t="str">
        <f aca="false">IF(Tasks[[#This Row],[Task Name]]="","",IF(Tasks[[#This Row],[_IsSummary]],MIN(INDEX(Tasks[_ShownCalcStart],Tasks[[#This Row],[_Row]]+1):INDEX(Tasks[_ShownCalcStart],Tasks[[#This Row],[_Row]]+Tasks[[#This Row],[_Descendants]])),Tasks[[#This Row],[_ShownCalcStart]]))</f>
        <v/>
      </c>
      <c r="DM68" s="115" t="str">
        <f aca="false">IF(Tasks[[#This Row],[Task Name]]="","",IF(Tasks[[#This Row],[_IsSummary]],MAX(INDEX(Tasks[_ShownCalcFinish],Tasks[[#This Row],[_Row]]+1):INDEX(Tasks[_ShownCalcFinish],Tasks[[#This Row],[_Row]]+Tasks[[#This Row],[_Descendants]])),Tasks[[#This Row],[_ShownCalcFinish]]))</f>
        <v/>
      </c>
      <c r="DN6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8" s="38" t="n">
        <f aca="false">IF(AND(Tasks[[#This Row],[_IsLeaf]]=1,Tasks[[#This Row],[_LeafTotalWork]]&gt;0),NETWORKDAYS.INTL(ProjectStart,Tasks[[#This Row],[_ShownFcstStart]],WorkWeek,Holidays),0)</f>
        <v>0</v>
      </c>
      <c r="EA68" s="38" t="n">
        <f aca="false">IF(AND(Tasks[[#This Row],[_IsLeaf]]=1,Tasks[[#This Row],[_LeafTotalWork]]&gt;0),MAX(Tasks[[#This Row],[_StartWorkday]],NETWORKDAYS.INTL(ProjectStart,Tasks[[#This Row],[_ShownFcstFinish]],WorkWeek,Holidays)),0)</f>
        <v>0</v>
      </c>
      <c r="EB68" s="38" t="n">
        <f aca="false">IF(AND(Tasks[[#This Row],[_IsLeaf]]=1,Tasks[[#This Row],[_LeafTotalWork]]&gt;0),Tasks[[#This Row],[_LeafWork]]/(Tasks[[#This Row],[_FinishWorkday]]-Tasks[[#This Row],[_StartWorkday]]+1),0)</f>
        <v>0</v>
      </c>
      <c r="EC68" s="38" t="n">
        <f aca="false">Tasks[[#This Row],[_WorkPerWorkday]]*(Tasks[[#This Row],[_StartWorkday]]-1)</f>
        <v>-0</v>
      </c>
      <c r="ED68" s="38" t="n">
        <f aca="false">IF(Tasks[[#This Row],[_IsLeaf]]=1,MAX(N(Tasks[[#This Row],[Duration]]),0.1),0)</f>
        <v>0</v>
      </c>
      <c r="EE68" s="38" t="n">
        <f aca="false">Tasks[[#This Row],[_WeightDur]]*Tasks[[#This Row],[_LeafProgress]]</f>
        <v>0</v>
      </c>
      <c r="EF6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8" s="38" t="str">
        <f aca="false">IF(AND(Tasks[[#This Row],[_IsLeaf]]=1,N(Tasks[[#This Row],[Duration]])=0,Tasks[[#This Row],[_LeafProgress]]&lt;1),Tasks[[#This Row],[_ShownFcstFinish]]+Tasks[[#This Row],[_Row]]/100000,"")</f>
        <v/>
      </c>
      <c r="EH6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8" s="38" t="n">
        <f aca="false">IF(NOT(Tasks[[#This Row],[_IsLeaf]]=1),0,IF(Tasks[[#This Row],[Baseline Cost]]="",Tasks[[#This Row],[_LeafTotalCost]],N(Tasks[[#This Row],[Baseline Cost]])))</f>
        <v>0</v>
      </c>
      <c r="EJ68" s="38" t="n">
        <f aca="false">Tasks[[#This Row],[_LeafBudget]]*Tasks[[#This Row],[_PlannedPct]]</f>
        <v>0</v>
      </c>
      <c r="EK68" s="38" t="n">
        <f aca="false">Tasks[[#This Row],[_LeafBudget]]*Tasks[[#This Row],[_LeafProgress]]</f>
        <v>0</v>
      </c>
      <c r="EL68" s="38" t="n">
        <f aca="false">IF(NOT(Tasks[[#This Row],[_IsLeaf]]=1),0,IF(Tasks[[#This Row],[Actual Cost]]="",Tasks[[#This Row],[_LeafTotalCost]]*Tasks[[#This Row],[_LeafProgress]],N(Tasks[[#This Row],[Actual Cost]])))</f>
        <v>0</v>
      </c>
      <c r="EM68" s="38" t="str">
        <f aca="false">IF(Tasks[[#This Row],[Task Name]]="","",LEFT(Tasks[[#This Row],[WBS]],FIND(".",Tasks[[#This Row],[WBS]]&amp;".")-1))</f>
        <v/>
      </c>
      <c r="EN68" s="38" t="str">
        <f aca="false">IF(AND(Tasks[[#This Row],[Task Name]]&lt;&gt;"",Tasks[[#This Row],[_Level]]=1),Tasks[[#This Row],[_Row]],"")</f>
        <v/>
      </c>
      <c r="EO68" s="38" t="str">
        <f aca="false">IF(AND(Tasks[[#This Row],[_IsLeaf]]=1,N(Tasks[[#This Row],[Duration]])=0),Tasks[[#This Row],[Planned Finish]]+Tasks[[#This Row],[_Row]]/100000,"")</f>
        <v/>
      </c>
      <c r="EP68" s="38" t="str">
        <f aca="false">IF(AND(Tasks[[#This Row],[_IsLeaf]]=1,Tasks[[#This Row],[_LeafProgress]]&lt;1,OR(N(Tasks[[#This Row],[Finish Var]])&gt;0,Tasks[[#This Row],[Status]]="Late Start")),MAX(0,Tasks[[#This Row],[Finish Var]])+1-Tasks[[#This Row],[_Row]]/1000000,"")</f>
        <v/>
      </c>
      <c r="EQ68" s="38" t="str">
        <f aca="false">IF(AND(Tasks[[#This Row],[_IsLeaf]]=1,N(Tasks[[#This Row],[Actual Start]])=0,Tasks[[#This Row],[_ShownFcstStart]]&gt;=StatusDate,Tasks[[#This Row],[_ShownFcstStart]]&lt;=LookaheadEnd),Tasks[[#This Row],[_ShownFcstStart]]+Tasks[[#This Row],[_Row]]/100000,"")</f>
        <v/>
      </c>
      <c r="ER68" s="38" t="str">
        <f aca="false">IF(AND(Tasks[[#This Row],[_IsLeaf]]=1,Tasks[[#This Row],[_LeafProgress]]&lt;1,Tasks[[#This Row],[_ShownFcstFinish]]&gt;=StatusDate,Tasks[[#This Row],[_ShownFcstFinish]]&lt;=LookaheadEnd),Tasks[[#This Row],[_ShownFcstFinish]]+Tasks[[#This Row],[_Row]]/100000,"")</f>
        <v/>
      </c>
      <c r="ES68" s="38" t="str">
        <f aca="false">IF(Tasks[[#This Row],[_LeafCritical]],Tasks[[#This Row],[_ShownFcstStart]]+Tasks[[#This Row],[_Row]]/100000,"")</f>
        <v/>
      </c>
      <c r="ET68" s="38" t="n">
        <f aca="false">Tasks[[#This Row],[_LeafWork]]*Tasks[[#This Row],[_LeafProgress]]</f>
        <v>0</v>
      </c>
      <c r="EU68" s="115" t="str">
        <f aca="false">IF(AND(Tasks[[#This Row],[_IsLeaf]]=1,Tasks[[#This Row],[_LeafProgress]]&gt;=1),IF(N(Tasks[[#This Row],[Actual Finish]])&gt;0,Tasks[[#This Row],[Actual Finish]],Tasks[[#This Row],[_ShownFcstFinish]]),"")</f>
        <v/>
      </c>
      <c r="EV68" s="38" t="n">
        <f aca="false">IF(Tasks[[#This Row],[_IsLeaf]]=1,N(Tasks[[#This Row],[Story Points]]),0)</f>
        <v>0</v>
      </c>
      <c r="EW68" s="38" t="str">
        <f aca="false">IF(AND(Tasks[[#This Row],[_IsLeaf]]=1,CurrentSprint&lt;&gt;"",Tasks[[#This Row],[Sprint]]=CurrentSprint),Tasks[[#This Row],[_Row]],"")</f>
        <v/>
      </c>
    </row>
    <row r="69" customFormat="false" ht="15" hidden="false" customHeight="false" outlineLevel="0" collapsed="false">
      <c r="A69" s="51" t="str">
        <f aca="false">IF(Tasks[[#This Row],[Task Name]]="","",COUNTA(Tasks[[#Headers],[Task Name]]:Tasks[[#This Row],[Task Name]])-1)</f>
        <v/>
      </c>
      <c r="B69" s="52" t="n">
        <v>64</v>
      </c>
      <c r="C6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52"/>
      <c r="E69" s="53"/>
      <c r="F69" s="52"/>
      <c r="G69" s="52"/>
      <c r="H69" s="52"/>
      <c r="I69" s="52"/>
      <c r="J69" s="52"/>
      <c r="K69" s="52"/>
      <c r="L69" s="52"/>
      <c r="M69" s="52"/>
      <c r="N69" s="52"/>
      <c r="O69" s="52"/>
      <c r="P69" s="52"/>
      <c r="Q69" s="52"/>
      <c r="R69" s="52"/>
      <c r="S69" s="53"/>
      <c r="T69" s="102"/>
      <c r="U69" s="102"/>
      <c r="V69" s="7"/>
      <c r="W69" s="7"/>
      <c r="X69" s="53"/>
      <c r="Y69" s="31" t="str">
        <f aca="false">IF(Tasks[[#This Row],[Task Name]]="","",IF(Tasks[[#This Row],[_IsSummary]],MIN(INDEX(Tasks[_ShownFcstStart],Tasks[[#This Row],[_Row]]+1):INDEX(Tasks[_ShownFcstStart],Tasks[[#This Row],[_Row]]+Tasks[[#This Row],[_Descendants]])),Tasks[[#This Row],[_ShownFcstStart]]))</f>
        <v/>
      </c>
      <c r="Z69" s="31" t="str">
        <f aca="false">IF(Tasks[[#This Row],[Task Name]]="","",IF(Tasks[[#This Row],[_IsSummary]],MAX(INDEX(Tasks[_ShownFcstFinish],Tasks[[#This Row],[_Row]]+1):INDEX(Tasks[_ShownFcstFinish],Tasks[[#This Row],[_Row]]+Tasks[[#This Row],[_Descendants]])),Tasks[[#This Row],[_ShownFcstFinish]]))</f>
        <v/>
      </c>
      <c r="AA69" s="51" t="str">
        <f aca="false">IF(Tasks[[#This Row],[Task Name]]="","",IF(Tasks[[#This Row],[Progress]]&gt;=1,"Complete",IF(OR(N(Tasks[[#This Row],[Actual Start]])&gt;0,Tasks[[#This Row],[Progress]]&gt;0),IF(Tasks[[#This Row],[Finish Var]]&gt;0,"Behind","In Progress"),IF(Tasks[[#This Row],[Planned Start]]&lt;StatusDate,"Late Start","Not Started"))))</f>
        <v/>
      </c>
      <c r="AB69" s="51" t="str">
        <f aca="false">IF(Tasks[[#This Row],[Task Name]]="","",IF(IF(Tasks[[#This Row],[_IsSummary]],COUNTIF(INDEX(Tasks[_LeafCritical],Tasks[[#This Row],[_Row]]+1):INDEX(Tasks[_LeafCritical],Tasks[[#This Row],[_Row]]+Tasks[[#This Row],[_Descendants]]),TRUE())&gt;0,Tasks[[#This Row],[_LeafCritical]]),"Yes",""))</f>
        <v/>
      </c>
      <c r="AC6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9" s="51" t="str">
        <f aca="false">IF(Tasks[[#This Row],[Task Name]]="","",IF(Tasks[[#This Row],[_Level]]&lt;=OutlineShowLevel,"Yes","No"))</f>
        <v/>
      </c>
      <c r="AE69" s="7"/>
      <c r="AF69" s="52"/>
      <c r="AG69" s="53"/>
      <c r="AH69" s="7"/>
      <c r="AI6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9" s="31" t="str">
        <f aca="false">IF(Tasks[[#This Row],[Task Name]]="","",IF(N(Tasks[[#This Row],[Baseline Start]])&gt;0,Tasks[[#This Row],[Baseline Start]],Tasks[[#This Row],[_CalcStart]]))</f>
        <v/>
      </c>
      <c r="AK69" s="31" t="str">
        <f aca="false">IF(Tasks[[#This Row],[Task Name]]="","",IF(N(Tasks[[#This Row],[Baseline Finish]])&gt;0,Tasks[[#This Row],[Baseline Finish]],Tasks[[#This Row],[_CalcFinish]]))</f>
        <v/>
      </c>
      <c r="AL6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9" s="31" t="str">
        <f aca="false">IF(Tasks[[#This Row],[Task Name]]="","",IF(Tasks[[#This Row],[_IsSummary]],MIN(INDEX(Tasks[_LeafLateStart],Tasks[[#This Row],[_Row]]+1):INDEX(Tasks[_LeafLateStart],Tasks[[#This Row],[_Row]]+Tasks[[#This Row],[_Descendants]])),Tasks[[#This Row],[_LeafLateStart]]))</f>
        <v/>
      </c>
      <c r="AN69" s="31" t="str">
        <f aca="false">IF(Tasks[[#This Row],[Task Name]]="","",IF(Tasks[[#This Row],[_IsSummary]],MAX(INDEX(Tasks[_LeafLateFinish],Tasks[[#This Row],[_Row]]+1):INDEX(Tasks[_LeafLateFinish],Tasks[[#This Row],[_Row]]+Tasks[[#This Row],[_Descendants]])),Tasks[[#This Row],[_LeafLateFinish]]))</f>
        <v/>
      </c>
      <c r="AO69" s="51" t="str">
        <f aca="false">IF(Tasks[[#This Row],[Task Name]]="","",IF(Tasks[[#This Row],[_IsSummary]],MIN(INDEX(Tasks[_LeafTotalSlack],Tasks[[#This Row],[_Row]]+1):INDEX(Tasks[_LeafTotalSlack],Tasks[[#This Row],[_Row]]+Tasks[[#This Row],[_Descendants]])),Tasks[[#This Row],[_LeafTotalSlack]]))</f>
        <v/>
      </c>
      <c r="AP6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9" s="110" t="str">
        <f aca="false">IF(Tasks[[#This Row],[Task Name]]="","",IF(Tasks[[#This Row],[_IsSummary]],SUM(INDEX(Tasks[_LeafTotalWork],Tasks[[#This Row],[_Row]]+1):INDEX(Tasks[_LeafTotalWork],Tasks[[#This Row],[_Row]]+Tasks[[#This Row],[_Descendants]])),Tasks[[#This Row],[_LeafTotalWork]]))</f>
        <v/>
      </c>
      <c r="AV6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9" s="111" t="str">
        <f aca="false">IF(Tasks[[#This Row],[Task Name]]="","",IF(Tasks[[#This Row],[_IsSummary]],SUM(INDEX(Tasks[_LeafTotalCost],Tasks[[#This Row],[_Row]]+1):INDEX(Tasks[_LeafTotalCost],Tasks[[#This Row],[_Row]]+Tasks[[#This Row],[_Descendants]])),Tasks[[#This Row],[_LeafTotalCost]]))</f>
        <v/>
      </c>
      <c r="AY69" s="112"/>
      <c r="AZ6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9" s="52"/>
      <c r="BB69" s="98"/>
      <c r="BC69" s="51" t="str">
        <f aca="false">IF(OR(Tasks[[#This Row],[Task Name]]="",Tasks[[#This Row],[Baseline Duration]]=""),"",Tasks[[#This Row],[BL Source Duration]]-N(Tasks[[#This Row],[Baseline Duration]]))</f>
        <v/>
      </c>
      <c r="BD69" s="110" t="str">
        <f aca="false">IF(OR(Tasks[[#This Row],[Task Name]]="",Tasks[[#This Row],[Baseline Work]]=""),"",Tasks[[#This Row],[Work]]-N(Tasks[[#This Row],[Baseline Work]]))</f>
        <v/>
      </c>
      <c r="BE69" s="111" t="str">
        <f aca="false">IF(OR(Tasks[[#This Row],[Task Name]]="",Tasks[[#This Row],[Baseline Cost]]=""),"",Tasks[[#This Row],[Cost]]-N(Tasks[[#This Row],[Baseline Cost]]))</f>
        <v/>
      </c>
      <c r="BF69" s="31" t="str">
        <f aca="false">IF(Tasks[[#This Row],[Task Name]]="","",Tasks[[#This Row],[Forecast Start]])</f>
        <v/>
      </c>
      <c r="BG69" s="31" t="str">
        <f aca="false">IF(Tasks[[#This Row],[Task Name]]="","",Tasks[[#This Row],[Forecast Finish]])</f>
        <v/>
      </c>
      <c r="BH69" s="51" t="str">
        <f aca="false">IF(Tasks[[#This Row],[Task Name]]="","",IF(Tasks[[#This Row],[_IsSummary]],NETWORKDAYS.INTL(Tasks[[#This Row],[Forecast Start]],Tasks[[#This Row],[Forecast Finish]],WorkWeek,Holidays),N(Tasks[[#This Row],[Duration]])))</f>
        <v/>
      </c>
      <c r="BI69" s="110" t="str">
        <f aca="false">IF(Tasks[[#This Row],[Task Name]]="","",Tasks[[#This Row],[Work]])</f>
        <v/>
      </c>
      <c r="BJ69" s="111" t="str">
        <f aca="false">IF(Tasks[[#This Row],[Task Name]]="","",Tasks[[#This Row],[Cost]])</f>
        <v/>
      </c>
      <c r="BK69" s="7"/>
      <c r="BL69" s="7"/>
      <c r="BM69" s="52"/>
      <c r="BN69" s="113"/>
      <c r="BO69" s="112"/>
      <c r="BP69" s="111" t="str">
        <f aca="false">IF(Tasks[[#This Row],[Task Name]]="","",IF(Tasks[[#This Row],[_IsSummary]],SUM(INDEX(Tasks[_LeafEV],Tasks[[#This Row],[_Row]]+1):INDEX(Tasks[_LeafEV],Tasks[[#This Row],[_Row]]+Tasks[[#This Row],[_Descendants]])),Tasks[[#This Row],[_LeafEV]]))</f>
        <v/>
      </c>
      <c r="BQ69" s="111" t="str">
        <f aca="false">IF(Tasks[[#This Row],[Task Name]]="","",IF(Tasks[[#This Row],[_IsSummary]],SUM(INDEX(Tasks[_LeafBudget],Tasks[[#This Row],[_Row]]+1):INDEX(Tasks[_LeafBudget],Tasks[[#This Row],[_Row]]+Tasks[[#This Row],[_Descendants]])),Tasks[[#This Row],[_LeafBudget]]))</f>
        <v/>
      </c>
      <c r="BR69" s="111" t="str">
        <f aca="false">IF(Tasks[[#This Row],[Task Name]]="","",IF(Tasks[[#This Row],[_IsSummary]],SUM(INDEX(Tasks[_LeafPV],Tasks[[#This Row],[_Row]]+1):INDEX(Tasks[_LeafPV],Tasks[[#This Row],[_Row]]+Tasks[[#This Row],[_Descendants]])),Tasks[[#This Row],[_LeafPV]]))</f>
        <v/>
      </c>
      <c r="BS69" s="111" t="str">
        <f aca="false">IF(Tasks[[#This Row],[Task Name]]="","",IF(Tasks[[#This Row],[_IsSummary]],SUM(INDEX(Tasks[_LeafAC],Tasks[[#This Row],[_Row]]+1):INDEX(Tasks[_LeafAC],Tasks[[#This Row],[_Row]]+Tasks[[#This Row],[_Descendants]])),Tasks[[#This Row],[_LeafAC]]))</f>
        <v/>
      </c>
      <c r="BT69" s="38" t="str">
        <f aca="false">IF(Tasks[[#This Row],[Task Name]]="","",MAX(1,N(Tasks[[#This Row],[Level]])))</f>
        <v/>
      </c>
      <c r="BU69" s="38" t="n">
        <f aca="false">ROW()-ROW(Tasks[[#Headers],[ID]])</f>
        <v>64</v>
      </c>
      <c r="BV69" s="38" t="n">
        <f aca="false">IF(OR(Tasks[[#This Row],[Task Name]]="",Tasks[[#This Row],[_Level]]&lt;=1),0,IFERROR(LOOKUP(2,1/(Tasks[[#Headers],[_Level]]:Tasks[[#This Row],[_Level]]=Tasks[[#This Row],[_Level]]-1),ROW(Tasks[[#Headers],[_Level]]:Tasks[[#This Row],[_Level]])),0))</f>
        <v>0</v>
      </c>
      <c r="BW69" s="38" t="n">
        <f aca="false">IFERROR(N(INDEX(Tasks[_Level],Tasks[[#This Row],[_Row]]+1)),0)</f>
        <v>0</v>
      </c>
      <c r="BX69" s="114" t="b">
        <f aca="false">AND(Tasks[[#This Row],[Task Name]]&lt;&gt;"",Tasks[[#This Row],[_NextLevel]]&gt;Tasks[[#This Row],[_Level]])</f>
        <v>0</v>
      </c>
      <c r="BY69" s="38" t="n">
        <f aca="false">IF(Tasks[[#This Row],[_IsSummary]],COUNTIF(Tasks[WBS],Tasks[[#This Row],[WBS]]&amp;".*"),0)</f>
        <v>0</v>
      </c>
      <c r="BZ69" s="38" t="n">
        <f aca="false">IF(AND(Tasks[[#This Row],[Task Name]]&lt;&gt;"",NOT(Tasks[[#This Row],[_IsSummary]])),1,0)</f>
        <v>0</v>
      </c>
      <c r="CA69" s="38" t="n">
        <f aca="false">IF(N(Tasks[[#This Row],[Pred1 UID]])=0,0,IFERROR(MATCH(Tasks[[#This Row],[Pred1 UID]],Tasks[UID],0),-1))</f>
        <v>0</v>
      </c>
      <c r="CB69" s="38" t="n">
        <f aca="false">IF(N(Tasks[[#This Row],[Pred2 UID]])=0,0,IFERROR(MATCH(Tasks[[#This Row],[Pred2 UID]],Tasks[UID],0),-1))</f>
        <v>0</v>
      </c>
      <c r="CC69" s="38" t="n">
        <f aca="false">IF(N(Tasks[[#This Row],[Pred3 UID]])=0,0,IFERROR(MATCH(Tasks[[#This Row],[Pred3 UID]],Tasks[UID],0),-1))</f>
        <v>0</v>
      </c>
      <c r="CD69" s="38" t="n">
        <f aca="false">IF(N(Tasks[[#This Row],[Pred4 UID]])=0,0,IFERROR(MATCH(Tasks[[#This Row],[Pred4 UID]],Tasks[UID],0),-1))</f>
        <v>0</v>
      </c>
      <c r="CE6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9" s="115" t="n">
        <f aca="false">IF(OR(Tasks[[#This Row],[_ConstraintCode]]=2,Tasks[[#This Row],[_ConstraintCode]]=3,Tasks[[#This Row],[_ConstraintCode]]=4,Tasks[[#This Row],[_ConstraintCode]]=6),Tasks[[#This Row],[_ConstraintStart]],0)</f>
        <v>0</v>
      </c>
      <c r="CH69" s="115" t="n">
        <f aca="false">IF(OR(Tasks[[#This Row],[_ConstraintCode]]=2,Tasks[[#This Row],[_ConstraintCode]]=3,Tasks[[#This Row],[_ConstraintCode]]=5,Tasks[[#This Row],[_ConstraintCode]]=7),Tasks[[#This Row],[_ConstraintStart]],2958465)</f>
        <v>2958465</v>
      </c>
      <c r="CI6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9" s="115" t="str">
        <f aca="false">IF(NOT(Tasks[[#This Row],[_IsLeaf]]=1),"",IF(N(Tasks[[#This Row],[Duration]])&lt;=0,Tasks[[#This Row],[_LeafCalcStart]],WORKDAY.INTL(Tasks[[#This Row],[_LeafCalcStart]],Tasks[[#This Row],[Duration]]-1,WorkWeek,Holidays)))</f>
        <v/>
      </c>
      <c r="CK6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9" s="38" t="n">
        <f aca="false">IF(NOT(Tasks[[#This Row],[_IsLeaf]]=1),0,IF(N(Tasks[[#This Row],[Actual Finish]])&gt;0,1,MIN(1,N(Tasks[[#This Row],[% Complete]]))))</f>
        <v>0</v>
      </c>
      <c r="CN69" s="38" t="n">
        <f aca="false">IF(OR(NOT(Tasks[[#This Row],[_IsLeaf]]=1),Tasks[[#This Row],[Resource]]=""),0,N(Tasks[[#This Row],[Duration]])*HoursPerDay*IF(Tasks[[#This Row],[Units]]="",DefaultUnits,Tasks[[#This Row],[Units]]))</f>
        <v>0</v>
      </c>
      <c r="CO69" s="38" t="n">
        <f aca="false">IF(Tasks[[#This Row],[_LeafWork]]=0,0,Tasks[[#This Row],[_LeafWork]]*IFERROR(INDEX(res_Rate,MATCH(Tasks[[#This Row],[Resource]],res_Name,0)),0))</f>
        <v>0</v>
      </c>
      <c r="CP69" s="38" t="n">
        <f aca="false">Tasks[[#This Row],[_LeafWork]]+IF(Tasks[[#This Row],[_IsLeaf]]=1,SUMIFS(asg_Work,asg_TaskUID,Tasks[[#This Row],[UID]],asg_Valid,1),0)</f>
        <v>0</v>
      </c>
      <c r="CQ69" s="38" t="n">
        <f aca="false">Tasks[[#This Row],[_LeafCost]]+IF(Tasks[[#This Row],[_IsLeaf]]=1,SUMIFS(asg_Cost,asg_TaskUID,Tasks[[#This Row],[UID]],asg_Valid,1),0)</f>
        <v>0</v>
      </c>
      <c r="CR69" s="38" t="n">
        <f aca="false">IF(Tasks[[#This Row],[_LeafTotalCost]]=0,Tasks[[#This Row],[_LeafAC]],Tasks[[#This Row],[_LeafAC]]*Tasks[[#This Row],[_LeafCost]]/Tasks[[#This Row],[_LeafTotalCost]])</f>
        <v>0</v>
      </c>
      <c r="CS6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9" s="38" t="n">
        <f aca="false">IF(NOT(Tasks[[#This Row],[_IsLeaf]]=1),0,MAX(_xlfn.MAXIFS(Tasks[_Row],Tasks[Pred1 UID],Tasks[[#This Row],[UID]]),_xlfn.MAXIFS(Tasks[_Row],Tasks[Pred2 UID],Tasks[[#This Row],[UID]]),_xlfn.MAXIFS(Tasks[_Row],Tasks[Pred3 UID],Tasks[[#This Row],[UID]]),_xlfn.MAXIFS(Tasks[_Row],Tasks[Pred4 UID],Tasks[[#This Row],[UID]])))</f>
        <v>0</v>
      </c>
      <c r="DB6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9" s="115" t="str">
        <f aca="false">IF(NOT(Tasks[[#This Row],[_IsLeaf]]=1),"",IF(N(Tasks[[#This Row],[Duration]])&lt;=0,Tasks[[#This Row],[_LeafLateFinish]],WORKDAY.INTL(Tasks[[#This Row],[_LeafLateFinish]],-(Tasks[[#This Row],[Duration]]-1),WorkWeek,Holidays)))</f>
        <v/>
      </c>
      <c r="DE6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9" s="114" t="b">
        <f aca="false">AND(Tasks[[#This Row],[_IsLeaf]]=1,Tasks[[#This Row],[_LeafProgress]]&lt;1,N(Tasks[[#This Row],[_LeafTotalSlack]])&lt;=CriticalSlackDays)</f>
        <v>0</v>
      </c>
      <c r="DG69" s="38" t="n">
        <f aca="false">IF(AND(Tasks[[#This Row],[_IsLeaf]]=1,Tasks[[#This Row],[_ConstraintCode]]=1,Tasks[[#This Row],[Mode]]&lt;&gt;"Manual",N(Tasks[[#This Row],[Actual Start]])=0),MAX(0,N(Tasks[[#This Row],[Free Slack]])),0)</f>
        <v>0</v>
      </c>
      <c r="DH69" s="115" t="str">
        <f aca="false">IF(NOT(Tasks[[#This Row],[_IsLeaf]]=1),"",IF(Tasks[[#This Row],[_AlapShift]]=0,Tasks[[#This Row],[_LeafCalcStart]],WORKDAY.INTL(Tasks[[#This Row],[_LeafCalcStart]],Tasks[[#This Row],[_AlapShift]],WorkWeek,Holidays)))</f>
        <v/>
      </c>
      <c r="DI69" s="115" t="str">
        <f aca="false">IF(NOT(Tasks[[#This Row],[_IsLeaf]]=1),"",IF(Tasks[[#This Row],[_AlapShift]]=0,Tasks[[#This Row],[_LeafCalcFinish]],WORKDAY.INTL(Tasks[[#This Row],[_LeafCalcFinish]],Tasks[[#This Row],[_AlapShift]],WorkWeek,Holidays)))</f>
        <v/>
      </c>
      <c r="DJ69" s="115" t="str">
        <f aca="false">IF(NOT(Tasks[[#This Row],[_IsLeaf]]=1),"",IF(Tasks[[#This Row],[_AlapShift]]=0,Tasks[[#This Row],[_LeafFcstStart]],WORKDAY.INTL(Tasks[[#This Row],[_LeafFcstStart]],Tasks[[#This Row],[_AlapShift]],WorkWeek,Holidays)))</f>
        <v/>
      </c>
      <c r="DK69" s="115" t="str">
        <f aca="false">IF(NOT(Tasks[[#This Row],[_IsLeaf]]=1),"",IF(Tasks[[#This Row],[_AlapShift]]=0,Tasks[[#This Row],[_LeafFcstFinish]],WORKDAY.INTL(Tasks[[#This Row],[_LeafFcstFinish]],Tasks[[#This Row],[_AlapShift]],WorkWeek,Holidays)))</f>
        <v/>
      </c>
      <c r="DL69" s="115" t="str">
        <f aca="false">IF(Tasks[[#This Row],[Task Name]]="","",IF(Tasks[[#This Row],[_IsSummary]],MIN(INDEX(Tasks[_ShownCalcStart],Tasks[[#This Row],[_Row]]+1):INDEX(Tasks[_ShownCalcStart],Tasks[[#This Row],[_Row]]+Tasks[[#This Row],[_Descendants]])),Tasks[[#This Row],[_ShownCalcStart]]))</f>
        <v/>
      </c>
      <c r="DM69" s="115" t="str">
        <f aca="false">IF(Tasks[[#This Row],[Task Name]]="","",IF(Tasks[[#This Row],[_IsSummary]],MAX(INDEX(Tasks[_ShownCalcFinish],Tasks[[#This Row],[_Row]]+1):INDEX(Tasks[_ShownCalcFinish],Tasks[[#This Row],[_Row]]+Tasks[[#This Row],[_Descendants]])),Tasks[[#This Row],[_ShownCalcFinish]]))</f>
        <v/>
      </c>
      <c r="DN6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9" s="38" t="n">
        <f aca="false">IF(AND(Tasks[[#This Row],[_IsLeaf]]=1,Tasks[[#This Row],[_LeafTotalWork]]&gt;0),NETWORKDAYS.INTL(ProjectStart,Tasks[[#This Row],[_ShownFcstStart]],WorkWeek,Holidays),0)</f>
        <v>0</v>
      </c>
      <c r="EA69" s="38" t="n">
        <f aca="false">IF(AND(Tasks[[#This Row],[_IsLeaf]]=1,Tasks[[#This Row],[_LeafTotalWork]]&gt;0),MAX(Tasks[[#This Row],[_StartWorkday]],NETWORKDAYS.INTL(ProjectStart,Tasks[[#This Row],[_ShownFcstFinish]],WorkWeek,Holidays)),0)</f>
        <v>0</v>
      </c>
      <c r="EB69" s="38" t="n">
        <f aca="false">IF(AND(Tasks[[#This Row],[_IsLeaf]]=1,Tasks[[#This Row],[_LeafTotalWork]]&gt;0),Tasks[[#This Row],[_LeafWork]]/(Tasks[[#This Row],[_FinishWorkday]]-Tasks[[#This Row],[_StartWorkday]]+1),0)</f>
        <v>0</v>
      </c>
      <c r="EC69" s="38" t="n">
        <f aca="false">Tasks[[#This Row],[_WorkPerWorkday]]*(Tasks[[#This Row],[_StartWorkday]]-1)</f>
        <v>-0</v>
      </c>
      <c r="ED69" s="38" t="n">
        <f aca="false">IF(Tasks[[#This Row],[_IsLeaf]]=1,MAX(N(Tasks[[#This Row],[Duration]]),0.1),0)</f>
        <v>0</v>
      </c>
      <c r="EE69" s="38" t="n">
        <f aca="false">Tasks[[#This Row],[_WeightDur]]*Tasks[[#This Row],[_LeafProgress]]</f>
        <v>0</v>
      </c>
      <c r="EF6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9" s="38" t="str">
        <f aca="false">IF(AND(Tasks[[#This Row],[_IsLeaf]]=1,N(Tasks[[#This Row],[Duration]])=0,Tasks[[#This Row],[_LeafProgress]]&lt;1),Tasks[[#This Row],[_ShownFcstFinish]]+Tasks[[#This Row],[_Row]]/100000,"")</f>
        <v/>
      </c>
      <c r="EH6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9" s="38" t="n">
        <f aca="false">IF(NOT(Tasks[[#This Row],[_IsLeaf]]=1),0,IF(Tasks[[#This Row],[Baseline Cost]]="",Tasks[[#This Row],[_LeafTotalCost]],N(Tasks[[#This Row],[Baseline Cost]])))</f>
        <v>0</v>
      </c>
      <c r="EJ69" s="38" t="n">
        <f aca="false">Tasks[[#This Row],[_LeafBudget]]*Tasks[[#This Row],[_PlannedPct]]</f>
        <v>0</v>
      </c>
      <c r="EK69" s="38" t="n">
        <f aca="false">Tasks[[#This Row],[_LeafBudget]]*Tasks[[#This Row],[_LeafProgress]]</f>
        <v>0</v>
      </c>
      <c r="EL69" s="38" t="n">
        <f aca="false">IF(NOT(Tasks[[#This Row],[_IsLeaf]]=1),0,IF(Tasks[[#This Row],[Actual Cost]]="",Tasks[[#This Row],[_LeafTotalCost]]*Tasks[[#This Row],[_LeafProgress]],N(Tasks[[#This Row],[Actual Cost]])))</f>
        <v>0</v>
      </c>
      <c r="EM69" s="38" t="str">
        <f aca="false">IF(Tasks[[#This Row],[Task Name]]="","",LEFT(Tasks[[#This Row],[WBS]],FIND(".",Tasks[[#This Row],[WBS]]&amp;".")-1))</f>
        <v/>
      </c>
      <c r="EN69" s="38" t="str">
        <f aca="false">IF(AND(Tasks[[#This Row],[Task Name]]&lt;&gt;"",Tasks[[#This Row],[_Level]]=1),Tasks[[#This Row],[_Row]],"")</f>
        <v/>
      </c>
      <c r="EO69" s="38" t="str">
        <f aca="false">IF(AND(Tasks[[#This Row],[_IsLeaf]]=1,N(Tasks[[#This Row],[Duration]])=0),Tasks[[#This Row],[Planned Finish]]+Tasks[[#This Row],[_Row]]/100000,"")</f>
        <v/>
      </c>
      <c r="EP69" s="38" t="str">
        <f aca="false">IF(AND(Tasks[[#This Row],[_IsLeaf]]=1,Tasks[[#This Row],[_LeafProgress]]&lt;1,OR(N(Tasks[[#This Row],[Finish Var]])&gt;0,Tasks[[#This Row],[Status]]="Late Start")),MAX(0,Tasks[[#This Row],[Finish Var]])+1-Tasks[[#This Row],[_Row]]/1000000,"")</f>
        <v/>
      </c>
      <c r="EQ69" s="38" t="str">
        <f aca="false">IF(AND(Tasks[[#This Row],[_IsLeaf]]=1,N(Tasks[[#This Row],[Actual Start]])=0,Tasks[[#This Row],[_ShownFcstStart]]&gt;=StatusDate,Tasks[[#This Row],[_ShownFcstStart]]&lt;=LookaheadEnd),Tasks[[#This Row],[_ShownFcstStart]]+Tasks[[#This Row],[_Row]]/100000,"")</f>
        <v/>
      </c>
      <c r="ER69" s="38" t="str">
        <f aca="false">IF(AND(Tasks[[#This Row],[_IsLeaf]]=1,Tasks[[#This Row],[_LeafProgress]]&lt;1,Tasks[[#This Row],[_ShownFcstFinish]]&gt;=StatusDate,Tasks[[#This Row],[_ShownFcstFinish]]&lt;=LookaheadEnd),Tasks[[#This Row],[_ShownFcstFinish]]+Tasks[[#This Row],[_Row]]/100000,"")</f>
        <v/>
      </c>
      <c r="ES69" s="38" t="str">
        <f aca="false">IF(Tasks[[#This Row],[_LeafCritical]],Tasks[[#This Row],[_ShownFcstStart]]+Tasks[[#This Row],[_Row]]/100000,"")</f>
        <v/>
      </c>
      <c r="ET69" s="38" t="n">
        <f aca="false">Tasks[[#This Row],[_LeafWork]]*Tasks[[#This Row],[_LeafProgress]]</f>
        <v>0</v>
      </c>
      <c r="EU69" s="115" t="str">
        <f aca="false">IF(AND(Tasks[[#This Row],[_IsLeaf]]=1,Tasks[[#This Row],[_LeafProgress]]&gt;=1),IF(N(Tasks[[#This Row],[Actual Finish]])&gt;0,Tasks[[#This Row],[Actual Finish]],Tasks[[#This Row],[_ShownFcstFinish]]),"")</f>
        <v/>
      </c>
      <c r="EV69" s="38" t="n">
        <f aca="false">IF(Tasks[[#This Row],[_IsLeaf]]=1,N(Tasks[[#This Row],[Story Points]]),0)</f>
        <v>0</v>
      </c>
      <c r="EW69" s="38" t="str">
        <f aca="false">IF(AND(Tasks[[#This Row],[_IsLeaf]]=1,CurrentSprint&lt;&gt;"",Tasks[[#This Row],[Sprint]]=CurrentSprint),Tasks[[#This Row],[_Row]],"")</f>
        <v/>
      </c>
    </row>
    <row r="70" customFormat="false" ht="15" hidden="false" customHeight="false" outlineLevel="0" collapsed="false">
      <c r="A70" s="51" t="str">
        <f aca="false">IF(Tasks[[#This Row],[Task Name]]="","",COUNTA(Tasks[[#Headers],[Task Name]]:Tasks[[#This Row],[Task Name]])-1)</f>
        <v/>
      </c>
      <c r="B70" s="52" t="n">
        <v>65</v>
      </c>
      <c r="C7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52"/>
      <c r="E70" s="53"/>
      <c r="F70" s="52"/>
      <c r="G70" s="52"/>
      <c r="H70" s="52"/>
      <c r="I70" s="52"/>
      <c r="J70" s="52"/>
      <c r="K70" s="52"/>
      <c r="L70" s="52"/>
      <c r="M70" s="52"/>
      <c r="N70" s="52"/>
      <c r="O70" s="52"/>
      <c r="P70" s="52"/>
      <c r="Q70" s="52"/>
      <c r="R70" s="52"/>
      <c r="S70" s="53"/>
      <c r="T70" s="102"/>
      <c r="U70" s="102"/>
      <c r="V70" s="7"/>
      <c r="W70" s="7"/>
      <c r="X70" s="53"/>
      <c r="Y70" s="31" t="str">
        <f aca="false">IF(Tasks[[#This Row],[Task Name]]="","",IF(Tasks[[#This Row],[_IsSummary]],MIN(INDEX(Tasks[_ShownFcstStart],Tasks[[#This Row],[_Row]]+1):INDEX(Tasks[_ShownFcstStart],Tasks[[#This Row],[_Row]]+Tasks[[#This Row],[_Descendants]])),Tasks[[#This Row],[_ShownFcstStart]]))</f>
        <v/>
      </c>
      <c r="Z70" s="31" t="str">
        <f aca="false">IF(Tasks[[#This Row],[Task Name]]="","",IF(Tasks[[#This Row],[_IsSummary]],MAX(INDEX(Tasks[_ShownFcstFinish],Tasks[[#This Row],[_Row]]+1):INDEX(Tasks[_ShownFcstFinish],Tasks[[#This Row],[_Row]]+Tasks[[#This Row],[_Descendants]])),Tasks[[#This Row],[_ShownFcstFinish]]))</f>
        <v/>
      </c>
      <c r="AA70" s="51" t="str">
        <f aca="false">IF(Tasks[[#This Row],[Task Name]]="","",IF(Tasks[[#This Row],[Progress]]&gt;=1,"Complete",IF(OR(N(Tasks[[#This Row],[Actual Start]])&gt;0,Tasks[[#This Row],[Progress]]&gt;0),IF(Tasks[[#This Row],[Finish Var]]&gt;0,"Behind","In Progress"),IF(Tasks[[#This Row],[Planned Start]]&lt;StatusDate,"Late Start","Not Started"))))</f>
        <v/>
      </c>
      <c r="AB70" s="51" t="str">
        <f aca="false">IF(Tasks[[#This Row],[Task Name]]="","",IF(IF(Tasks[[#This Row],[_IsSummary]],COUNTIF(INDEX(Tasks[_LeafCritical],Tasks[[#This Row],[_Row]]+1):INDEX(Tasks[_LeafCritical],Tasks[[#This Row],[_Row]]+Tasks[[#This Row],[_Descendants]]),TRUE())&gt;0,Tasks[[#This Row],[_LeafCritical]]),"Yes",""))</f>
        <v/>
      </c>
      <c r="AC7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0" s="51" t="str">
        <f aca="false">IF(Tasks[[#This Row],[Task Name]]="","",IF(Tasks[[#This Row],[_Level]]&lt;=OutlineShowLevel,"Yes","No"))</f>
        <v/>
      </c>
      <c r="AE70" s="7"/>
      <c r="AF70" s="52"/>
      <c r="AG70" s="53"/>
      <c r="AH70" s="7"/>
      <c r="AI7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0" s="31" t="str">
        <f aca="false">IF(Tasks[[#This Row],[Task Name]]="","",IF(N(Tasks[[#This Row],[Baseline Start]])&gt;0,Tasks[[#This Row],[Baseline Start]],Tasks[[#This Row],[_CalcStart]]))</f>
        <v/>
      </c>
      <c r="AK70" s="31" t="str">
        <f aca="false">IF(Tasks[[#This Row],[Task Name]]="","",IF(N(Tasks[[#This Row],[Baseline Finish]])&gt;0,Tasks[[#This Row],[Baseline Finish]],Tasks[[#This Row],[_CalcFinish]]))</f>
        <v/>
      </c>
      <c r="AL7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0" s="31" t="str">
        <f aca="false">IF(Tasks[[#This Row],[Task Name]]="","",IF(Tasks[[#This Row],[_IsSummary]],MIN(INDEX(Tasks[_LeafLateStart],Tasks[[#This Row],[_Row]]+1):INDEX(Tasks[_LeafLateStart],Tasks[[#This Row],[_Row]]+Tasks[[#This Row],[_Descendants]])),Tasks[[#This Row],[_LeafLateStart]]))</f>
        <v/>
      </c>
      <c r="AN70" s="31" t="str">
        <f aca="false">IF(Tasks[[#This Row],[Task Name]]="","",IF(Tasks[[#This Row],[_IsSummary]],MAX(INDEX(Tasks[_LeafLateFinish],Tasks[[#This Row],[_Row]]+1):INDEX(Tasks[_LeafLateFinish],Tasks[[#This Row],[_Row]]+Tasks[[#This Row],[_Descendants]])),Tasks[[#This Row],[_LeafLateFinish]]))</f>
        <v/>
      </c>
      <c r="AO70" s="51" t="str">
        <f aca="false">IF(Tasks[[#This Row],[Task Name]]="","",IF(Tasks[[#This Row],[_IsSummary]],MIN(INDEX(Tasks[_LeafTotalSlack],Tasks[[#This Row],[_Row]]+1):INDEX(Tasks[_LeafTotalSlack],Tasks[[#This Row],[_Row]]+Tasks[[#This Row],[_Descendants]])),Tasks[[#This Row],[_LeafTotalSlack]]))</f>
        <v/>
      </c>
      <c r="AP7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0" s="110" t="str">
        <f aca="false">IF(Tasks[[#This Row],[Task Name]]="","",IF(Tasks[[#This Row],[_IsSummary]],SUM(INDEX(Tasks[_LeafTotalWork],Tasks[[#This Row],[_Row]]+1):INDEX(Tasks[_LeafTotalWork],Tasks[[#This Row],[_Row]]+Tasks[[#This Row],[_Descendants]])),Tasks[[#This Row],[_LeafTotalWork]]))</f>
        <v/>
      </c>
      <c r="AV7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0" s="111" t="str">
        <f aca="false">IF(Tasks[[#This Row],[Task Name]]="","",IF(Tasks[[#This Row],[_IsSummary]],SUM(INDEX(Tasks[_LeafTotalCost],Tasks[[#This Row],[_Row]]+1):INDEX(Tasks[_LeafTotalCost],Tasks[[#This Row],[_Row]]+Tasks[[#This Row],[_Descendants]])),Tasks[[#This Row],[_LeafTotalCost]]))</f>
        <v/>
      </c>
      <c r="AY70" s="112"/>
      <c r="AZ7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0" s="52"/>
      <c r="BB70" s="98"/>
      <c r="BC70" s="51" t="str">
        <f aca="false">IF(OR(Tasks[[#This Row],[Task Name]]="",Tasks[[#This Row],[Baseline Duration]]=""),"",Tasks[[#This Row],[BL Source Duration]]-N(Tasks[[#This Row],[Baseline Duration]]))</f>
        <v/>
      </c>
      <c r="BD70" s="110" t="str">
        <f aca="false">IF(OR(Tasks[[#This Row],[Task Name]]="",Tasks[[#This Row],[Baseline Work]]=""),"",Tasks[[#This Row],[Work]]-N(Tasks[[#This Row],[Baseline Work]]))</f>
        <v/>
      </c>
      <c r="BE70" s="111" t="str">
        <f aca="false">IF(OR(Tasks[[#This Row],[Task Name]]="",Tasks[[#This Row],[Baseline Cost]]=""),"",Tasks[[#This Row],[Cost]]-N(Tasks[[#This Row],[Baseline Cost]]))</f>
        <v/>
      </c>
      <c r="BF70" s="31" t="str">
        <f aca="false">IF(Tasks[[#This Row],[Task Name]]="","",Tasks[[#This Row],[Forecast Start]])</f>
        <v/>
      </c>
      <c r="BG70" s="31" t="str">
        <f aca="false">IF(Tasks[[#This Row],[Task Name]]="","",Tasks[[#This Row],[Forecast Finish]])</f>
        <v/>
      </c>
      <c r="BH70" s="51" t="str">
        <f aca="false">IF(Tasks[[#This Row],[Task Name]]="","",IF(Tasks[[#This Row],[_IsSummary]],NETWORKDAYS.INTL(Tasks[[#This Row],[Forecast Start]],Tasks[[#This Row],[Forecast Finish]],WorkWeek,Holidays),N(Tasks[[#This Row],[Duration]])))</f>
        <v/>
      </c>
      <c r="BI70" s="110" t="str">
        <f aca="false">IF(Tasks[[#This Row],[Task Name]]="","",Tasks[[#This Row],[Work]])</f>
        <v/>
      </c>
      <c r="BJ70" s="111" t="str">
        <f aca="false">IF(Tasks[[#This Row],[Task Name]]="","",Tasks[[#This Row],[Cost]])</f>
        <v/>
      </c>
      <c r="BK70" s="7"/>
      <c r="BL70" s="7"/>
      <c r="BM70" s="52"/>
      <c r="BN70" s="113"/>
      <c r="BO70" s="112"/>
      <c r="BP70" s="111" t="str">
        <f aca="false">IF(Tasks[[#This Row],[Task Name]]="","",IF(Tasks[[#This Row],[_IsSummary]],SUM(INDEX(Tasks[_LeafEV],Tasks[[#This Row],[_Row]]+1):INDEX(Tasks[_LeafEV],Tasks[[#This Row],[_Row]]+Tasks[[#This Row],[_Descendants]])),Tasks[[#This Row],[_LeafEV]]))</f>
        <v/>
      </c>
      <c r="BQ70" s="111" t="str">
        <f aca="false">IF(Tasks[[#This Row],[Task Name]]="","",IF(Tasks[[#This Row],[_IsSummary]],SUM(INDEX(Tasks[_LeafBudget],Tasks[[#This Row],[_Row]]+1):INDEX(Tasks[_LeafBudget],Tasks[[#This Row],[_Row]]+Tasks[[#This Row],[_Descendants]])),Tasks[[#This Row],[_LeafBudget]]))</f>
        <v/>
      </c>
      <c r="BR70" s="111" t="str">
        <f aca="false">IF(Tasks[[#This Row],[Task Name]]="","",IF(Tasks[[#This Row],[_IsSummary]],SUM(INDEX(Tasks[_LeafPV],Tasks[[#This Row],[_Row]]+1):INDEX(Tasks[_LeafPV],Tasks[[#This Row],[_Row]]+Tasks[[#This Row],[_Descendants]])),Tasks[[#This Row],[_LeafPV]]))</f>
        <v/>
      </c>
      <c r="BS70" s="111" t="str">
        <f aca="false">IF(Tasks[[#This Row],[Task Name]]="","",IF(Tasks[[#This Row],[_IsSummary]],SUM(INDEX(Tasks[_LeafAC],Tasks[[#This Row],[_Row]]+1):INDEX(Tasks[_LeafAC],Tasks[[#This Row],[_Row]]+Tasks[[#This Row],[_Descendants]])),Tasks[[#This Row],[_LeafAC]]))</f>
        <v/>
      </c>
      <c r="BT70" s="38" t="str">
        <f aca="false">IF(Tasks[[#This Row],[Task Name]]="","",MAX(1,N(Tasks[[#This Row],[Level]])))</f>
        <v/>
      </c>
      <c r="BU70" s="38" t="n">
        <f aca="false">ROW()-ROW(Tasks[[#Headers],[ID]])</f>
        <v>65</v>
      </c>
      <c r="BV70" s="38" t="n">
        <f aca="false">IF(OR(Tasks[[#This Row],[Task Name]]="",Tasks[[#This Row],[_Level]]&lt;=1),0,IFERROR(LOOKUP(2,1/(Tasks[[#Headers],[_Level]]:Tasks[[#This Row],[_Level]]=Tasks[[#This Row],[_Level]]-1),ROW(Tasks[[#Headers],[_Level]]:Tasks[[#This Row],[_Level]])),0))</f>
        <v>0</v>
      </c>
      <c r="BW70" s="38" t="n">
        <f aca="false">IFERROR(N(INDEX(Tasks[_Level],Tasks[[#This Row],[_Row]]+1)),0)</f>
        <v>0</v>
      </c>
      <c r="BX70" s="114" t="b">
        <f aca="false">AND(Tasks[[#This Row],[Task Name]]&lt;&gt;"",Tasks[[#This Row],[_NextLevel]]&gt;Tasks[[#This Row],[_Level]])</f>
        <v>0</v>
      </c>
      <c r="BY70" s="38" t="n">
        <f aca="false">IF(Tasks[[#This Row],[_IsSummary]],COUNTIF(Tasks[WBS],Tasks[[#This Row],[WBS]]&amp;".*"),0)</f>
        <v>0</v>
      </c>
      <c r="BZ70" s="38" t="n">
        <f aca="false">IF(AND(Tasks[[#This Row],[Task Name]]&lt;&gt;"",NOT(Tasks[[#This Row],[_IsSummary]])),1,0)</f>
        <v>0</v>
      </c>
      <c r="CA70" s="38" t="n">
        <f aca="false">IF(N(Tasks[[#This Row],[Pred1 UID]])=0,0,IFERROR(MATCH(Tasks[[#This Row],[Pred1 UID]],Tasks[UID],0),-1))</f>
        <v>0</v>
      </c>
      <c r="CB70" s="38" t="n">
        <f aca="false">IF(N(Tasks[[#This Row],[Pred2 UID]])=0,0,IFERROR(MATCH(Tasks[[#This Row],[Pred2 UID]],Tasks[UID],0),-1))</f>
        <v>0</v>
      </c>
      <c r="CC70" s="38" t="n">
        <f aca="false">IF(N(Tasks[[#This Row],[Pred3 UID]])=0,0,IFERROR(MATCH(Tasks[[#This Row],[Pred3 UID]],Tasks[UID],0),-1))</f>
        <v>0</v>
      </c>
      <c r="CD70" s="38" t="n">
        <f aca="false">IF(N(Tasks[[#This Row],[Pred4 UID]])=0,0,IFERROR(MATCH(Tasks[[#This Row],[Pred4 UID]],Tasks[UID],0),-1))</f>
        <v>0</v>
      </c>
      <c r="CE7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0" s="115" t="n">
        <f aca="false">IF(OR(Tasks[[#This Row],[_ConstraintCode]]=2,Tasks[[#This Row],[_ConstraintCode]]=3,Tasks[[#This Row],[_ConstraintCode]]=4,Tasks[[#This Row],[_ConstraintCode]]=6),Tasks[[#This Row],[_ConstraintStart]],0)</f>
        <v>0</v>
      </c>
      <c r="CH70" s="115" t="n">
        <f aca="false">IF(OR(Tasks[[#This Row],[_ConstraintCode]]=2,Tasks[[#This Row],[_ConstraintCode]]=3,Tasks[[#This Row],[_ConstraintCode]]=5,Tasks[[#This Row],[_ConstraintCode]]=7),Tasks[[#This Row],[_ConstraintStart]],2958465)</f>
        <v>2958465</v>
      </c>
      <c r="CI7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0" s="115" t="str">
        <f aca="false">IF(NOT(Tasks[[#This Row],[_IsLeaf]]=1),"",IF(N(Tasks[[#This Row],[Duration]])&lt;=0,Tasks[[#This Row],[_LeafCalcStart]],WORKDAY.INTL(Tasks[[#This Row],[_LeafCalcStart]],Tasks[[#This Row],[Duration]]-1,WorkWeek,Holidays)))</f>
        <v/>
      </c>
      <c r="CK7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0" s="38" t="n">
        <f aca="false">IF(NOT(Tasks[[#This Row],[_IsLeaf]]=1),0,IF(N(Tasks[[#This Row],[Actual Finish]])&gt;0,1,MIN(1,N(Tasks[[#This Row],[% Complete]]))))</f>
        <v>0</v>
      </c>
      <c r="CN70" s="38" t="n">
        <f aca="false">IF(OR(NOT(Tasks[[#This Row],[_IsLeaf]]=1),Tasks[[#This Row],[Resource]]=""),0,N(Tasks[[#This Row],[Duration]])*HoursPerDay*IF(Tasks[[#This Row],[Units]]="",DefaultUnits,Tasks[[#This Row],[Units]]))</f>
        <v>0</v>
      </c>
      <c r="CO70" s="38" t="n">
        <f aca="false">IF(Tasks[[#This Row],[_LeafWork]]=0,0,Tasks[[#This Row],[_LeafWork]]*IFERROR(INDEX(res_Rate,MATCH(Tasks[[#This Row],[Resource]],res_Name,0)),0))</f>
        <v>0</v>
      </c>
      <c r="CP70" s="38" t="n">
        <f aca="false">Tasks[[#This Row],[_LeafWork]]+IF(Tasks[[#This Row],[_IsLeaf]]=1,SUMIFS(asg_Work,asg_TaskUID,Tasks[[#This Row],[UID]],asg_Valid,1),0)</f>
        <v>0</v>
      </c>
      <c r="CQ70" s="38" t="n">
        <f aca="false">Tasks[[#This Row],[_LeafCost]]+IF(Tasks[[#This Row],[_IsLeaf]]=1,SUMIFS(asg_Cost,asg_TaskUID,Tasks[[#This Row],[UID]],asg_Valid,1),0)</f>
        <v>0</v>
      </c>
      <c r="CR70" s="38" t="n">
        <f aca="false">IF(Tasks[[#This Row],[_LeafTotalCost]]=0,Tasks[[#This Row],[_LeafAC]],Tasks[[#This Row],[_LeafAC]]*Tasks[[#This Row],[_LeafCost]]/Tasks[[#This Row],[_LeafTotalCost]])</f>
        <v>0</v>
      </c>
      <c r="CS7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0" s="38" t="n">
        <f aca="false">IF(NOT(Tasks[[#This Row],[_IsLeaf]]=1),0,MAX(_xlfn.MAXIFS(Tasks[_Row],Tasks[Pred1 UID],Tasks[[#This Row],[UID]]),_xlfn.MAXIFS(Tasks[_Row],Tasks[Pred2 UID],Tasks[[#This Row],[UID]]),_xlfn.MAXIFS(Tasks[_Row],Tasks[Pred3 UID],Tasks[[#This Row],[UID]]),_xlfn.MAXIFS(Tasks[_Row],Tasks[Pred4 UID],Tasks[[#This Row],[UID]])))</f>
        <v>0</v>
      </c>
      <c r="DB7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0" s="115" t="str">
        <f aca="false">IF(NOT(Tasks[[#This Row],[_IsLeaf]]=1),"",IF(N(Tasks[[#This Row],[Duration]])&lt;=0,Tasks[[#This Row],[_LeafLateFinish]],WORKDAY.INTL(Tasks[[#This Row],[_LeafLateFinish]],-(Tasks[[#This Row],[Duration]]-1),WorkWeek,Holidays)))</f>
        <v/>
      </c>
      <c r="DE7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0" s="114" t="b">
        <f aca="false">AND(Tasks[[#This Row],[_IsLeaf]]=1,Tasks[[#This Row],[_LeafProgress]]&lt;1,N(Tasks[[#This Row],[_LeafTotalSlack]])&lt;=CriticalSlackDays)</f>
        <v>0</v>
      </c>
      <c r="DG70" s="38" t="n">
        <f aca="false">IF(AND(Tasks[[#This Row],[_IsLeaf]]=1,Tasks[[#This Row],[_ConstraintCode]]=1,Tasks[[#This Row],[Mode]]&lt;&gt;"Manual",N(Tasks[[#This Row],[Actual Start]])=0),MAX(0,N(Tasks[[#This Row],[Free Slack]])),0)</f>
        <v>0</v>
      </c>
      <c r="DH70" s="115" t="str">
        <f aca="false">IF(NOT(Tasks[[#This Row],[_IsLeaf]]=1),"",IF(Tasks[[#This Row],[_AlapShift]]=0,Tasks[[#This Row],[_LeafCalcStart]],WORKDAY.INTL(Tasks[[#This Row],[_LeafCalcStart]],Tasks[[#This Row],[_AlapShift]],WorkWeek,Holidays)))</f>
        <v/>
      </c>
      <c r="DI70" s="115" t="str">
        <f aca="false">IF(NOT(Tasks[[#This Row],[_IsLeaf]]=1),"",IF(Tasks[[#This Row],[_AlapShift]]=0,Tasks[[#This Row],[_LeafCalcFinish]],WORKDAY.INTL(Tasks[[#This Row],[_LeafCalcFinish]],Tasks[[#This Row],[_AlapShift]],WorkWeek,Holidays)))</f>
        <v/>
      </c>
      <c r="DJ70" s="115" t="str">
        <f aca="false">IF(NOT(Tasks[[#This Row],[_IsLeaf]]=1),"",IF(Tasks[[#This Row],[_AlapShift]]=0,Tasks[[#This Row],[_LeafFcstStart]],WORKDAY.INTL(Tasks[[#This Row],[_LeafFcstStart]],Tasks[[#This Row],[_AlapShift]],WorkWeek,Holidays)))</f>
        <v/>
      </c>
      <c r="DK70" s="115" t="str">
        <f aca="false">IF(NOT(Tasks[[#This Row],[_IsLeaf]]=1),"",IF(Tasks[[#This Row],[_AlapShift]]=0,Tasks[[#This Row],[_LeafFcstFinish]],WORKDAY.INTL(Tasks[[#This Row],[_LeafFcstFinish]],Tasks[[#This Row],[_AlapShift]],WorkWeek,Holidays)))</f>
        <v/>
      </c>
      <c r="DL70" s="115" t="str">
        <f aca="false">IF(Tasks[[#This Row],[Task Name]]="","",IF(Tasks[[#This Row],[_IsSummary]],MIN(INDEX(Tasks[_ShownCalcStart],Tasks[[#This Row],[_Row]]+1):INDEX(Tasks[_ShownCalcStart],Tasks[[#This Row],[_Row]]+Tasks[[#This Row],[_Descendants]])),Tasks[[#This Row],[_ShownCalcStart]]))</f>
        <v/>
      </c>
      <c r="DM70" s="115" t="str">
        <f aca="false">IF(Tasks[[#This Row],[Task Name]]="","",IF(Tasks[[#This Row],[_IsSummary]],MAX(INDEX(Tasks[_ShownCalcFinish],Tasks[[#This Row],[_Row]]+1):INDEX(Tasks[_ShownCalcFinish],Tasks[[#This Row],[_Row]]+Tasks[[#This Row],[_Descendants]])),Tasks[[#This Row],[_ShownCalcFinish]]))</f>
        <v/>
      </c>
      <c r="DN7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0" s="38" t="n">
        <f aca="false">IF(AND(Tasks[[#This Row],[_IsLeaf]]=1,Tasks[[#This Row],[_LeafTotalWork]]&gt;0),NETWORKDAYS.INTL(ProjectStart,Tasks[[#This Row],[_ShownFcstStart]],WorkWeek,Holidays),0)</f>
        <v>0</v>
      </c>
      <c r="EA70" s="38" t="n">
        <f aca="false">IF(AND(Tasks[[#This Row],[_IsLeaf]]=1,Tasks[[#This Row],[_LeafTotalWork]]&gt;0),MAX(Tasks[[#This Row],[_StartWorkday]],NETWORKDAYS.INTL(ProjectStart,Tasks[[#This Row],[_ShownFcstFinish]],WorkWeek,Holidays)),0)</f>
        <v>0</v>
      </c>
      <c r="EB70" s="38" t="n">
        <f aca="false">IF(AND(Tasks[[#This Row],[_IsLeaf]]=1,Tasks[[#This Row],[_LeafTotalWork]]&gt;0),Tasks[[#This Row],[_LeafWork]]/(Tasks[[#This Row],[_FinishWorkday]]-Tasks[[#This Row],[_StartWorkday]]+1),0)</f>
        <v>0</v>
      </c>
      <c r="EC70" s="38" t="n">
        <f aca="false">Tasks[[#This Row],[_WorkPerWorkday]]*(Tasks[[#This Row],[_StartWorkday]]-1)</f>
        <v>-0</v>
      </c>
      <c r="ED70" s="38" t="n">
        <f aca="false">IF(Tasks[[#This Row],[_IsLeaf]]=1,MAX(N(Tasks[[#This Row],[Duration]]),0.1),0)</f>
        <v>0</v>
      </c>
      <c r="EE70" s="38" t="n">
        <f aca="false">Tasks[[#This Row],[_WeightDur]]*Tasks[[#This Row],[_LeafProgress]]</f>
        <v>0</v>
      </c>
      <c r="EF7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0" s="38" t="str">
        <f aca="false">IF(AND(Tasks[[#This Row],[_IsLeaf]]=1,N(Tasks[[#This Row],[Duration]])=0,Tasks[[#This Row],[_LeafProgress]]&lt;1),Tasks[[#This Row],[_ShownFcstFinish]]+Tasks[[#This Row],[_Row]]/100000,"")</f>
        <v/>
      </c>
      <c r="EH7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0" s="38" t="n">
        <f aca="false">IF(NOT(Tasks[[#This Row],[_IsLeaf]]=1),0,IF(Tasks[[#This Row],[Baseline Cost]]="",Tasks[[#This Row],[_LeafTotalCost]],N(Tasks[[#This Row],[Baseline Cost]])))</f>
        <v>0</v>
      </c>
      <c r="EJ70" s="38" t="n">
        <f aca="false">Tasks[[#This Row],[_LeafBudget]]*Tasks[[#This Row],[_PlannedPct]]</f>
        <v>0</v>
      </c>
      <c r="EK70" s="38" t="n">
        <f aca="false">Tasks[[#This Row],[_LeafBudget]]*Tasks[[#This Row],[_LeafProgress]]</f>
        <v>0</v>
      </c>
      <c r="EL70" s="38" t="n">
        <f aca="false">IF(NOT(Tasks[[#This Row],[_IsLeaf]]=1),0,IF(Tasks[[#This Row],[Actual Cost]]="",Tasks[[#This Row],[_LeafTotalCost]]*Tasks[[#This Row],[_LeafProgress]],N(Tasks[[#This Row],[Actual Cost]])))</f>
        <v>0</v>
      </c>
      <c r="EM70" s="38" t="str">
        <f aca="false">IF(Tasks[[#This Row],[Task Name]]="","",LEFT(Tasks[[#This Row],[WBS]],FIND(".",Tasks[[#This Row],[WBS]]&amp;".")-1))</f>
        <v/>
      </c>
      <c r="EN70" s="38" t="str">
        <f aca="false">IF(AND(Tasks[[#This Row],[Task Name]]&lt;&gt;"",Tasks[[#This Row],[_Level]]=1),Tasks[[#This Row],[_Row]],"")</f>
        <v/>
      </c>
      <c r="EO70" s="38" t="str">
        <f aca="false">IF(AND(Tasks[[#This Row],[_IsLeaf]]=1,N(Tasks[[#This Row],[Duration]])=0),Tasks[[#This Row],[Planned Finish]]+Tasks[[#This Row],[_Row]]/100000,"")</f>
        <v/>
      </c>
      <c r="EP70" s="38" t="str">
        <f aca="false">IF(AND(Tasks[[#This Row],[_IsLeaf]]=1,Tasks[[#This Row],[_LeafProgress]]&lt;1,OR(N(Tasks[[#This Row],[Finish Var]])&gt;0,Tasks[[#This Row],[Status]]="Late Start")),MAX(0,Tasks[[#This Row],[Finish Var]])+1-Tasks[[#This Row],[_Row]]/1000000,"")</f>
        <v/>
      </c>
      <c r="EQ70" s="38" t="str">
        <f aca="false">IF(AND(Tasks[[#This Row],[_IsLeaf]]=1,N(Tasks[[#This Row],[Actual Start]])=0,Tasks[[#This Row],[_ShownFcstStart]]&gt;=StatusDate,Tasks[[#This Row],[_ShownFcstStart]]&lt;=LookaheadEnd),Tasks[[#This Row],[_ShownFcstStart]]+Tasks[[#This Row],[_Row]]/100000,"")</f>
        <v/>
      </c>
      <c r="ER70" s="38" t="str">
        <f aca="false">IF(AND(Tasks[[#This Row],[_IsLeaf]]=1,Tasks[[#This Row],[_LeafProgress]]&lt;1,Tasks[[#This Row],[_ShownFcstFinish]]&gt;=StatusDate,Tasks[[#This Row],[_ShownFcstFinish]]&lt;=LookaheadEnd),Tasks[[#This Row],[_ShownFcstFinish]]+Tasks[[#This Row],[_Row]]/100000,"")</f>
        <v/>
      </c>
      <c r="ES70" s="38" t="str">
        <f aca="false">IF(Tasks[[#This Row],[_LeafCritical]],Tasks[[#This Row],[_ShownFcstStart]]+Tasks[[#This Row],[_Row]]/100000,"")</f>
        <v/>
      </c>
      <c r="ET70" s="38" t="n">
        <f aca="false">Tasks[[#This Row],[_LeafWork]]*Tasks[[#This Row],[_LeafProgress]]</f>
        <v>0</v>
      </c>
      <c r="EU70" s="115" t="str">
        <f aca="false">IF(AND(Tasks[[#This Row],[_IsLeaf]]=1,Tasks[[#This Row],[_LeafProgress]]&gt;=1),IF(N(Tasks[[#This Row],[Actual Finish]])&gt;0,Tasks[[#This Row],[Actual Finish]],Tasks[[#This Row],[_ShownFcstFinish]]),"")</f>
        <v/>
      </c>
      <c r="EV70" s="38" t="n">
        <f aca="false">IF(Tasks[[#This Row],[_IsLeaf]]=1,N(Tasks[[#This Row],[Story Points]]),0)</f>
        <v>0</v>
      </c>
      <c r="EW70" s="38" t="str">
        <f aca="false">IF(AND(Tasks[[#This Row],[_IsLeaf]]=1,CurrentSprint&lt;&gt;"",Tasks[[#This Row],[Sprint]]=CurrentSprint),Tasks[[#This Row],[_Row]],"")</f>
        <v/>
      </c>
    </row>
    <row r="71" customFormat="false" ht="15" hidden="false" customHeight="false" outlineLevel="0" collapsed="false">
      <c r="A71" s="51" t="str">
        <f aca="false">IF(Tasks[[#This Row],[Task Name]]="","",COUNTA(Tasks[[#Headers],[Task Name]]:Tasks[[#This Row],[Task Name]])-1)</f>
        <v/>
      </c>
      <c r="B71" s="52" t="n">
        <v>66</v>
      </c>
      <c r="C7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52"/>
      <c r="E71" s="53"/>
      <c r="F71" s="52"/>
      <c r="G71" s="52"/>
      <c r="H71" s="52"/>
      <c r="I71" s="52"/>
      <c r="J71" s="52"/>
      <c r="K71" s="52"/>
      <c r="L71" s="52"/>
      <c r="M71" s="52"/>
      <c r="N71" s="52"/>
      <c r="O71" s="52"/>
      <c r="P71" s="52"/>
      <c r="Q71" s="52"/>
      <c r="R71" s="52"/>
      <c r="S71" s="53"/>
      <c r="T71" s="102"/>
      <c r="U71" s="102"/>
      <c r="V71" s="7"/>
      <c r="W71" s="7"/>
      <c r="X71" s="53"/>
      <c r="Y71" s="31" t="str">
        <f aca="false">IF(Tasks[[#This Row],[Task Name]]="","",IF(Tasks[[#This Row],[_IsSummary]],MIN(INDEX(Tasks[_ShownFcstStart],Tasks[[#This Row],[_Row]]+1):INDEX(Tasks[_ShownFcstStart],Tasks[[#This Row],[_Row]]+Tasks[[#This Row],[_Descendants]])),Tasks[[#This Row],[_ShownFcstStart]]))</f>
        <v/>
      </c>
      <c r="Z71" s="31" t="str">
        <f aca="false">IF(Tasks[[#This Row],[Task Name]]="","",IF(Tasks[[#This Row],[_IsSummary]],MAX(INDEX(Tasks[_ShownFcstFinish],Tasks[[#This Row],[_Row]]+1):INDEX(Tasks[_ShownFcstFinish],Tasks[[#This Row],[_Row]]+Tasks[[#This Row],[_Descendants]])),Tasks[[#This Row],[_ShownFcstFinish]]))</f>
        <v/>
      </c>
      <c r="AA71" s="51" t="str">
        <f aca="false">IF(Tasks[[#This Row],[Task Name]]="","",IF(Tasks[[#This Row],[Progress]]&gt;=1,"Complete",IF(OR(N(Tasks[[#This Row],[Actual Start]])&gt;0,Tasks[[#This Row],[Progress]]&gt;0),IF(Tasks[[#This Row],[Finish Var]]&gt;0,"Behind","In Progress"),IF(Tasks[[#This Row],[Planned Start]]&lt;StatusDate,"Late Start","Not Started"))))</f>
        <v/>
      </c>
      <c r="AB71" s="51" t="str">
        <f aca="false">IF(Tasks[[#This Row],[Task Name]]="","",IF(IF(Tasks[[#This Row],[_IsSummary]],COUNTIF(INDEX(Tasks[_LeafCritical],Tasks[[#This Row],[_Row]]+1):INDEX(Tasks[_LeafCritical],Tasks[[#This Row],[_Row]]+Tasks[[#This Row],[_Descendants]]),TRUE())&gt;0,Tasks[[#This Row],[_LeafCritical]]),"Yes",""))</f>
        <v/>
      </c>
      <c r="AC7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1" s="51" t="str">
        <f aca="false">IF(Tasks[[#This Row],[Task Name]]="","",IF(Tasks[[#This Row],[_Level]]&lt;=OutlineShowLevel,"Yes","No"))</f>
        <v/>
      </c>
      <c r="AE71" s="7"/>
      <c r="AF71" s="52"/>
      <c r="AG71" s="53"/>
      <c r="AH71" s="7"/>
      <c r="AI7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1" s="31" t="str">
        <f aca="false">IF(Tasks[[#This Row],[Task Name]]="","",IF(N(Tasks[[#This Row],[Baseline Start]])&gt;0,Tasks[[#This Row],[Baseline Start]],Tasks[[#This Row],[_CalcStart]]))</f>
        <v/>
      </c>
      <c r="AK71" s="31" t="str">
        <f aca="false">IF(Tasks[[#This Row],[Task Name]]="","",IF(N(Tasks[[#This Row],[Baseline Finish]])&gt;0,Tasks[[#This Row],[Baseline Finish]],Tasks[[#This Row],[_CalcFinish]]))</f>
        <v/>
      </c>
      <c r="AL7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1" s="31" t="str">
        <f aca="false">IF(Tasks[[#This Row],[Task Name]]="","",IF(Tasks[[#This Row],[_IsSummary]],MIN(INDEX(Tasks[_LeafLateStart],Tasks[[#This Row],[_Row]]+1):INDEX(Tasks[_LeafLateStart],Tasks[[#This Row],[_Row]]+Tasks[[#This Row],[_Descendants]])),Tasks[[#This Row],[_LeafLateStart]]))</f>
        <v/>
      </c>
      <c r="AN71" s="31" t="str">
        <f aca="false">IF(Tasks[[#This Row],[Task Name]]="","",IF(Tasks[[#This Row],[_IsSummary]],MAX(INDEX(Tasks[_LeafLateFinish],Tasks[[#This Row],[_Row]]+1):INDEX(Tasks[_LeafLateFinish],Tasks[[#This Row],[_Row]]+Tasks[[#This Row],[_Descendants]])),Tasks[[#This Row],[_LeafLateFinish]]))</f>
        <v/>
      </c>
      <c r="AO71" s="51" t="str">
        <f aca="false">IF(Tasks[[#This Row],[Task Name]]="","",IF(Tasks[[#This Row],[_IsSummary]],MIN(INDEX(Tasks[_LeafTotalSlack],Tasks[[#This Row],[_Row]]+1):INDEX(Tasks[_LeafTotalSlack],Tasks[[#This Row],[_Row]]+Tasks[[#This Row],[_Descendants]])),Tasks[[#This Row],[_LeafTotalSlack]]))</f>
        <v/>
      </c>
      <c r="AP7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1" s="110" t="str">
        <f aca="false">IF(Tasks[[#This Row],[Task Name]]="","",IF(Tasks[[#This Row],[_IsSummary]],SUM(INDEX(Tasks[_LeafTotalWork],Tasks[[#This Row],[_Row]]+1):INDEX(Tasks[_LeafTotalWork],Tasks[[#This Row],[_Row]]+Tasks[[#This Row],[_Descendants]])),Tasks[[#This Row],[_LeafTotalWork]]))</f>
        <v/>
      </c>
      <c r="AV7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1" s="111" t="str">
        <f aca="false">IF(Tasks[[#This Row],[Task Name]]="","",IF(Tasks[[#This Row],[_IsSummary]],SUM(INDEX(Tasks[_LeafTotalCost],Tasks[[#This Row],[_Row]]+1):INDEX(Tasks[_LeafTotalCost],Tasks[[#This Row],[_Row]]+Tasks[[#This Row],[_Descendants]])),Tasks[[#This Row],[_LeafTotalCost]]))</f>
        <v/>
      </c>
      <c r="AY71" s="112"/>
      <c r="AZ7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1" s="52"/>
      <c r="BB71" s="98"/>
      <c r="BC71" s="51" t="str">
        <f aca="false">IF(OR(Tasks[[#This Row],[Task Name]]="",Tasks[[#This Row],[Baseline Duration]]=""),"",Tasks[[#This Row],[BL Source Duration]]-N(Tasks[[#This Row],[Baseline Duration]]))</f>
        <v/>
      </c>
      <c r="BD71" s="110" t="str">
        <f aca="false">IF(OR(Tasks[[#This Row],[Task Name]]="",Tasks[[#This Row],[Baseline Work]]=""),"",Tasks[[#This Row],[Work]]-N(Tasks[[#This Row],[Baseline Work]]))</f>
        <v/>
      </c>
      <c r="BE71" s="111" t="str">
        <f aca="false">IF(OR(Tasks[[#This Row],[Task Name]]="",Tasks[[#This Row],[Baseline Cost]]=""),"",Tasks[[#This Row],[Cost]]-N(Tasks[[#This Row],[Baseline Cost]]))</f>
        <v/>
      </c>
      <c r="BF71" s="31" t="str">
        <f aca="false">IF(Tasks[[#This Row],[Task Name]]="","",Tasks[[#This Row],[Forecast Start]])</f>
        <v/>
      </c>
      <c r="BG71" s="31" t="str">
        <f aca="false">IF(Tasks[[#This Row],[Task Name]]="","",Tasks[[#This Row],[Forecast Finish]])</f>
        <v/>
      </c>
      <c r="BH71" s="51" t="str">
        <f aca="false">IF(Tasks[[#This Row],[Task Name]]="","",IF(Tasks[[#This Row],[_IsSummary]],NETWORKDAYS.INTL(Tasks[[#This Row],[Forecast Start]],Tasks[[#This Row],[Forecast Finish]],WorkWeek,Holidays),N(Tasks[[#This Row],[Duration]])))</f>
        <v/>
      </c>
      <c r="BI71" s="110" t="str">
        <f aca="false">IF(Tasks[[#This Row],[Task Name]]="","",Tasks[[#This Row],[Work]])</f>
        <v/>
      </c>
      <c r="BJ71" s="111" t="str">
        <f aca="false">IF(Tasks[[#This Row],[Task Name]]="","",Tasks[[#This Row],[Cost]])</f>
        <v/>
      </c>
      <c r="BK71" s="7"/>
      <c r="BL71" s="7"/>
      <c r="BM71" s="52"/>
      <c r="BN71" s="113"/>
      <c r="BO71" s="112"/>
      <c r="BP71" s="111" t="str">
        <f aca="false">IF(Tasks[[#This Row],[Task Name]]="","",IF(Tasks[[#This Row],[_IsSummary]],SUM(INDEX(Tasks[_LeafEV],Tasks[[#This Row],[_Row]]+1):INDEX(Tasks[_LeafEV],Tasks[[#This Row],[_Row]]+Tasks[[#This Row],[_Descendants]])),Tasks[[#This Row],[_LeafEV]]))</f>
        <v/>
      </c>
      <c r="BQ71" s="111" t="str">
        <f aca="false">IF(Tasks[[#This Row],[Task Name]]="","",IF(Tasks[[#This Row],[_IsSummary]],SUM(INDEX(Tasks[_LeafBudget],Tasks[[#This Row],[_Row]]+1):INDEX(Tasks[_LeafBudget],Tasks[[#This Row],[_Row]]+Tasks[[#This Row],[_Descendants]])),Tasks[[#This Row],[_LeafBudget]]))</f>
        <v/>
      </c>
      <c r="BR71" s="111" t="str">
        <f aca="false">IF(Tasks[[#This Row],[Task Name]]="","",IF(Tasks[[#This Row],[_IsSummary]],SUM(INDEX(Tasks[_LeafPV],Tasks[[#This Row],[_Row]]+1):INDEX(Tasks[_LeafPV],Tasks[[#This Row],[_Row]]+Tasks[[#This Row],[_Descendants]])),Tasks[[#This Row],[_LeafPV]]))</f>
        <v/>
      </c>
      <c r="BS71" s="111" t="str">
        <f aca="false">IF(Tasks[[#This Row],[Task Name]]="","",IF(Tasks[[#This Row],[_IsSummary]],SUM(INDEX(Tasks[_LeafAC],Tasks[[#This Row],[_Row]]+1):INDEX(Tasks[_LeafAC],Tasks[[#This Row],[_Row]]+Tasks[[#This Row],[_Descendants]])),Tasks[[#This Row],[_LeafAC]]))</f>
        <v/>
      </c>
      <c r="BT71" s="38" t="str">
        <f aca="false">IF(Tasks[[#This Row],[Task Name]]="","",MAX(1,N(Tasks[[#This Row],[Level]])))</f>
        <v/>
      </c>
      <c r="BU71" s="38" t="n">
        <f aca="false">ROW()-ROW(Tasks[[#Headers],[ID]])</f>
        <v>66</v>
      </c>
      <c r="BV71" s="38" t="n">
        <f aca="false">IF(OR(Tasks[[#This Row],[Task Name]]="",Tasks[[#This Row],[_Level]]&lt;=1),0,IFERROR(LOOKUP(2,1/(Tasks[[#Headers],[_Level]]:Tasks[[#This Row],[_Level]]=Tasks[[#This Row],[_Level]]-1),ROW(Tasks[[#Headers],[_Level]]:Tasks[[#This Row],[_Level]])),0))</f>
        <v>0</v>
      </c>
      <c r="BW71" s="38" t="n">
        <f aca="false">IFERROR(N(INDEX(Tasks[_Level],Tasks[[#This Row],[_Row]]+1)),0)</f>
        <v>0</v>
      </c>
      <c r="BX71" s="114" t="b">
        <f aca="false">AND(Tasks[[#This Row],[Task Name]]&lt;&gt;"",Tasks[[#This Row],[_NextLevel]]&gt;Tasks[[#This Row],[_Level]])</f>
        <v>0</v>
      </c>
      <c r="BY71" s="38" t="n">
        <f aca="false">IF(Tasks[[#This Row],[_IsSummary]],COUNTIF(Tasks[WBS],Tasks[[#This Row],[WBS]]&amp;".*"),0)</f>
        <v>0</v>
      </c>
      <c r="BZ71" s="38" t="n">
        <f aca="false">IF(AND(Tasks[[#This Row],[Task Name]]&lt;&gt;"",NOT(Tasks[[#This Row],[_IsSummary]])),1,0)</f>
        <v>0</v>
      </c>
      <c r="CA71" s="38" t="n">
        <f aca="false">IF(N(Tasks[[#This Row],[Pred1 UID]])=0,0,IFERROR(MATCH(Tasks[[#This Row],[Pred1 UID]],Tasks[UID],0),-1))</f>
        <v>0</v>
      </c>
      <c r="CB71" s="38" t="n">
        <f aca="false">IF(N(Tasks[[#This Row],[Pred2 UID]])=0,0,IFERROR(MATCH(Tasks[[#This Row],[Pred2 UID]],Tasks[UID],0),-1))</f>
        <v>0</v>
      </c>
      <c r="CC71" s="38" t="n">
        <f aca="false">IF(N(Tasks[[#This Row],[Pred3 UID]])=0,0,IFERROR(MATCH(Tasks[[#This Row],[Pred3 UID]],Tasks[UID],0),-1))</f>
        <v>0</v>
      </c>
      <c r="CD71" s="38" t="n">
        <f aca="false">IF(N(Tasks[[#This Row],[Pred4 UID]])=0,0,IFERROR(MATCH(Tasks[[#This Row],[Pred4 UID]],Tasks[UID],0),-1))</f>
        <v>0</v>
      </c>
      <c r="CE7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1" s="115" t="n">
        <f aca="false">IF(OR(Tasks[[#This Row],[_ConstraintCode]]=2,Tasks[[#This Row],[_ConstraintCode]]=3,Tasks[[#This Row],[_ConstraintCode]]=4,Tasks[[#This Row],[_ConstraintCode]]=6),Tasks[[#This Row],[_ConstraintStart]],0)</f>
        <v>0</v>
      </c>
      <c r="CH71" s="115" t="n">
        <f aca="false">IF(OR(Tasks[[#This Row],[_ConstraintCode]]=2,Tasks[[#This Row],[_ConstraintCode]]=3,Tasks[[#This Row],[_ConstraintCode]]=5,Tasks[[#This Row],[_ConstraintCode]]=7),Tasks[[#This Row],[_ConstraintStart]],2958465)</f>
        <v>2958465</v>
      </c>
      <c r="CI7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1" s="115" t="str">
        <f aca="false">IF(NOT(Tasks[[#This Row],[_IsLeaf]]=1),"",IF(N(Tasks[[#This Row],[Duration]])&lt;=0,Tasks[[#This Row],[_LeafCalcStart]],WORKDAY.INTL(Tasks[[#This Row],[_LeafCalcStart]],Tasks[[#This Row],[Duration]]-1,WorkWeek,Holidays)))</f>
        <v/>
      </c>
      <c r="CK7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1" s="38" t="n">
        <f aca="false">IF(NOT(Tasks[[#This Row],[_IsLeaf]]=1),0,IF(N(Tasks[[#This Row],[Actual Finish]])&gt;0,1,MIN(1,N(Tasks[[#This Row],[% Complete]]))))</f>
        <v>0</v>
      </c>
      <c r="CN71" s="38" t="n">
        <f aca="false">IF(OR(NOT(Tasks[[#This Row],[_IsLeaf]]=1),Tasks[[#This Row],[Resource]]=""),0,N(Tasks[[#This Row],[Duration]])*HoursPerDay*IF(Tasks[[#This Row],[Units]]="",DefaultUnits,Tasks[[#This Row],[Units]]))</f>
        <v>0</v>
      </c>
      <c r="CO71" s="38" t="n">
        <f aca="false">IF(Tasks[[#This Row],[_LeafWork]]=0,0,Tasks[[#This Row],[_LeafWork]]*IFERROR(INDEX(res_Rate,MATCH(Tasks[[#This Row],[Resource]],res_Name,0)),0))</f>
        <v>0</v>
      </c>
      <c r="CP71" s="38" t="n">
        <f aca="false">Tasks[[#This Row],[_LeafWork]]+IF(Tasks[[#This Row],[_IsLeaf]]=1,SUMIFS(asg_Work,asg_TaskUID,Tasks[[#This Row],[UID]],asg_Valid,1),0)</f>
        <v>0</v>
      </c>
      <c r="CQ71" s="38" t="n">
        <f aca="false">Tasks[[#This Row],[_LeafCost]]+IF(Tasks[[#This Row],[_IsLeaf]]=1,SUMIFS(asg_Cost,asg_TaskUID,Tasks[[#This Row],[UID]],asg_Valid,1),0)</f>
        <v>0</v>
      </c>
      <c r="CR71" s="38" t="n">
        <f aca="false">IF(Tasks[[#This Row],[_LeafTotalCost]]=0,Tasks[[#This Row],[_LeafAC]],Tasks[[#This Row],[_LeafAC]]*Tasks[[#This Row],[_LeafCost]]/Tasks[[#This Row],[_LeafTotalCost]])</f>
        <v>0</v>
      </c>
      <c r="CS7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1" s="38" t="n">
        <f aca="false">IF(NOT(Tasks[[#This Row],[_IsLeaf]]=1),0,MAX(_xlfn.MAXIFS(Tasks[_Row],Tasks[Pred1 UID],Tasks[[#This Row],[UID]]),_xlfn.MAXIFS(Tasks[_Row],Tasks[Pred2 UID],Tasks[[#This Row],[UID]]),_xlfn.MAXIFS(Tasks[_Row],Tasks[Pred3 UID],Tasks[[#This Row],[UID]]),_xlfn.MAXIFS(Tasks[_Row],Tasks[Pred4 UID],Tasks[[#This Row],[UID]])))</f>
        <v>0</v>
      </c>
      <c r="DB7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1" s="115" t="str">
        <f aca="false">IF(NOT(Tasks[[#This Row],[_IsLeaf]]=1),"",IF(N(Tasks[[#This Row],[Duration]])&lt;=0,Tasks[[#This Row],[_LeafLateFinish]],WORKDAY.INTL(Tasks[[#This Row],[_LeafLateFinish]],-(Tasks[[#This Row],[Duration]]-1),WorkWeek,Holidays)))</f>
        <v/>
      </c>
      <c r="DE7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1" s="114" t="b">
        <f aca="false">AND(Tasks[[#This Row],[_IsLeaf]]=1,Tasks[[#This Row],[_LeafProgress]]&lt;1,N(Tasks[[#This Row],[_LeafTotalSlack]])&lt;=CriticalSlackDays)</f>
        <v>0</v>
      </c>
      <c r="DG71" s="38" t="n">
        <f aca="false">IF(AND(Tasks[[#This Row],[_IsLeaf]]=1,Tasks[[#This Row],[_ConstraintCode]]=1,Tasks[[#This Row],[Mode]]&lt;&gt;"Manual",N(Tasks[[#This Row],[Actual Start]])=0),MAX(0,N(Tasks[[#This Row],[Free Slack]])),0)</f>
        <v>0</v>
      </c>
      <c r="DH71" s="115" t="str">
        <f aca="false">IF(NOT(Tasks[[#This Row],[_IsLeaf]]=1),"",IF(Tasks[[#This Row],[_AlapShift]]=0,Tasks[[#This Row],[_LeafCalcStart]],WORKDAY.INTL(Tasks[[#This Row],[_LeafCalcStart]],Tasks[[#This Row],[_AlapShift]],WorkWeek,Holidays)))</f>
        <v/>
      </c>
      <c r="DI71" s="115" t="str">
        <f aca="false">IF(NOT(Tasks[[#This Row],[_IsLeaf]]=1),"",IF(Tasks[[#This Row],[_AlapShift]]=0,Tasks[[#This Row],[_LeafCalcFinish]],WORKDAY.INTL(Tasks[[#This Row],[_LeafCalcFinish]],Tasks[[#This Row],[_AlapShift]],WorkWeek,Holidays)))</f>
        <v/>
      </c>
      <c r="DJ71" s="115" t="str">
        <f aca="false">IF(NOT(Tasks[[#This Row],[_IsLeaf]]=1),"",IF(Tasks[[#This Row],[_AlapShift]]=0,Tasks[[#This Row],[_LeafFcstStart]],WORKDAY.INTL(Tasks[[#This Row],[_LeafFcstStart]],Tasks[[#This Row],[_AlapShift]],WorkWeek,Holidays)))</f>
        <v/>
      </c>
      <c r="DK71" s="115" t="str">
        <f aca="false">IF(NOT(Tasks[[#This Row],[_IsLeaf]]=1),"",IF(Tasks[[#This Row],[_AlapShift]]=0,Tasks[[#This Row],[_LeafFcstFinish]],WORKDAY.INTL(Tasks[[#This Row],[_LeafFcstFinish]],Tasks[[#This Row],[_AlapShift]],WorkWeek,Holidays)))</f>
        <v/>
      </c>
      <c r="DL71" s="115" t="str">
        <f aca="false">IF(Tasks[[#This Row],[Task Name]]="","",IF(Tasks[[#This Row],[_IsSummary]],MIN(INDEX(Tasks[_ShownCalcStart],Tasks[[#This Row],[_Row]]+1):INDEX(Tasks[_ShownCalcStart],Tasks[[#This Row],[_Row]]+Tasks[[#This Row],[_Descendants]])),Tasks[[#This Row],[_ShownCalcStart]]))</f>
        <v/>
      </c>
      <c r="DM71" s="115" t="str">
        <f aca="false">IF(Tasks[[#This Row],[Task Name]]="","",IF(Tasks[[#This Row],[_IsSummary]],MAX(INDEX(Tasks[_ShownCalcFinish],Tasks[[#This Row],[_Row]]+1):INDEX(Tasks[_ShownCalcFinish],Tasks[[#This Row],[_Row]]+Tasks[[#This Row],[_Descendants]])),Tasks[[#This Row],[_ShownCalcFinish]]))</f>
        <v/>
      </c>
      <c r="DN7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1" s="38" t="n">
        <f aca="false">IF(AND(Tasks[[#This Row],[_IsLeaf]]=1,Tasks[[#This Row],[_LeafTotalWork]]&gt;0),NETWORKDAYS.INTL(ProjectStart,Tasks[[#This Row],[_ShownFcstStart]],WorkWeek,Holidays),0)</f>
        <v>0</v>
      </c>
      <c r="EA71" s="38" t="n">
        <f aca="false">IF(AND(Tasks[[#This Row],[_IsLeaf]]=1,Tasks[[#This Row],[_LeafTotalWork]]&gt;0),MAX(Tasks[[#This Row],[_StartWorkday]],NETWORKDAYS.INTL(ProjectStart,Tasks[[#This Row],[_ShownFcstFinish]],WorkWeek,Holidays)),0)</f>
        <v>0</v>
      </c>
      <c r="EB71" s="38" t="n">
        <f aca="false">IF(AND(Tasks[[#This Row],[_IsLeaf]]=1,Tasks[[#This Row],[_LeafTotalWork]]&gt;0),Tasks[[#This Row],[_LeafWork]]/(Tasks[[#This Row],[_FinishWorkday]]-Tasks[[#This Row],[_StartWorkday]]+1),0)</f>
        <v>0</v>
      </c>
      <c r="EC71" s="38" t="n">
        <f aca="false">Tasks[[#This Row],[_WorkPerWorkday]]*(Tasks[[#This Row],[_StartWorkday]]-1)</f>
        <v>-0</v>
      </c>
      <c r="ED71" s="38" t="n">
        <f aca="false">IF(Tasks[[#This Row],[_IsLeaf]]=1,MAX(N(Tasks[[#This Row],[Duration]]),0.1),0)</f>
        <v>0</v>
      </c>
      <c r="EE71" s="38" t="n">
        <f aca="false">Tasks[[#This Row],[_WeightDur]]*Tasks[[#This Row],[_LeafProgress]]</f>
        <v>0</v>
      </c>
      <c r="EF7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1" s="38" t="str">
        <f aca="false">IF(AND(Tasks[[#This Row],[_IsLeaf]]=1,N(Tasks[[#This Row],[Duration]])=0,Tasks[[#This Row],[_LeafProgress]]&lt;1),Tasks[[#This Row],[_ShownFcstFinish]]+Tasks[[#This Row],[_Row]]/100000,"")</f>
        <v/>
      </c>
      <c r="EH7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1" s="38" t="n">
        <f aca="false">IF(NOT(Tasks[[#This Row],[_IsLeaf]]=1),0,IF(Tasks[[#This Row],[Baseline Cost]]="",Tasks[[#This Row],[_LeafTotalCost]],N(Tasks[[#This Row],[Baseline Cost]])))</f>
        <v>0</v>
      </c>
      <c r="EJ71" s="38" t="n">
        <f aca="false">Tasks[[#This Row],[_LeafBudget]]*Tasks[[#This Row],[_PlannedPct]]</f>
        <v>0</v>
      </c>
      <c r="EK71" s="38" t="n">
        <f aca="false">Tasks[[#This Row],[_LeafBudget]]*Tasks[[#This Row],[_LeafProgress]]</f>
        <v>0</v>
      </c>
      <c r="EL71" s="38" t="n">
        <f aca="false">IF(NOT(Tasks[[#This Row],[_IsLeaf]]=1),0,IF(Tasks[[#This Row],[Actual Cost]]="",Tasks[[#This Row],[_LeafTotalCost]]*Tasks[[#This Row],[_LeafProgress]],N(Tasks[[#This Row],[Actual Cost]])))</f>
        <v>0</v>
      </c>
      <c r="EM71" s="38" t="str">
        <f aca="false">IF(Tasks[[#This Row],[Task Name]]="","",LEFT(Tasks[[#This Row],[WBS]],FIND(".",Tasks[[#This Row],[WBS]]&amp;".")-1))</f>
        <v/>
      </c>
      <c r="EN71" s="38" t="str">
        <f aca="false">IF(AND(Tasks[[#This Row],[Task Name]]&lt;&gt;"",Tasks[[#This Row],[_Level]]=1),Tasks[[#This Row],[_Row]],"")</f>
        <v/>
      </c>
      <c r="EO71" s="38" t="str">
        <f aca="false">IF(AND(Tasks[[#This Row],[_IsLeaf]]=1,N(Tasks[[#This Row],[Duration]])=0),Tasks[[#This Row],[Planned Finish]]+Tasks[[#This Row],[_Row]]/100000,"")</f>
        <v/>
      </c>
      <c r="EP71" s="38" t="str">
        <f aca="false">IF(AND(Tasks[[#This Row],[_IsLeaf]]=1,Tasks[[#This Row],[_LeafProgress]]&lt;1,OR(N(Tasks[[#This Row],[Finish Var]])&gt;0,Tasks[[#This Row],[Status]]="Late Start")),MAX(0,Tasks[[#This Row],[Finish Var]])+1-Tasks[[#This Row],[_Row]]/1000000,"")</f>
        <v/>
      </c>
      <c r="EQ71" s="38" t="str">
        <f aca="false">IF(AND(Tasks[[#This Row],[_IsLeaf]]=1,N(Tasks[[#This Row],[Actual Start]])=0,Tasks[[#This Row],[_ShownFcstStart]]&gt;=StatusDate,Tasks[[#This Row],[_ShownFcstStart]]&lt;=LookaheadEnd),Tasks[[#This Row],[_ShownFcstStart]]+Tasks[[#This Row],[_Row]]/100000,"")</f>
        <v/>
      </c>
      <c r="ER71" s="38" t="str">
        <f aca="false">IF(AND(Tasks[[#This Row],[_IsLeaf]]=1,Tasks[[#This Row],[_LeafProgress]]&lt;1,Tasks[[#This Row],[_ShownFcstFinish]]&gt;=StatusDate,Tasks[[#This Row],[_ShownFcstFinish]]&lt;=LookaheadEnd),Tasks[[#This Row],[_ShownFcstFinish]]+Tasks[[#This Row],[_Row]]/100000,"")</f>
        <v/>
      </c>
      <c r="ES71" s="38" t="str">
        <f aca="false">IF(Tasks[[#This Row],[_LeafCritical]],Tasks[[#This Row],[_ShownFcstStart]]+Tasks[[#This Row],[_Row]]/100000,"")</f>
        <v/>
      </c>
      <c r="ET71" s="38" t="n">
        <f aca="false">Tasks[[#This Row],[_LeafWork]]*Tasks[[#This Row],[_LeafProgress]]</f>
        <v>0</v>
      </c>
      <c r="EU71" s="115" t="str">
        <f aca="false">IF(AND(Tasks[[#This Row],[_IsLeaf]]=1,Tasks[[#This Row],[_LeafProgress]]&gt;=1),IF(N(Tasks[[#This Row],[Actual Finish]])&gt;0,Tasks[[#This Row],[Actual Finish]],Tasks[[#This Row],[_ShownFcstFinish]]),"")</f>
        <v/>
      </c>
      <c r="EV71" s="38" t="n">
        <f aca="false">IF(Tasks[[#This Row],[_IsLeaf]]=1,N(Tasks[[#This Row],[Story Points]]),0)</f>
        <v>0</v>
      </c>
      <c r="EW71" s="38" t="str">
        <f aca="false">IF(AND(Tasks[[#This Row],[_IsLeaf]]=1,CurrentSprint&lt;&gt;"",Tasks[[#This Row],[Sprint]]=CurrentSprint),Tasks[[#This Row],[_Row]],"")</f>
        <v/>
      </c>
    </row>
    <row r="72" customFormat="false" ht="15" hidden="false" customHeight="false" outlineLevel="0" collapsed="false">
      <c r="A72" s="51" t="str">
        <f aca="false">IF(Tasks[[#This Row],[Task Name]]="","",COUNTA(Tasks[[#Headers],[Task Name]]:Tasks[[#This Row],[Task Name]])-1)</f>
        <v/>
      </c>
      <c r="B72" s="52" t="n">
        <v>67</v>
      </c>
      <c r="C7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52"/>
      <c r="E72" s="53"/>
      <c r="F72" s="52"/>
      <c r="G72" s="52"/>
      <c r="H72" s="52"/>
      <c r="I72" s="52"/>
      <c r="J72" s="52"/>
      <c r="K72" s="52"/>
      <c r="L72" s="52"/>
      <c r="M72" s="52"/>
      <c r="N72" s="52"/>
      <c r="O72" s="52"/>
      <c r="P72" s="52"/>
      <c r="Q72" s="52"/>
      <c r="R72" s="52"/>
      <c r="S72" s="53"/>
      <c r="T72" s="102"/>
      <c r="U72" s="102"/>
      <c r="V72" s="7"/>
      <c r="W72" s="7"/>
      <c r="X72" s="53"/>
      <c r="Y72" s="31" t="str">
        <f aca="false">IF(Tasks[[#This Row],[Task Name]]="","",IF(Tasks[[#This Row],[_IsSummary]],MIN(INDEX(Tasks[_ShownFcstStart],Tasks[[#This Row],[_Row]]+1):INDEX(Tasks[_ShownFcstStart],Tasks[[#This Row],[_Row]]+Tasks[[#This Row],[_Descendants]])),Tasks[[#This Row],[_ShownFcstStart]]))</f>
        <v/>
      </c>
      <c r="Z72" s="31" t="str">
        <f aca="false">IF(Tasks[[#This Row],[Task Name]]="","",IF(Tasks[[#This Row],[_IsSummary]],MAX(INDEX(Tasks[_ShownFcstFinish],Tasks[[#This Row],[_Row]]+1):INDEX(Tasks[_ShownFcstFinish],Tasks[[#This Row],[_Row]]+Tasks[[#This Row],[_Descendants]])),Tasks[[#This Row],[_ShownFcstFinish]]))</f>
        <v/>
      </c>
      <c r="AA72" s="51" t="str">
        <f aca="false">IF(Tasks[[#This Row],[Task Name]]="","",IF(Tasks[[#This Row],[Progress]]&gt;=1,"Complete",IF(OR(N(Tasks[[#This Row],[Actual Start]])&gt;0,Tasks[[#This Row],[Progress]]&gt;0),IF(Tasks[[#This Row],[Finish Var]]&gt;0,"Behind","In Progress"),IF(Tasks[[#This Row],[Planned Start]]&lt;StatusDate,"Late Start","Not Started"))))</f>
        <v/>
      </c>
      <c r="AB72" s="51" t="str">
        <f aca="false">IF(Tasks[[#This Row],[Task Name]]="","",IF(IF(Tasks[[#This Row],[_IsSummary]],COUNTIF(INDEX(Tasks[_LeafCritical],Tasks[[#This Row],[_Row]]+1):INDEX(Tasks[_LeafCritical],Tasks[[#This Row],[_Row]]+Tasks[[#This Row],[_Descendants]]),TRUE())&gt;0,Tasks[[#This Row],[_LeafCritical]]),"Yes",""))</f>
        <v/>
      </c>
      <c r="AC7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2" s="51" t="str">
        <f aca="false">IF(Tasks[[#This Row],[Task Name]]="","",IF(Tasks[[#This Row],[_Level]]&lt;=OutlineShowLevel,"Yes","No"))</f>
        <v/>
      </c>
      <c r="AE72" s="7"/>
      <c r="AF72" s="52"/>
      <c r="AG72" s="53"/>
      <c r="AH72" s="7"/>
      <c r="AI7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2" s="31" t="str">
        <f aca="false">IF(Tasks[[#This Row],[Task Name]]="","",IF(N(Tasks[[#This Row],[Baseline Start]])&gt;0,Tasks[[#This Row],[Baseline Start]],Tasks[[#This Row],[_CalcStart]]))</f>
        <v/>
      </c>
      <c r="AK72" s="31" t="str">
        <f aca="false">IF(Tasks[[#This Row],[Task Name]]="","",IF(N(Tasks[[#This Row],[Baseline Finish]])&gt;0,Tasks[[#This Row],[Baseline Finish]],Tasks[[#This Row],[_CalcFinish]]))</f>
        <v/>
      </c>
      <c r="AL7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2" s="31" t="str">
        <f aca="false">IF(Tasks[[#This Row],[Task Name]]="","",IF(Tasks[[#This Row],[_IsSummary]],MIN(INDEX(Tasks[_LeafLateStart],Tasks[[#This Row],[_Row]]+1):INDEX(Tasks[_LeafLateStart],Tasks[[#This Row],[_Row]]+Tasks[[#This Row],[_Descendants]])),Tasks[[#This Row],[_LeafLateStart]]))</f>
        <v/>
      </c>
      <c r="AN72" s="31" t="str">
        <f aca="false">IF(Tasks[[#This Row],[Task Name]]="","",IF(Tasks[[#This Row],[_IsSummary]],MAX(INDEX(Tasks[_LeafLateFinish],Tasks[[#This Row],[_Row]]+1):INDEX(Tasks[_LeafLateFinish],Tasks[[#This Row],[_Row]]+Tasks[[#This Row],[_Descendants]])),Tasks[[#This Row],[_LeafLateFinish]]))</f>
        <v/>
      </c>
      <c r="AO72" s="51" t="str">
        <f aca="false">IF(Tasks[[#This Row],[Task Name]]="","",IF(Tasks[[#This Row],[_IsSummary]],MIN(INDEX(Tasks[_LeafTotalSlack],Tasks[[#This Row],[_Row]]+1):INDEX(Tasks[_LeafTotalSlack],Tasks[[#This Row],[_Row]]+Tasks[[#This Row],[_Descendants]])),Tasks[[#This Row],[_LeafTotalSlack]]))</f>
        <v/>
      </c>
      <c r="AP7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2" s="110" t="str">
        <f aca="false">IF(Tasks[[#This Row],[Task Name]]="","",IF(Tasks[[#This Row],[_IsSummary]],SUM(INDEX(Tasks[_LeafTotalWork],Tasks[[#This Row],[_Row]]+1):INDEX(Tasks[_LeafTotalWork],Tasks[[#This Row],[_Row]]+Tasks[[#This Row],[_Descendants]])),Tasks[[#This Row],[_LeafTotalWork]]))</f>
        <v/>
      </c>
      <c r="AV7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2" s="111" t="str">
        <f aca="false">IF(Tasks[[#This Row],[Task Name]]="","",IF(Tasks[[#This Row],[_IsSummary]],SUM(INDEX(Tasks[_LeafTotalCost],Tasks[[#This Row],[_Row]]+1):INDEX(Tasks[_LeafTotalCost],Tasks[[#This Row],[_Row]]+Tasks[[#This Row],[_Descendants]])),Tasks[[#This Row],[_LeafTotalCost]]))</f>
        <v/>
      </c>
      <c r="AY72" s="112"/>
      <c r="AZ7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2" s="52"/>
      <c r="BB72" s="98"/>
      <c r="BC72" s="51" t="str">
        <f aca="false">IF(OR(Tasks[[#This Row],[Task Name]]="",Tasks[[#This Row],[Baseline Duration]]=""),"",Tasks[[#This Row],[BL Source Duration]]-N(Tasks[[#This Row],[Baseline Duration]]))</f>
        <v/>
      </c>
      <c r="BD72" s="110" t="str">
        <f aca="false">IF(OR(Tasks[[#This Row],[Task Name]]="",Tasks[[#This Row],[Baseline Work]]=""),"",Tasks[[#This Row],[Work]]-N(Tasks[[#This Row],[Baseline Work]]))</f>
        <v/>
      </c>
      <c r="BE72" s="111" t="str">
        <f aca="false">IF(OR(Tasks[[#This Row],[Task Name]]="",Tasks[[#This Row],[Baseline Cost]]=""),"",Tasks[[#This Row],[Cost]]-N(Tasks[[#This Row],[Baseline Cost]]))</f>
        <v/>
      </c>
      <c r="BF72" s="31" t="str">
        <f aca="false">IF(Tasks[[#This Row],[Task Name]]="","",Tasks[[#This Row],[Forecast Start]])</f>
        <v/>
      </c>
      <c r="BG72" s="31" t="str">
        <f aca="false">IF(Tasks[[#This Row],[Task Name]]="","",Tasks[[#This Row],[Forecast Finish]])</f>
        <v/>
      </c>
      <c r="BH72" s="51" t="str">
        <f aca="false">IF(Tasks[[#This Row],[Task Name]]="","",IF(Tasks[[#This Row],[_IsSummary]],NETWORKDAYS.INTL(Tasks[[#This Row],[Forecast Start]],Tasks[[#This Row],[Forecast Finish]],WorkWeek,Holidays),N(Tasks[[#This Row],[Duration]])))</f>
        <v/>
      </c>
      <c r="BI72" s="110" t="str">
        <f aca="false">IF(Tasks[[#This Row],[Task Name]]="","",Tasks[[#This Row],[Work]])</f>
        <v/>
      </c>
      <c r="BJ72" s="111" t="str">
        <f aca="false">IF(Tasks[[#This Row],[Task Name]]="","",Tasks[[#This Row],[Cost]])</f>
        <v/>
      </c>
      <c r="BK72" s="7"/>
      <c r="BL72" s="7"/>
      <c r="BM72" s="52"/>
      <c r="BN72" s="113"/>
      <c r="BO72" s="112"/>
      <c r="BP72" s="111" t="str">
        <f aca="false">IF(Tasks[[#This Row],[Task Name]]="","",IF(Tasks[[#This Row],[_IsSummary]],SUM(INDEX(Tasks[_LeafEV],Tasks[[#This Row],[_Row]]+1):INDEX(Tasks[_LeafEV],Tasks[[#This Row],[_Row]]+Tasks[[#This Row],[_Descendants]])),Tasks[[#This Row],[_LeafEV]]))</f>
        <v/>
      </c>
      <c r="BQ72" s="111" t="str">
        <f aca="false">IF(Tasks[[#This Row],[Task Name]]="","",IF(Tasks[[#This Row],[_IsSummary]],SUM(INDEX(Tasks[_LeafBudget],Tasks[[#This Row],[_Row]]+1):INDEX(Tasks[_LeafBudget],Tasks[[#This Row],[_Row]]+Tasks[[#This Row],[_Descendants]])),Tasks[[#This Row],[_LeafBudget]]))</f>
        <v/>
      </c>
      <c r="BR72" s="111" t="str">
        <f aca="false">IF(Tasks[[#This Row],[Task Name]]="","",IF(Tasks[[#This Row],[_IsSummary]],SUM(INDEX(Tasks[_LeafPV],Tasks[[#This Row],[_Row]]+1):INDEX(Tasks[_LeafPV],Tasks[[#This Row],[_Row]]+Tasks[[#This Row],[_Descendants]])),Tasks[[#This Row],[_LeafPV]]))</f>
        <v/>
      </c>
      <c r="BS72" s="111" t="str">
        <f aca="false">IF(Tasks[[#This Row],[Task Name]]="","",IF(Tasks[[#This Row],[_IsSummary]],SUM(INDEX(Tasks[_LeafAC],Tasks[[#This Row],[_Row]]+1):INDEX(Tasks[_LeafAC],Tasks[[#This Row],[_Row]]+Tasks[[#This Row],[_Descendants]])),Tasks[[#This Row],[_LeafAC]]))</f>
        <v/>
      </c>
      <c r="BT72" s="38" t="str">
        <f aca="false">IF(Tasks[[#This Row],[Task Name]]="","",MAX(1,N(Tasks[[#This Row],[Level]])))</f>
        <v/>
      </c>
      <c r="BU72" s="38" t="n">
        <f aca="false">ROW()-ROW(Tasks[[#Headers],[ID]])</f>
        <v>67</v>
      </c>
      <c r="BV72" s="38" t="n">
        <f aca="false">IF(OR(Tasks[[#This Row],[Task Name]]="",Tasks[[#This Row],[_Level]]&lt;=1),0,IFERROR(LOOKUP(2,1/(Tasks[[#Headers],[_Level]]:Tasks[[#This Row],[_Level]]=Tasks[[#This Row],[_Level]]-1),ROW(Tasks[[#Headers],[_Level]]:Tasks[[#This Row],[_Level]])),0))</f>
        <v>0</v>
      </c>
      <c r="BW72" s="38" t="n">
        <f aca="false">IFERROR(N(INDEX(Tasks[_Level],Tasks[[#This Row],[_Row]]+1)),0)</f>
        <v>0</v>
      </c>
      <c r="BX72" s="114" t="b">
        <f aca="false">AND(Tasks[[#This Row],[Task Name]]&lt;&gt;"",Tasks[[#This Row],[_NextLevel]]&gt;Tasks[[#This Row],[_Level]])</f>
        <v>0</v>
      </c>
      <c r="BY72" s="38" t="n">
        <f aca="false">IF(Tasks[[#This Row],[_IsSummary]],COUNTIF(Tasks[WBS],Tasks[[#This Row],[WBS]]&amp;".*"),0)</f>
        <v>0</v>
      </c>
      <c r="BZ72" s="38" t="n">
        <f aca="false">IF(AND(Tasks[[#This Row],[Task Name]]&lt;&gt;"",NOT(Tasks[[#This Row],[_IsSummary]])),1,0)</f>
        <v>0</v>
      </c>
      <c r="CA72" s="38" t="n">
        <f aca="false">IF(N(Tasks[[#This Row],[Pred1 UID]])=0,0,IFERROR(MATCH(Tasks[[#This Row],[Pred1 UID]],Tasks[UID],0),-1))</f>
        <v>0</v>
      </c>
      <c r="CB72" s="38" t="n">
        <f aca="false">IF(N(Tasks[[#This Row],[Pred2 UID]])=0,0,IFERROR(MATCH(Tasks[[#This Row],[Pred2 UID]],Tasks[UID],0),-1))</f>
        <v>0</v>
      </c>
      <c r="CC72" s="38" t="n">
        <f aca="false">IF(N(Tasks[[#This Row],[Pred3 UID]])=0,0,IFERROR(MATCH(Tasks[[#This Row],[Pred3 UID]],Tasks[UID],0),-1))</f>
        <v>0</v>
      </c>
      <c r="CD72" s="38" t="n">
        <f aca="false">IF(N(Tasks[[#This Row],[Pred4 UID]])=0,0,IFERROR(MATCH(Tasks[[#This Row],[Pred4 UID]],Tasks[UID],0),-1))</f>
        <v>0</v>
      </c>
      <c r="CE7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2" s="115" t="n">
        <f aca="false">IF(OR(Tasks[[#This Row],[_ConstraintCode]]=2,Tasks[[#This Row],[_ConstraintCode]]=3,Tasks[[#This Row],[_ConstraintCode]]=4,Tasks[[#This Row],[_ConstraintCode]]=6),Tasks[[#This Row],[_ConstraintStart]],0)</f>
        <v>0</v>
      </c>
      <c r="CH72" s="115" t="n">
        <f aca="false">IF(OR(Tasks[[#This Row],[_ConstraintCode]]=2,Tasks[[#This Row],[_ConstraintCode]]=3,Tasks[[#This Row],[_ConstraintCode]]=5,Tasks[[#This Row],[_ConstraintCode]]=7),Tasks[[#This Row],[_ConstraintStart]],2958465)</f>
        <v>2958465</v>
      </c>
      <c r="CI7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2" s="115" t="str">
        <f aca="false">IF(NOT(Tasks[[#This Row],[_IsLeaf]]=1),"",IF(N(Tasks[[#This Row],[Duration]])&lt;=0,Tasks[[#This Row],[_LeafCalcStart]],WORKDAY.INTL(Tasks[[#This Row],[_LeafCalcStart]],Tasks[[#This Row],[Duration]]-1,WorkWeek,Holidays)))</f>
        <v/>
      </c>
      <c r="CK7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2" s="38" t="n">
        <f aca="false">IF(NOT(Tasks[[#This Row],[_IsLeaf]]=1),0,IF(N(Tasks[[#This Row],[Actual Finish]])&gt;0,1,MIN(1,N(Tasks[[#This Row],[% Complete]]))))</f>
        <v>0</v>
      </c>
      <c r="CN72" s="38" t="n">
        <f aca="false">IF(OR(NOT(Tasks[[#This Row],[_IsLeaf]]=1),Tasks[[#This Row],[Resource]]=""),0,N(Tasks[[#This Row],[Duration]])*HoursPerDay*IF(Tasks[[#This Row],[Units]]="",DefaultUnits,Tasks[[#This Row],[Units]]))</f>
        <v>0</v>
      </c>
      <c r="CO72" s="38" t="n">
        <f aca="false">IF(Tasks[[#This Row],[_LeafWork]]=0,0,Tasks[[#This Row],[_LeafWork]]*IFERROR(INDEX(res_Rate,MATCH(Tasks[[#This Row],[Resource]],res_Name,0)),0))</f>
        <v>0</v>
      </c>
      <c r="CP72" s="38" t="n">
        <f aca="false">Tasks[[#This Row],[_LeafWork]]+IF(Tasks[[#This Row],[_IsLeaf]]=1,SUMIFS(asg_Work,asg_TaskUID,Tasks[[#This Row],[UID]],asg_Valid,1),0)</f>
        <v>0</v>
      </c>
      <c r="CQ72" s="38" t="n">
        <f aca="false">Tasks[[#This Row],[_LeafCost]]+IF(Tasks[[#This Row],[_IsLeaf]]=1,SUMIFS(asg_Cost,asg_TaskUID,Tasks[[#This Row],[UID]],asg_Valid,1),0)</f>
        <v>0</v>
      </c>
      <c r="CR72" s="38" t="n">
        <f aca="false">IF(Tasks[[#This Row],[_LeafTotalCost]]=0,Tasks[[#This Row],[_LeafAC]],Tasks[[#This Row],[_LeafAC]]*Tasks[[#This Row],[_LeafCost]]/Tasks[[#This Row],[_LeafTotalCost]])</f>
        <v>0</v>
      </c>
      <c r="CS7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2" s="38" t="n">
        <f aca="false">IF(NOT(Tasks[[#This Row],[_IsLeaf]]=1),0,MAX(_xlfn.MAXIFS(Tasks[_Row],Tasks[Pred1 UID],Tasks[[#This Row],[UID]]),_xlfn.MAXIFS(Tasks[_Row],Tasks[Pred2 UID],Tasks[[#This Row],[UID]]),_xlfn.MAXIFS(Tasks[_Row],Tasks[Pred3 UID],Tasks[[#This Row],[UID]]),_xlfn.MAXIFS(Tasks[_Row],Tasks[Pred4 UID],Tasks[[#This Row],[UID]])))</f>
        <v>0</v>
      </c>
      <c r="DB7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2" s="115" t="str">
        <f aca="false">IF(NOT(Tasks[[#This Row],[_IsLeaf]]=1),"",IF(N(Tasks[[#This Row],[Duration]])&lt;=0,Tasks[[#This Row],[_LeafLateFinish]],WORKDAY.INTL(Tasks[[#This Row],[_LeafLateFinish]],-(Tasks[[#This Row],[Duration]]-1),WorkWeek,Holidays)))</f>
        <v/>
      </c>
      <c r="DE7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2" s="114" t="b">
        <f aca="false">AND(Tasks[[#This Row],[_IsLeaf]]=1,Tasks[[#This Row],[_LeafProgress]]&lt;1,N(Tasks[[#This Row],[_LeafTotalSlack]])&lt;=CriticalSlackDays)</f>
        <v>0</v>
      </c>
      <c r="DG72" s="38" t="n">
        <f aca="false">IF(AND(Tasks[[#This Row],[_IsLeaf]]=1,Tasks[[#This Row],[_ConstraintCode]]=1,Tasks[[#This Row],[Mode]]&lt;&gt;"Manual",N(Tasks[[#This Row],[Actual Start]])=0),MAX(0,N(Tasks[[#This Row],[Free Slack]])),0)</f>
        <v>0</v>
      </c>
      <c r="DH72" s="115" t="str">
        <f aca="false">IF(NOT(Tasks[[#This Row],[_IsLeaf]]=1),"",IF(Tasks[[#This Row],[_AlapShift]]=0,Tasks[[#This Row],[_LeafCalcStart]],WORKDAY.INTL(Tasks[[#This Row],[_LeafCalcStart]],Tasks[[#This Row],[_AlapShift]],WorkWeek,Holidays)))</f>
        <v/>
      </c>
      <c r="DI72" s="115" t="str">
        <f aca="false">IF(NOT(Tasks[[#This Row],[_IsLeaf]]=1),"",IF(Tasks[[#This Row],[_AlapShift]]=0,Tasks[[#This Row],[_LeafCalcFinish]],WORKDAY.INTL(Tasks[[#This Row],[_LeafCalcFinish]],Tasks[[#This Row],[_AlapShift]],WorkWeek,Holidays)))</f>
        <v/>
      </c>
      <c r="DJ72" s="115" t="str">
        <f aca="false">IF(NOT(Tasks[[#This Row],[_IsLeaf]]=1),"",IF(Tasks[[#This Row],[_AlapShift]]=0,Tasks[[#This Row],[_LeafFcstStart]],WORKDAY.INTL(Tasks[[#This Row],[_LeafFcstStart]],Tasks[[#This Row],[_AlapShift]],WorkWeek,Holidays)))</f>
        <v/>
      </c>
      <c r="DK72" s="115" t="str">
        <f aca="false">IF(NOT(Tasks[[#This Row],[_IsLeaf]]=1),"",IF(Tasks[[#This Row],[_AlapShift]]=0,Tasks[[#This Row],[_LeafFcstFinish]],WORKDAY.INTL(Tasks[[#This Row],[_LeafFcstFinish]],Tasks[[#This Row],[_AlapShift]],WorkWeek,Holidays)))</f>
        <v/>
      </c>
      <c r="DL72" s="115" t="str">
        <f aca="false">IF(Tasks[[#This Row],[Task Name]]="","",IF(Tasks[[#This Row],[_IsSummary]],MIN(INDEX(Tasks[_ShownCalcStart],Tasks[[#This Row],[_Row]]+1):INDEX(Tasks[_ShownCalcStart],Tasks[[#This Row],[_Row]]+Tasks[[#This Row],[_Descendants]])),Tasks[[#This Row],[_ShownCalcStart]]))</f>
        <v/>
      </c>
      <c r="DM72" s="115" t="str">
        <f aca="false">IF(Tasks[[#This Row],[Task Name]]="","",IF(Tasks[[#This Row],[_IsSummary]],MAX(INDEX(Tasks[_ShownCalcFinish],Tasks[[#This Row],[_Row]]+1):INDEX(Tasks[_ShownCalcFinish],Tasks[[#This Row],[_Row]]+Tasks[[#This Row],[_Descendants]])),Tasks[[#This Row],[_ShownCalcFinish]]))</f>
        <v/>
      </c>
      <c r="DN7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2" s="38" t="n">
        <f aca="false">IF(AND(Tasks[[#This Row],[_IsLeaf]]=1,Tasks[[#This Row],[_LeafTotalWork]]&gt;0),NETWORKDAYS.INTL(ProjectStart,Tasks[[#This Row],[_ShownFcstStart]],WorkWeek,Holidays),0)</f>
        <v>0</v>
      </c>
      <c r="EA72" s="38" t="n">
        <f aca="false">IF(AND(Tasks[[#This Row],[_IsLeaf]]=1,Tasks[[#This Row],[_LeafTotalWork]]&gt;0),MAX(Tasks[[#This Row],[_StartWorkday]],NETWORKDAYS.INTL(ProjectStart,Tasks[[#This Row],[_ShownFcstFinish]],WorkWeek,Holidays)),0)</f>
        <v>0</v>
      </c>
      <c r="EB72" s="38" t="n">
        <f aca="false">IF(AND(Tasks[[#This Row],[_IsLeaf]]=1,Tasks[[#This Row],[_LeafTotalWork]]&gt;0),Tasks[[#This Row],[_LeafWork]]/(Tasks[[#This Row],[_FinishWorkday]]-Tasks[[#This Row],[_StartWorkday]]+1),0)</f>
        <v>0</v>
      </c>
      <c r="EC72" s="38" t="n">
        <f aca="false">Tasks[[#This Row],[_WorkPerWorkday]]*(Tasks[[#This Row],[_StartWorkday]]-1)</f>
        <v>-0</v>
      </c>
      <c r="ED72" s="38" t="n">
        <f aca="false">IF(Tasks[[#This Row],[_IsLeaf]]=1,MAX(N(Tasks[[#This Row],[Duration]]),0.1),0)</f>
        <v>0</v>
      </c>
      <c r="EE72" s="38" t="n">
        <f aca="false">Tasks[[#This Row],[_WeightDur]]*Tasks[[#This Row],[_LeafProgress]]</f>
        <v>0</v>
      </c>
      <c r="EF7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2" s="38" t="str">
        <f aca="false">IF(AND(Tasks[[#This Row],[_IsLeaf]]=1,N(Tasks[[#This Row],[Duration]])=0,Tasks[[#This Row],[_LeafProgress]]&lt;1),Tasks[[#This Row],[_ShownFcstFinish]]+Tasks[[#This Row],[_Row]]/100000,"")</f>
        <v/>
      </c>
      <c r="EH7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2" s="38" t="n">
        <f aca="false">IF(NOT(Tasks[[#This Row],[_IsLeaf]]=1),0,IF(Tasks[[#This Row],[Baseline Cost]]="",Tasks[[#This Row],[_LeafTotalCost]],N(Tasks[[#This Row],[Baseline Cost]])))</f>
        <v>0</v>
      </c>
      <c r="EJ72" s="38" t="n">
        <f aca="false">Tasks[[#This Row],[_LeafBudget]]*Tasks[[#This Row],[_PlannedPct]]</f>
        <v>0</v>
      </c>
      <c r="EK72" s="38" t="n">
        <f aca="false">Tasks[[#This Row],[_LeafBudget]]*Tasks[[#This Row],[_LeafProgress]]</f>
        <v>0</v>
      </c>
      <c r="EL72" s="38" t="n">
        <f aca="false">IF(NOT(Tasks[[#This Row],[_IsLeaf]]=1),0,IF(Tasks[[#This Row],[Actual Cost]]="",Tasks[[#This Row],[_LeafTotalCost]]*Tasks[[#This Row],[_LeafProgress]],N(Tasks[[#This Row],[Actual Cost]])))</f>
        <v>0</v>
      </c>
      <c r="EM72" s="38" t="str">
        <f aca="false">IF(Tasks[[#This Row],[Task Name]]="","",LEFT(Tasks[[#This Row],[WBS]],FIND(".",Tasks[[#This Row],[WBS]]&amp;".")-1))</f>
        <v/>
      </c>
      <c r="EN72" s="38" t="str">
        <f aca="false">IF(AND(Tasks[[#This Row],[Task Name]]&lt;&gt;"",Tasks[[#This Row],[_Level]]=1),Tasks[[#This Row],[_Row]],"")</f>
        <v/>
      </c>
      <c r="EO72" s="38" t="str">
        <f aca="false">IF(AND(Tasks[[#This Row],[_IsLeaf]]=1,N(Tasks[[#This Row],[Duration]])=0),Tasks[[#This Row],[Planned Finish]]+Tasks[[#This Row],[_Row]]/100000,"")</f>
        <v/>
      </c>
      <c r="EP72" s="38" t="str">
        <f aca="false">IF(AND(Tasks[[#This Row],[_IsLeaf]]=1,Tasks[[#This Row],[_LeafProgress]]&lt;1,OR(N(Tasks[[#This Row],[Finish Var]])&gt;0,Tasks[[#This Row],[Status]]="Late Start")),MAX(0,Tasks[[#This Row],[Finish Var]])+1-Tasks[[#This Row],[_Row]]/1000000,"")</f>
        <v/>
      </c>
      <c r="EQ72" s="38" t="str">
        <f aca="false">IF(AND(Tasks[[#This Row],[_IsLeaf]]=1,N(Tasks[[#This Row],[Actual Start]])=0,Tasks[[#This Row],[_ShownFcstStart]]&gt;=StatusDate,Tasks[[#This Row],[_ShownFcstStart]]&lt;=LookaheadEnd),Tasks[[#This Row],[_ShownFcstStart]]+Tasks[[#This Row],[_Row]]/100000,"")</f>
        <v/>
      </c>
      <c r="ER72" s="38" t="str">
        <f aca="false">IF(AND(Tasks[[#This Row],[_IsLeaf]]=1,Tasks[[#This Row],[_LeafProgress]]&lt;1,Tasks[[#This Row],[_ShownFcstFinish]]&gt;=StatusDate,Tasks[[#This Row],[_ShownFcstFinish]]&lt;=LookaheadEnd),Tasks[[#This Row],[_ShownFcstFinish]]+Tasks[[#This Row],[_Row]]/100000,"")</f>
        <v/>
      </c>
      <c r="ES72" s="38" t="str">
        <f aca="false">IF(Tasks[[#This Row],[_LeafCritical]],Tasks[[#This Row],[_ShownFcstStart]]+Tasks[[#This Row],[_Row]]/100000,"")</f>
        <v/>
      </c>
      <c r="ET72" s="38" t="n">
        <f aca="false">Tasks[[#This Row],[_LeafWork]]*Tasks[[#This Row],[_LeafProgress]]</f>
        <v>0</v>
      </c>
      <c r="EU72" s="115" t="str">
        <f aca="false">IF(AND(Tasks[[#This Row],[_IsLeaf]]=1,Tasks[[#This Row],[_LeafProgress]]&gt;=1),IF(N(Tasks[[#This Row],[Actual Finish]])&gt;0,Tasks[[#This Row],[Actual Finish]],Tasks[[#This Row],[_ShownFcstFinish]]),"")</f>
        <v/>
      </c>
      <c r="EV72" s="38" t="n">
        <f aca="false">IF(Tasks[[#This Row],[_IsLeaf]]=1,N(Tasks[[#This Row],[Story Points]]),0)</f>
        <v>0</v>
      </c>
      <c r="EW72" s="38" t="str">
        <f aca="false">IF(AND(Tasks[[#This Row],[_IsLeaf]]=1,CurrentSprint&lt;&gt;"",Tasks[[#This Row],[Sprint]]=CurrentSprint),Tasks[[#This Row],[_Row]],"")</f>
        <v/>
      </c>
    </row>
    <row r="73" customFormat="false" ht="15" hidden="false" customHeight="false" outlineLevel="0" collapsed="false">
      <c r="A73" s="51" t="str">
        <f aca="false">IF(Tasks[[#This Row],[Task Name]]="","",COUNTA(Tasks[[#Headers],[Task Name]]:Tasks[[#This Row],[Task Name]])-1)</f>
        <v/>
      </c>
      <c r="B73" s="52" t="n">
        <v>68</v>
      </c>
      <c r="C7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52"/>
      <c r="E73" s="53"/>
      <c r="F73" s="52"/>
      <c r="G73" s="52"/>
      <c r="H73" s="52"/>
      <c r="I73" s="52"/>
      <c r="J73" s="52"/>
      <c r="K73" s="52"/>
      <c r="L73" s="52"/>
      <c r="M73" s="52"/>
      <c r="N73" s="52"/>
      <c r="O73" s="52"/>
      <c r="P73" s="52"/>
      <c r="Q73" s="52"/>
      <c r="R73" s="52"/>
      <c r="S73" s="53"/>
      <c r="T73" s="102"/>
      <c r="U73" s="102"/>
      <c r="V73" s="7"/>
      <c r="W73" s="7"/>
      <c r="X73" s="53"/>
      <c r="Y73" s="31" t="str">
        <f aca="false">IF(Tasks[[#This Row],[Task Name]]="","",IF(Tasks[[#This Row],[_IsSummary]],MIN(INDEX(Tasks[_ShownFcstStart],Tasks[[#This Row],[_Row]]+1):INDEX(Tasks[_ShownFcstStart],Tasks[[#This Row],[_Row]]+Tasks[[#This Row],[_Descendants]])),Tasks[[#This Row],[_ShownFcstStart]]))</f>
        <v/>
      </c>
      <c r="Z73" s="31" t="str">
        <f aca="false">IF(Tasks[[#This Row],[Task Name]]="","",IF(Tasks[[#This Row],[_IsSummary]],MAX(INDEX(Tasks[_ShownFcstFinish],Tasks[[#This Row],[_Row]]+1):INDEX(Tasks[_ShownFcstFinish],Tasks[[#This Row],[_Row]]+Tasks[[#This Row],[_Descendants]])),Tasks[[#This Row],[_ShownFcstFinish]]))</f>
        <v/>
      </c>
      <c r="AA73" s="51" t="str">
        <f aca="false">IF(Tasks[[#This Row],[Task Name]]="","",IF(Tasks[[#This Row],[Progress]]&gt;=1,"Complete",IF(OR(N(Tasks[[#This Row],[Actual Start]])&gt;0,Tasks[[#This Row],[Progress]]&gt;0),IF(Tasks[[#This Row],[Finish Var]]&gt;0,"Behind","In Progress"),IF(Tasks[[#This Row],[Planned Start]]&lt;StatusDate,"Late Start","Not Started"))))</f>
        <v/>
      </c>
      <c r="AB73" s="51" t="str">
        <f aca="false">IF(Tasks[[#This Row],[Task Name]]="","",IF(IF(Tasks[[#This Row],[_IsSummary]],COUNTIF(INDEX(Tasks[_LeafCritical],Tasks[[#This Row],[_Row]]+1):INDEX(Tasks[_LeafCritical],Tasks[[#This Row],[_Row]]+Tasks[[#This Row],[_Descendants]]),TRUE())&gt;0,Tasks[[#This Row],[_LeafCritical]]),"Yes",""))</f>
        <v/>
      </c>
      <c r="AC7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3" s="51" t="str">
        <f aca="false">IF(Tasks[[#This Row],[Task Name]]="","",IF(Tasks[[#This Row],[_Level]]&lt;=OutlineShowLevel,"Yes","No"))</f>
        <v/>
      </c>
      <c r="AE73" s="7"/>
      <c r="AF73" s="52"/>
      <c r="AG73" s="53"/>
      <c r="AH73" s="7"/>
      <c r="AI7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3" s="31" t="str">
        <f aca="false">IF(Tasks[[#This Row],[Task Name]]="","",IF(N(Tasks[[#This Row],[Baseline Start]])&gt;0,Tasks[[#This Row],[Baseline Start]],Tasks[[#This Row],[_CalcStart]]))</f>
        <v/>
      </c>
      <c r="AK73" s="31" t="str">
        <f aca="false">IF(Tasks[[#This Row],[Task Name]]="","",IF(N(Tasks[[#This Row],[Baseline Finish]])&gt;0,Tasks[[#This Row],[Baseline Finish]],Tasks[[#This Row],[_CalcFinish]]))</f>
        <v/>
      </c>
      <c r="AL7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3" s="31" t="str">
        <f aca="false">IF(Tasks[[#This Row],[Task Name]]="","",IF(Tasks[[#This Row],[_IsSummary]],MIN(INDEX(Tasks[_LeafLateStart],Tasks[[#This Row],[_Row]]+1):INDEX(Tasks[_LeafLateStart],Tasks[[#This Row],[_Row]]+Tasks[[#This Row],[_Descendants]])),Tasks[[#This Row],[_LeafLateStart]]))</f>
        <v/>
      </c>
      <c r="AN73" s="31" t="str">
        <f aca="false">IF(Tasks[[#This Row],[Task Name]]="","",IF(Tasks[[#This Row],[_IsSummary]],MAX(INDEX(Tasks[_LeafLateFinish],Tasks[[#This Row],[_Row]]+1):INDEX(Tasks[_LeafLateFinish],Tasks[[#This Row],[_Row]]+Tasks[[#This Row],[_Descendants]])),Tasks[[#This Row],[_LeafLateFinish]]))</f>
        <v/>
      </c>
      <c r="AO73" s="51" t="str">
        <f aca="false">IF(Tasks[[#This Row],[Task Name]]="","",IF(Tasks[[#This Row],[_IsSummary]],MIN(INDEX(Tasks[_LeafTotalSlack],Tasks[[#This Row],[_Row]]+1):INDEX(Tasks[_LeafTotalSlack],Tasks[[#This Row],[_Row]]+Tasks[[#This Row],[_Descendants]])),Tasks[[#This Row],[_LeafTotalSlack]]))</f>
        <v/>
      </c>
      <c r="AP7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3" s="110" t="str">
        <f aca="false">IF(Tasks[[#This Row],[Task Name]]="","",IF(Tasks[[#This Row],[_IsSummary]],SUM(INDEX(Tasks[_LeafTotalWork],Tasks[[#This Row],[_Row]]+1):INDEX(Tasks[_LeafTotalWork],Tasks[[#This Row],[_Row]]+Tasks[[#This Row],[_Descendants]])),Tasks[[#This Row],[_LeafTotalWork]]))</f>
        <v/>
      </c>
      <c r="AV7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3" s="111" t="str">
        <f aca="false">IF(Tasks[[#This Row],[Task Name]]="","",IF(Tasks[[#This Row],[_IsSummary]],SUM(INDEX(Tasks[_LeafTotalCost],Tasks[[#This Row],[_Row]]+1):INDEX(Tasks[_LeafTotalCost],Tasks[[#This Row],[_Row]]+Tasks[[#This Row],[_Descendants]])),Tasks[[#This Row],[_LeafTotalCost]]))</f>
        <v/>
      </c>
      <c r="AY73" s="112"/>
      <c r="AZ7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3" s="52"/>
      <c r="BB73" s="98"/>
      <c r="BC73" s="51" t="str">
        <f aca="false">IF(OR(Tasks[[#This Row],[Task Name]]="",Tasks[[#This Row],[Baseline Duration]]=""),"",Tasks[[#This Row],[BL Source Duration]]-N(Tasks[[#This Row],[Baseline Duration]]))</f>
        <v/>
      </c>
      <c r="BD73" s="110" t="str">
        <f aca="false">IF(OR(Tasks[[#This Row],[Task Name]]="",Tasks[[#This Row],[Baseline Work]]=""),"",Tasks[[#This Row],[Work]]-N(Tasks[[#This Row],[Baseline Work]]))</f>
        <v/>
      </c>
      <c r="BE73" s="111" t="str">
        <f aca="false">IF(OR(Tasks[[#This Row],[Task Name]]="",Tasks[[#This Row],[Baseline Cost]]=""),"",Tasks[[#This Row],[Cost]]-N(Tasks[[#This Row],[Baseline Cost]]))</f>
        <v/>
      </c>
      <c r="BF73" s="31" t="str">
        <f aca="false">IF(Tasks[[#This Row],[Task Name]]="","",Tasks[[#This Row],[Forecast Start]])</f>
        <v/>
      </c>
      <c r="BG73" s="31" t="str">
        <f aca="false">IF(Tasks[[#This Row],[Task Name]]="","",Tasks[[#This Row],[Forecast Finish]])</f>
        <v/>
      </c>
      <c r="BH73" s="51" t="str">
        <f aca="false">IF(Tasks[[#This Row],[Task Name]]="","",IF(Tasks[[#This Row],[_IsSummary]],NETWORKDAYS.INTL(Tasks[[#This Row],[Forecast Start]],Tasks[[#This Row],[Forecast Finish]],WorkWeek,Holidays),N(Tasks[[#This Row],[Duration]])))</f>
        <v/>
      </c>
      <c r="BI73" s="110" t="str">
        <f aca="false">IF(Tasks[[#This Row],[Task Name]]="","",Tasks[[#This Row],[Work]])</f>
        <v/>
      </c>
      <c r="BJ73" s="111" t="str">
        <f aca="false">IF(Tasks[[#This Row],[Task Name]]="","",Tasks[[#This Row],[Cost]])</f>
        <v/>
      </c>
      <c r="BK73" s="7"/>
      <c r="BL73" s="7"/>
      <c r="BM73" s="52"/>
      <c r="BN73" s="113"/>
      <c r="BO73" s="112"/>
      <c r="BP73" s="111" t="str">
        <f aca="false">IF(Tasks[[#This Row],[Task Name]]="","",IF(Tasks[[#This Row],[_IsSummary]],SUM(INDEX(Tasks[_LeafEV],Tasks[[#This Row],[_Row]]+1):INDEX(Tasks[_LeafEV],Tasks[[#This Row],[_Row]]+Tasks[[#This Row],[_Descendants]])),Tasks[[#This Row],[_LeafEV]]))</f>
        <v/>
      </c>
      <c r="BQ73" s="111" t="str">
        <f aca="false">IF(Tasks[[#This Row],[Task Name]]="","",IF(Tasks[[#This Row],[_IsSummary]],SUM(INDEX(Tasks[_LeafBudget],Tasks[[#This Row],[_Row]]+1):INDEX(Tasks[_LeafBudget],Tasks[[#This Row],[_Row]]+Tasks[[#This Row],[_Descendants]])),Tasks[[#This Row],[_LeafBudget]]))</f>
        <v/>
      </c>
      <c r="BR73" s="111" t="str">
        <f aca="false">IF(Tasks[[#This Row],[Task Name]]="","",IF(Tasks[[#This Row],[_IsSummary]],SUM(INDEX(Tasks[_LeafPV],Tasks[[#This Row],[_Row]]+1):INDEX(Tasks[_LeafPV],Tasks[[#This Row],[_Row]]+Tasks[[#This Row],[_Descendants]])),Tasks[[#This Row],[_LeafPV]]))</f>
        <v/>
      </c>
      <c r="BS73" s="111" t="str">
        <f aca="false">IF(Tasks[[#This Row],[Task Name]]="","",IF(Tasks[[#This Row],[_IsSummary]],SUM(INDEX(Tasks[_LeafAC],Tasks[[#This Row],[_Row]]+1):INDEX(Tasks[_LeafAC],Tasks[[#This Row],[_Row]]+Tasks[[#This Row],[_Descendants]])),Tasks[[#This Row],[_LeafAC]]))</f>
        <v/>
      </c>
      <c r="BT73" s="38" t="str">
        <f aca="false">IF(Tasks[[#This Row],[Task Name]]="","",MAX(1,N(Tasks[[#This Row],[Level]])))</f>
        <v/>
      </c>
      <c r="BU73" s="38" t="n">
        <f aca="false">ROW()-ROW(Tasks[[#Headers],[ID]])</f>
        <v>68</v>
      </c>
      <c r="BV73" s="38" t="n">
        <f aca="false">IF(OR(Tasks[[#This Row],[Task Name]]="",Tasks[[#This Row],[_Level]]&lt;=1),0,IFERROR(LOOKUP(2,1/(Tasks[[#Headers],[_Level]]:Tasks[[#This Row],[_Level]]=Tasks[[#This Row],[_Level]]-1),ROW(Tasks[[#Headers],[_Level]]:Tasks[[#This Row],[_Level]])),0))</f>
        <v>0</v>
      </c>
      <c r="BW73" s="38" t="n">
        <f aca="false">IFERROR(N(INDEX(Tasks[_Level],Tasks[[#This Row],[_Row]]+1)),0)</f>
        <v>0</v>
      </c>
      <c r="BX73" s="114" t="b">
        <f aca="false">AND(Tasks[[#This Row],[Task Name]]&lt;&gt;"",Tasks[[#This Row],[_NextLevel]]&gt;Tasks[[#This Row],[_Level]])</f>
        <v>0</v>
      </c>
      <c r="BY73" s="38" t="n">
        <f aca="false">IF(Tasks[[#This Row],[_IsSummary]],COUNTIF(Tasks[WBS],Tasks[[#This Row],[WBS]]&amp;".*"),0)</f>
        <v>0</v>
      </c>
      <c r="BZ73" s="38" t="n">
        <f aca="false">IF(AND(Tasks[[#This Row],[Task Name]]&lt;&gt;"",NOT(Tasks[[#This Row],[_IsSummary]])),1,0)</f>
        <v>0</v>
      </c>
      <c r="CA73" s="38" t="n">
        <f aca="false">IF(N(Tasks[[#This Row],[Pred1 UID]])=0,0,IFERROR(MATCH(Tasks[[#This Row],[Pred1 UID]],Tasks[UID],0),-1))</f>
        <v>0</v>
      </c>
      <c r="CB73" s="38" t="n">
        <f aca="false">IF(N(Tasks[[#This Row],[Pred2 UID]])=0,0,IFERROR(MATCH(Tasks[[#This Row],[Pred2 UID]],Tasks[UID],0),-1))</f>
        <v>0</v>
      </c>
      <c r="CC73" s="38" t="n">
        <f aca="false">IF(N(Tasks[[#This Row],[Pred3 UID]])=0,0,IFERROR(MATCH(Tasks[[#This Row],[Pred3 UID]],Tasks[UID],0),-1))</f>
        <v>0</v>
      </c>
      <c r="CD73" s="38" t="n">
        <f aca="false">IF(N(Tasks[[#This Row],[Pred4 UID]])=0,0,IFERROR(MATCH(Tasks[[#This Row],[Pred4 UID]],Tasks[UID],0),-1))</f>
        <v>0</v>
      </c>
      <c r="CE7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3" s="115" t="n">
        <f aca="false">IF(OR(Tasks[[#This Row],[_ConstraintCode]]=2,Tasks[[#This Row],[_ConstraintCode]]=3,Tasks[[#This Row],[_ConstraintCode]]=4,Tasks[[#This Row],[_ConstraintCode]]=6),Tasks[[#This Row],[_ConstraintStart]],0)</f>
        <v>0</v>
      </c>
      <c r="CH73" s="115" t="n">
        <f aca="false">IF(OR(Tasks[[#This Row],[_ConstraintCode]]=2,Tasks[[#This Row],[_ConstraintCode]]=3,Tasks[[#This Row],[_ConstraintCode]]=5,Tasks[[#This Row],[_ConstraintCode]]=7),Tasks[[#This Row],[_ConstraintStart]],2958465)</f>
        <v>2958465</v>
      </c>
      <c r="CI7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3" s="115" t="str">
        <f aca="false">IF(NOT(Tasks[[#This Row],[_IsLeaf]]=1),"",IF(N(Tasks[[#This Row],[Duration]])&lt;=0,Tasks[[#This Row],[_LeafCalcStart]],WORKDAY.INTL(Tasks[[#This Row],[_LeafCalcStart]],Tasks[[#This Row],[Duration]]-1,WorkWeek,Holidays)))</f>
        <v/>
      </c>
      <c r="CK7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3" s="38" t="n">
        <f aca="false">IF(NOT(Tasks[[#This Row],[_IsLeaf]]=1),0,IF(N(Tasks[[#This Row],[Actual Finish]])&gt;0,1,MIN(1,N(Tasks[[#This Row],[% Complete]]))))</f>
        <v>0</v>
      </c>
      <c r="CN73" s="38" t="n">
        <f aca="false">IF(OR(NOT(Tasks[[#This Row],[_IsLeaf]]=1),Tasks[[#This Row],[Resource]]=""),0,N(Tasks[[#This Row],[Duration]])*HoursPerDay*IF(Tasks[[#This Row],[Units]]="",DefaultUnits,Tasks[[#This Row],[Units]]))</f>
        <v>0</v>
      </c>
      <c r="CO73" s="38" t="n">
        <f aca="false">IF(Tasks[[#This Row],[_LeafWork]]=0,0,Tasks[[#This Row],[_LeafWork]]*IFERROR(INDEX(res_Rate,MATCH(Tasks[[#This Row],[Resource]],res_Name,0)),0))</f>
        <v>0</v>
      </c>
      <c r="CP73" s="38" t="n">
        <f aca="false">Tasks[[#This Row],[_LeafWork]]+IF(Tasks[[#This Row],[_IsLeaf]]=1,SUMIFS(asg_Work,asg_TaskUID,Tasks[[#This Row],[UID]],asg_Valid,1),0)</f>
        <v>0</v>
      </c>
      <c r="CQ73" s="38" t="n">
        <f aca="false">Tasks[[#This Row],[_LeafCost]]+IF(Tasks[[#This Row],[_IsLeaf]]=1,SUMIFS(asg_Cost,asg_TaskUID,Tasks[[#This Row],[UID]],asg_Valid,1),0)</f>
        <v>0</v>
      </c>
      <c r="CR73" s="38" t="n">
        <f aca="false">IF(Tasks[[#This Row],[_LeafTotalCost]]=0,Tasks[[#This Row],[_LeafAC]],Tasks[[#This Row],[_LeafAC]]*Tasks[[#This Row],[_LeafCost]]/Tasks[[#This Row],[_LeafTotalCost]])</f>
        <v>0</v>
      </c>
      <c r="CS7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3" s="38" t="n">
        <f aca="false">IF(NOT(Tasks[[#This Row],[_IsLeaf]]=1),0,MAX(_xlfn.MAXIFS(Tasks[_Row],Tasks[Pred1 UID],Tasks[[#This Row],[UID]]),_xlfn.MAXIFS(Tasks[_Row],Tasks[Pred2 UID],Tasks[[#This Row],[UID]]),_xlfn.MAXIFS(Tasks[_Row],Tasks[Pred3 UID],Tasks[[#This Row],[UID]]),_xlfn.MAXIFS(Tasks[_Row],Tasks[Pred4 UID],Tasks[[#This Row],[UID]])))</f>
        <v>0</v>
      </c>
      <c r="DB7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3" s="115" t="str">
        <f aca="false">IF(NOT(Tasks[[#This Row],[_IsLeaf]]=1),"",IF(N(Tasks[[#This Row],[Duration]])&lt;=0,Tasks[[#This Row],[_LeafLateFinish]],WORKDAY.INTL(Tasks[[#This Row],[_LeafLateFinish]],-(Tasks[[#This Row],[Duration]]-1),WorkWeek,Holidays)))</f>
        <v/>
      </c>
      <c r="DE7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3" s="114" t="b">
        <f aca="false">AND(Tasks[[#This Row],[_IsLeaf]]=1,Tasks[[#This Row],[_LeafProgress]]&lt;1,N(Tasks[[#This Row],[_LeafTotalSlack]])&lt;=CriticalSlackDays)</f>
        <v>0</v>
      </c>
      <c r="DG73" s="38" t="n">
        <f aca="false">IF(AND(Tasks[[#This Row],[_IsLeaf]]=1,Tasks[[#This Row],[_ConstraintCode]]=1,Tasks[[#This Row],[Mode]]&lt;&gt;"Manual",N(Tasks[[#This Row],[Actual Start]])=0),MAX(0,N(Tasks[[#This Row],[Free Slack]])),0)</f>
        <v>0</v>
      </c>
      <c r="DH73" s="115" t="str">
        <f aca="false">IF(NOT(Tasks[[#This Row],[_IsLeaf]]=1),"",IF(Tasks[[#This Row],[_AlapShift]]=0,Tasks[[#This Row],[_LeafCalcStart]],WORKDAY.INTL(Tasks[[#This Row],[_LeafCalcStart]],Tasks[[#This Row],[_AlapShift]],WorkWeek,Holidays)))</f>
        <v/>
      </c>
      <c r="DI73" s="115" t="str">
        <f aca="false">IF(NOT(Tasks[[#This Row],[_IsLeaf]]=1),"",IF(Tasks[[#This Row],[_AlapShift]]=0,Tasks[[#This Row],[_LeafCalcFinish]],WORKDAY.INTL(Tasks[[#This Row],[_LeafCalcFinish]],Tasks[[#This Row],[_AlapShift]],WorkWeek,Holidays)))</f>
        <v/>
      </c>
      <c r="DJ73" s="115" t="str">
        <f aca="false">IF(NOT(Tasks[[#This Row],[_IsLeaf]]=1),"",IF(Tasks[[#This Row],[_AlapShift]]=0,Tasks[[#This Row],[_LeafFcstStart]],WORKDAY.INTL(Tasks[[#This Row],[_LeafFcstStart]],Tasks[[#This Row],[_AlapShift]],WorkWeek,Holidays)))</f>
        <v/>
      </c>
      <c r="DK73" s="115" t="str">
        <f aca="false">IF(NOT(Tasks[[#This Row],[_IsLeaf]]=1),"",IF(Tasks[[#This Row],[_AlapShift]]=0,Tasks[[#This Row],[_LeafFcstFinish]],WORKDAY.INTL(Tasks[[#This Row],[_LeafFcstFinish]],Tasks[[#This Row],[_AlapShift]],WorkWeek,Holidays)))</f>
        <v/>
      </c>
      <c r="DL73" s="115" t="str">
        <f aca="false">IF(Tasks[[#This Row],[Task Name]]="","",IF(Tasks[[#This Row],[_IsSummary]],MIN(INDEX(Tasks[_ShownCalcStart],Tasks[[#This Row],[_Row]]+1):INDEX(Tasks[_ShownCalcStart],Tasks[[#This Row],[_Row]]+Tasks[[#This Row],[_Descendants]])),Tasks[[#This Row],[_ShownCalcStart]]))</f>
        <v/>
      </c>
      <c r="DM73" s="115" t="str">
        <f aca="false">IF(Tasks[[#This Row],[Task Name]]="","",IF(Tasks[[#This Row],[_IsSummary]],MAX(INDEX(Tasks[_ShownCalcFinish],Tasks[[#This Row],[_Row]]+1):INDEX(Tasks[_ShownCalcFinish],Tasks[[#This Row],[_Row]]+Tasks[[#This Row],[_Descendants]])),Tasks[[#This Row],[_ShownCalcFinish]]))</f>
        <v/>
      </c>
      <c r="DN7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3" s="38" t="n">
        <f aca="false">IF(AND(Tasks[[#This Row],[_IsLeaf]]=1,Tasks[[#This Row],[_LeafTotalWork]]&gt;0),NETWORKDAYS.INTL(ProjectStart,Tasks[[#This Row],[_ShownFcstStart]],WorkWeek,Holidays),0)</f>
        <v>0</v>
      </c>
      <c r="EA73" s="38" t="n">
        <f aca="false">IF(AND(Tasks[[#This Row],[_IsLeaf]]=1,Tasks[[#This Row],[_LeafTotalWork]]&gt;0),MAX(Tasks[[#This Row],[_StartWorkday]],NETWORKDAYS.INTL(ProjectStart,Tasks[[#This Row],[_ShownFcstFinish]],WorkWeek,Holidays)),0)</f>
        <v>0</v>
      </c>
      <c r="EB73" s="38" t="n">
        <f aca="false">IF(AND(Tasks[[#This Row],[_IsLeaf]]=1,Tasks[[#This Row],[_LeafTotalWork]]&gt;0),Tasks[[#This Row],[_LeafWork]]/(Tasks[[#This Row],[_FinishWorkday]]-Tasks[[#This Row],[_StartWorkday]]+1),0)</f>
        <v>0</v>
      </c>
      <c r="EC73" s="38" t="n">
        <f aca="false">Tasks[[#This Row],[_WorkPerWorkday]]*(Tasks[[#This Row],[_StartWorkday]]-1)</f>
        <v>-0</v>
      </c>
      <c r="ED73" s="38" t="n">
        <f aca="false">IF(Tasks[[#This Row],[_IsLeaf]]=1,MAX(N(Tasks[[#This Row],[Duration]]),0.1),0)</f>
        <v>0</v>
      </c>
      <c r="EE73" s="38" t="n">
        <f aca="false">Tasks[[#This Row],[_WeightDur]]*Tasks[[#This Row],[_LeafProgress]]</f>
        <v>0</v>
      </c>
      <c r="EF7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3" s="38" t="str">
        <f aca="false">IF(AND(Tasks[[#This Row],[_IsLeaf]]=1,N(Tasks[[#This Row],[Duration]])=0,Tasks[[#This Row],[_LeafProgress]]&lt;1),Tasks[[#This Row],[_ShownFcstFinish]]+Tasks[[#This Row],[_Row]]/100000,"")</f>
        <v/>
      </c>
      <c r="EH7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3" s="38" t="n">
        <f aca="false">IF(NOT(Tasks[[#This Row],[_IsLeaf]]=1),0,IF(Tasks[[#This Row],[Baseline Cost]]="",Tasks[[#This Row],[_LeafTotalCost]],N(Tasks[[#This Row],[Baseline Cost]])))</f>
        <v>0</v>
      </c>
      <c r="EJ73" s="38" t="n">
        <f aca="false">Tasks[[#This Row],[_LeafBudget]]*Tasks[[#This Row],[_PlannedPct]]</f>
        <v>0</v>
      </c>
      <c r="EK73" s="38" t="n">
        <f aca="false">Tasks[[#This Row],[_LeafBudget]]*Tasks[[#This Row],[_LeafProgress]]</f>
        <v>0</v>
      </c>
      <c r="EL73" s="38" t="n">
        <f aca="false">IF(NOT(Tasks[[#This Row],[_IsLeaf]]=1),0,IF(Tasks[[#This Row],[Actual Cost]]="",Tasks[[#This Row],[_LeafTotalCost]]*Tasks[[#This Row],[_LeafProgress]],N(Tasks[[#This Row],[Actual Cost]])))</f>
        <v>0</v>
      </c>
      <c r="EM73" s="38" t="str">
        <f aca="false">IF(Tasks[[#This Row],[Task Name]]="","",LEFT(Tasks[[#This Row],[WBS]],FIND(".",Tasks[[#This Row],[WBS]]&amp;".")-1))</f>
        <v/>
      </c>
      <c r="EN73" s="38" t="str">
        <f aca="false">IF(AND(Tasks[[#This Row],[Task Name]]&lt;&gt;"",Tasks[[#This Row],[_Level]]=1),Tasks[[#This Row],[_Row]],"")</f>
        <v/>
      </c>
      <c r="EO73" s="38" t="str">
        <f aca="false">IF(AND(Tasks[[#This Row],[_IsLeaf]]=1,N(Tasks[[#This Row],[Duration]])=0),Tasks[[#This Row],[Planned Finish]]+Tasks[[#This Row],[_Row]]/100000,"")</f>
        <v/>
      </c>
      <c r="EP73" s="38" t="str">
        <f aca="false">IF(AND(Tasks[[#This Row],[_IsLeaf]]=1,Tasks[[#This Row],[_LeafProgress]]&lt;1,OR(N(Tasks[[#This Row],[Finish Var]])&gt;0,Tasks[[#This Row],[Status]]="Late Start")),MAX(0,Tasks[[#This Row],[Finish Var]])+1-Tasks[[#This Row],[_Row]]/1000000,"")</f>
        <v/>
      </c>
      <c r="EQ73" s="38" t="str">
        <f aca="false">IF(AND(Tasks[[#This Row],[_IsLeaf]]=1,N(Tasks[[#This Row],[Actual Start]])=0,Tasks[[#This Row],[_ShownFcstStart]]&gt;=StatusDate,Tasks[[#This Row],[_ShownFcstStart]]&lt;=LookaheadEnd),Tasks[[#This Row],[_ShownFcstStart]]+Tasks[[#This Row],[_Row]]/100000,"")</f>
        <v/>
      </c>
      <c r="ER73" s="38" t="str">
        <f aca="false">IF(AND(Tasks[[#This Row],[_IsLeaf]]=1,Tasks[[#This Row],[_LeafProgress]]&lt;1,Tasks[[#This Row],[_ShownFcstFinish]]&gt;=StatusDate,Tasks[[#This Row],[_ShownFcstFinish]]&lt;=LookaheadEnd),Tasks[[#This Row],[_ShownFcstFinish]]+Tasks[[#This Row],[_Row]]/100000,"")</f>
        <v/>
      </c>
      <c r="ES73" s="38" t="str">
        <f aca="false">IF(Tasks[[#This Row],[_LeafCritical]],Tasks[[#This Row],[_ShownFcstStart]]+Tasks[[#This Row],[_Row]]/100000,"")</f>
        <v/>
      </c>
      <c r="ET73" s="38" t="n">
        <f aca="false">Tasks[[#This Row],[_LeafWork]]*Tasks[[#This Row],[_LeafProgress]]</f>
        <v>0</v>
      </c>
      <c r="EU73" s="115" t="str">
        <f aca="false">IF(AND(Tasks[[#This Row],[_IsLeaf]]=1,Tasks[[#This Row],[_LeafProgress]]&gt;=1),IF(N(Tasks[[#This Row],[Actual Finish]])&gt;0,Tasks[[#This Row],[Actual Finish]],Tasks[[#This Row],[_ShownFcstFinish]]),"")</f>
        <v/>
      </c>
      <c r="EV73" s="38" t="n">
        <f aca="false">IF(Tasks[[#This Row],[_IsLeaf]]=1,N(Tasks[[#This Row],[Story Points]]),0)</f>
        <v>0</v>
      </c>
      <c r="EW73" s="38" t="str">
        <f aca="false">IF(AND(Tasks[[#This Row],[_IsLeaf]]=1,CurrentSprint&lt;&gt;"",Tasks[[#This Row],[Sprint]]=CurrentSprint),Tasks[[#This Row],[_Row]],"")</f>
        <v/>
      </c>
    </row>
    <row r="74" customFormat="false" ht="15" hidden="false" customHeight="false" outlineLevel="0" collapsed="false">
      <c r="A74" s="51" t="str">
        <f aca="false">IF(Tasks[[#This Row],[Task Name]]="","",COUNTA(Tasks[[#Headers],[Task Name]]:Tasks[[#This Row],[Task Name]])-1)</f>
        <v/>
      </c>
      <c r="B74" s="52" t="n">
        <v>69</v>
      </c>
      <c r="C7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52"/>
      <c r="E74" s="53"/>
      <c r="F74" s="52"/>
      <c r="G74" s="52"/>
      <c r="H74" s="52"/>
      <c r="I74" s="52"/>
      <c r="J74" s="52"/>
      <c r="K74" s="52"/>
      <c r="L74" s="52"/>
      <c r="M74" s="52"/>
      <c r="N74" s="52"/>
      <c r="O74" s="52"/>
      <c r="P74" s="52"/>
      <c r="Q74" s="52"/>
      <c r="R74" s="52"/>
      <c r="S74" s="53"/>
      <c r="T74" s="102"/>
      <c r="U74" s="102"/>
      <c r="V74" s="7"/>
      <c r="W74" s="7"/>
      <c r="X74" s="53"/>
      <c r="Y74" s="31" t="str">
        <f aca="false">IF(Tasks[[#This Row],[Task Name]]="","",IF(Tasks[[#This Row],[_IsSummary]],MIN(INDEX(Tasks[_ShownFcstStart],Tasks[[#This Row],[_Row]]+1):INDEX(Tasks[_ShownFcstStart],Tasks[[#This Row],[_Row]]+Tasks[[#This Row],[_Descendants]])),Tasks[[#This Row],[_ShownFcstStart]]))</f>
        <v/>
      </c>
      <c r="Z74" s="31" t="str">
        <f aca="false">IF(Tasks[[#This Row],[Task Name]]="","",IF(Tasks[[#This Row],[_IsSummary]],MAX(INDEX(Tasks[_ShownFcstFinish],Tasks[[#This Row],[_Row]]+1):INDEX(Tasks[_ShownFcstFinish],Tasks[[#This Row],[_Row]]+Tasks[[#This Row],[_Descendants]])),Tasks[[#This Row],[_ShownFcstFinish]]))</f>
        <v/>
      </c>
      <c r="AA74" s="51" t="str">
        <f aca="false">IF(Tasks[[#This Row],[Task Name]]="","",IF(Tasks[[#This Row],[Progress]]&gt;=1,"Complete",IF(OR(N(Tasks[[#This Row],[Actual Start]])&gt;0,Tasks[[#This Row],[Progress]]&gt;0),IF(Tasks[[#This Row],[Finish Var]]&gt;0,"Behind","In Progress"),IF(Tasks[[#This Row],[Planned Start]]&lt;StatusDate,"Late Start","Not Started"))))</f>
        <v/>
      </c>
      <c r="AB74" s="51" t="str">
        <f aca="false">IF(Tasks[[#This Row],[Task Name]]="","",IF(IF(Tasks[[#This Row],[_IsSummary]],COUNTIF(INDEX(Tasks[_LeafCritical],Tasks[[#This Row],[_Row]]+1):INDEX(Tasks[_LeafCritical],Tasks[[#This Row],[_Row]]+Tasks[[#This Row],[_Descendants]]),TRUE())&gt;0,Tasks[[#This Row],[_LeafCritical]]),"Yes",""))</f>
        <v/>
      </c>
      <c r="AC7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4" s="51" t="str">
        <f aca="false">IF(Tasks[[#This Row],[Task Name]]="","",IF(Tasks[[#This Row],[_Level]]&lt;=OutlineShowLevel,"Yes","No"))</f>
        <v/>
      </c>
      <c r="AE74" s="7"/>
      <c r="AF74" s="52"/>
      <c r="AG74" s="53"/>
      <c r="AH74" s="7"/>
      <c r="AI7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4" s="31" t="str">
        <f aca="false">IF(Tasks[[#This Row],[Task Name]]="","",IF(N(Tasks[[#This Row],[Baseline Start]])&gt;0,Tasks[[#This Row],[Baseline Start]],Tasks[[#This Row],[_CalcStart]]))</f>
        <v/>
      </c>
      <c r="AK74" s="31" t="str">
        <f aca="false">IF(Tasks[[#This Row],[Task Name]]="","",IF(N(Tasks[[#This Row],[Baseline Finish]])&gt;0,Tasks[[#This Row],[Baseline Finish]],Tasks[[#This Row],[_CalcFinish]]))</f>
        <v/>
      </c>
      <c r="AL7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4" s="31" t="str">
        <f aca="false">IF(Tasks[[#This Row],[Task Name]]="","",IF(Tasks[[#This Row],[_IsSummary]],MIN(INDEX(Tasks[_LeafLateStart],Tasks[[#This Row],[_Row]]+1):INDEX(Tasks[_LeafLateStart],Tasks[[#This Row],[_Row]]+Tasks[[#This Row],[_Descendants]])),Tasks[[#This Row],[_LeafLateStart]]))</f>
        <v/>
      </c>
      <c r="AN74" s="31" t="str">
        <f aca="false">IF(Tasks[[#This Row],[Task Name]]="","",IF(Tasks[[#This Row],[_IsSummary]],MAX(INDEX(Tasks[_LeafLateFinish],Tasks[[#This Row],[_Row]]+1):INDEX(Tasks[_LeafLateFinish],Tasks[[#This Row],[_Row]]+Tasks[[#This Row],[_Descendants]])),Tasks[[#This Row],[_LeafLateFinish]]))</f>
        <v/>
      </c>
      <c r="AO74" s="51" t="str">
        <f aca="false">IF(Tasks[[#This Row],[Task Name]]="","",IF(Tasks[[#This Row],[_IsSummary]],MIN(INDEX(Tasks[_LeafTotalSlack],Tasks[[#This Row],[_Row]]+1):INDEX(Tasks[_LeafTotalSlack],Tasks[[#This Row],[_Row]]+Tasks[[#This Row],[_Descendants]])),Tasks[[#This Row],[_LeafTotalSlack]]))</f>
        <v/>
      </c>
      <c r="AP7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4" s="110" t="str">
        <f aca="false">IF(Tasks[[#This Row],[Task Name]]="","",IF(Tasks[[#This Row],[_IsSummary]],SUM(INDEX(Tasks[_LeafTotalWork],Tasks[[#This Row],[_Row]]+1):INDEX(Tasks[_LeafTotalWork],Tasks[[#This Row],[_Row]]+Tasks[[#This Row],[_Descendants]])),Tasks[[#This Row],[_LeafTotalWork]]))</f>
        <v/>
      </c>
      <c r="AV7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4" s="111" t="str">
        <f aca="false">IF(Tasks[[#This Row],[Task Name]]="","",IF(Tasks[[#This Row],[_IsSummary]],SUM(INDEX(Tasks[_LeafTotalCost],Tasks[[#This Row],[_Row]]+1):INDEX(Tasks[_LeafTotalCost],Tasks[[#This Row],[_Row]]+Tasks[[#This Row],[_Descendants]])),Tasks[[#This Row],[_LeafTotalCost]]))</f>
        <v/>
      </c>
      <c r="AY74" s="112"/>
      <c r="AZ7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4" s="52"/>
      <c r="BB74" s="98"/>
      <c r="BC74" s="51" t="str">
        <f aca="false">IF(OR(Tasks[[#This Row],[Task Name]]="",Tasks[[#This Row],[Baseline Duration]]=""),"",Tasks[[#This Row],[BL Source Duration]]-N(Tasks[[#This Row],[Baseline Duration]]))</f>
        <v/>
      </c>
      <c r="BD74" s="110" t="str">
        <f aca="false">IF(OR(Tasks[[#This Row],[Task Name]]="",Tasks[[#This Row],[Baseline Work]]=""),"",Tasks[[#This Row],[Work]]-N(Tasks[[#This Row],[Baseline Work]]))</f>
        <v/>
      </c>
      <c r="BE74" s="111" t="str">
        <f aca="false">IF(OR(Tasks[[#This Row],[Task Name]]="",Tasks[[#This Row],[Baseline Cost]]=""),"",Tasks[[#This Row],[Cost]]-N(Tasks[[#This Row],[Baseline Cost]]))</f>
        <v/>
      </c>
      <c r="BF74" s="31" t="str">
        <f aca="false">IF(Tasks[[#This Row],[Task Name]]="","",Tasks[[#This Row],[Forecast Start]])</f>
        <v/>
      </c>
      <c r="BG74" s="31" t="str">
        <f aca="false">IF(Tasks[[#This Row],[Task Name]]="","",Tasks[[#This Row],[Forecast Finish]])</f>
        <v/>
      </c>
      <c r="BH74" s="51" t="str">
        <f aca="false">IF(Tasks[[#This Row],[Task Name]]="","",IF(Tasks[[#This Row],[_IsSummary]],NETWORKDAYS.INTL(Tasks[[#This Row],[Forecast Start]],Tasks[[#This Row],[Forecast Finish]],WorkWeek,Holidays),N(Tasks[[#This Row],[Duration]])))</f>
        <v/>
      </c>
      <c r="BI74" s="110" t="str">
        <f aca="false">IF(Tasks[[#This Row],[Task Name]]="","",Tasks[[#This Row],[Work]])</f>
        <v/>
      </c>
      <c r="BJ74" s="111" t="str">
        <f aca="false">IF(Tasks[[#This Row],[Task Name]]="","",Tasks[[#This Row],[Cost]])</f>
        <v/>
      </c>
      <c r="BK74" s="7"/>
      <c r="BL74" s="7"/>
      <c r="BM74" s="52"/>
      <c r="BN74" s="113"/>
      <c r="BO74" s="112"/>
      <c r="BP74" s="111" t="str">
        <f aca="false">IF(Tasks[[#This Row],[Task Name]]="","",IF(Tasks[[#This Row],[_IsSummary]],SUM(INDEX(Tasks[_LeafEV],Tasks[[#This Row],[_Row]]+1):INDEX(Tasks[_LeafEV],Tasks[[#This Row],[_Row]]+Tasks[[#This Row],[_Descendants]])),Tasks[[#This Row],[_LeafEV]]))</f>
        <v/>
      </c>
      <c r="BQ74" s="111" t="str">
        <f aca="false">IF(Tasks[[#This Row],[Task Name]]="","",IF(Tasks[[#This Row],[_IsSummary]],SUM(INDEX(Tasks[_LeafBudget],Tasks[[#This Row],[_Row]]+1):INDEX(Tasks[_LeafBudget],Tasks[[#This Row],[_Row]]+Tasks[[#This Row],[_Descendants]])),Tasks[[#This Row],[_LeafBudget]]))</f>
        <v/>
      </c>
      <c r="BR74" s="111" t="str">
        <f aca="false">IF(Tasks[[#This Row],[Task Name]]="","",IF(Tasks[[#This Row],[_IsSummary]],SUM(INDEX(Tasks[_LeafPV],Tasks[[#This Row],[_Row]]+1):INDEX(Tasks[_LeafPV],Tasks[[#This Row],[_Row]]+Tasks[[#This Row],[_Descendants]])),Tasks[[#This Row],[_LeafPV]]))</f>
        <v/>
      </c>
      <c r="BS74" s="111" t="str">
        <f aca="false">IF(Tasks[[#This Row],[Task Name]]="","",IF(Tasks[[#This Row],[_IsSummary]],SUM(INDEX(Tasks[_LeafAC],Tasks[[#This Row],[_Row]]+1):INDEX(Tasks[_LeafAC],Tasks[[#This Row],[_Row]]+Tasks[[#This Row],[_Descendants]])),Tasks[[#This Row],[_LeafAC]]))</f>
        <v/>
      </c>
      <c r="BT74" s="38" t="str">
        <f aca="false">IF(Tasks[[#This Row],[Task Name]]="","",MAX(1,N(Tasks[[#This Row],[Level]])))</f>
        <v/>
      </c>
      <c r="BU74" s="38" t="n">
        <f aca="false">ROW()-ROW(Tasks[[#Headers],[ID]])</f>
        <v>69</v>
      </c>
      <c r="BV74" s="38" t="n">
        <f aca="false">IF(OR(Tasks[[#This Row],[Task Name]]="",Tasks[[#This Row],[_Level]]&lt;=1),0,IFERROR(LOOKUP(2,1/(Tasks[[#Headers],[_Level]]:Tasks[[#This Row],[_Level]]=Tasks[[#This Row],[_Level]]-1),ROW(Tasks[[#Headers],[_Level]]:Tasks[[#This Row],[_Level]])),0))</f>
        <v>0</v>
      </c>
      <c r="BW74" s="38" t="n">
        <f aca="false">IFERROR(N(INDEX(Tasks[_Level],Tasks[[#This Row],[_Row]]+1)),0)</f>
        <v>0</v>
      </c>
      <c r="BX74" s="114" t="b">
        <f aca="false">AND(Tasks[[#This Row],[Task Name]]&lt;&gt;"",Tasks[[#This Row],[_NextLevel]]&gt;Tasks[[#This Row],[_Level]])</f>
        <v>0</v>
      </c>
      <c r="BY74" s="38" t="n">
        <f aca="false">IF(Tasks[[#This Row],[_IsSummary]],COUNTIF(Tasks[WBS],Tasks[[#This Row],[WBS]]&amp;".*"),0)</f>
        <v>0</v>
      </c>
      <c r="BZ74" s="38" t="n">
        <f aca="false">IF(AND(Tasks[[#This Row],[Task Name]]&lt;&gt;"",NOT(Tasks[[#This Row],[_IsSummary]])),1,0)</f>
        <v>0</v>
      </c>
      <c r="CA74" s="38" t="n">
        <f aca="false">IF(N(Tasks[[#This Row],[Pred1 UID]])=0,0,IFERROR(MATCH(Tasks[[#This Row],[Pred1 UID]],Tasks[UID],0),-1))</f>
        <v>0</v>
      </c>
      <c r="CB74" s="38" t="n">
        <f aca="false">IF(N(Tasks[[#This Row],[Pred2 UID]])=0,0,IFERROR(MATCH(Tasks[[#This Row],[Pred2 UID]],Tasks[UID],0),-1))</f>
        <v>0</v>
      </c>
      <c r="CC74" s="38" t="n">
        <f aca="false">IF(N(Tasks[[#This Row],[Pred3 UID]])=0,0,IFERROR(MATCH(Tasks[[#This Row],[Pred3 UID]],Tasks[UID],0),-1))</f>
        <v>0</v>
      </c>
      <c r="CD74" s="38" t="n">
        <f aca="false">IF(N(Tasks[[#This Row],[Pred4 UID]])=0,0,IFERROR(MATCH(Tasks[[#This Row],[Pred4 UID]],Tasks[UID],0),-1))</f>
        <v>0</v>
      </c>
      <c r="CE7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4" s="115" t="n">
        <f aca="false">IF(OR(Tasks[[#This Row],[_ConstraintCode]]=2,Tasks[[#This Row],[_ConstraintCode]]=3,Tasks[[#This Row],[_ConstraintCode]]=4,Tasks[[#This Row],[_ConstraintCode]]=6),Tasks[[#This Row],[_ConstraintStart]],0)</f>
        <v>0</v>
      </c>
      <c r="CH74" s="115" t="n">
        <f aca="false">IF(OR(Tasks[[#This Row],[_ConstraintCode]]=2,Tasks[[#This Row],[_ConstraintCode]]=3,Tasks[[#This Row],[_ConstraintCode]]=5,Tasks[[#This Row],[_ConstraintCode]]=7),Tasks[[#This Row],[_ConstraintStart]],2958465)</f>
        <v>2958465</v>
      </c>
      <c r="CI7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4" s="115" t="str">
        <f aca="false">IF(NOT(Tasks[[#This Row],[_IsLeaf]]=1),"",IF(N(Tasks[[#This Row],[Duration]])&lt;=0,Tasks[[#This Row],[_LeafCalcStart]],WORKDAY.INTL(Tasks[[#This Row],[_LeafCalcStart]],Tasks[[#This Row],[Duration]]-1,WorkWeek,Holidays)))</f>
        <v/>
      </c>
      <c r="CK7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4" s="38" t="n">
        <f aca="false">IF(NOT(Tasks[[#This Row],[_IsLeaf]]=1),0,IF(N(Tasks[[#This Row],[Actual Finish]])&gt;0,1,MIN(1,N(Tasks[[#This Row],[% Complete]]))))</f>
        <v>0</v>
      </c>
      <c r="CN74" s="38" t="n">
        <f aca="false">IF(OR(NOT(Tasks[[#This Row],[_IsLeaf]]=1),Tasks[[#This Row],[Resource]]=""),0,N(Tasks[[#This Row],[Duration]])*HoursPerDay*IF(Tasks[[#This Row],[Units]]="",DefaultUnits,Tasks[[#This Row],[Units]]))</f>
        <v>0</v>
      </c>
      <c r="CO74" s="38" t="n">
        <f aca="false">IF(Tasks[[#This Row],[_LeafWork]]=0,0,Tasks[[#This Row],[_LeafWork]]*IFERROR(INDEX(res_Rate,MATCH(Tasks[[#This Row],[Resource]],res_Name,0)),0))</f>
        <v>0</v>
      </c>
      <c r="CP74" s="38" t="n">
        <f aca="false">Tasks[[#This Row],[_LeafWork]]+IF(Tasks[[#This Row],[_IsLeaf]]=1,SUMIFS(asg_Work,asg_TaskUID,Tasks[[#This Row],[UID]],asg_Valid,1),0)</f>
        <v>0</v>
      </c>
      <c r="CQ74" s="38" t="n">
        <f aca="false">Tasks[[#This Row],[_LeafCost]]+IF(Tasks[[#This Row],[_IsLeaf]]=1,SUMIFS(asg_Cost,asg_TaskUID,Tasks[[#This Row],[UID]],asg_Valid,1),0)</f>
        <v>0</v>
      </c>
      <c r="CR74" s="38" t="n">
        <f aca="false">IF(Tasks[[#This Row],[_LeafTotalCost]]=0,Tasks[[#This Row],[_LeafAC]],Tasks[[#This Row],[_LeafAC]]*Tasks[[#This Row],[_LeafCost]]/Tasks[[#This Row],[_LeafTotalCost]])</f>
        <v>0</v>
      </c>
      <c r="CS7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4" s="38" t="n">
        <f aca="false">IF(NOT(Tasks[[#This Row],[_IsLeaf]]=1),0,MAX(_xlfn.MAXIFS(Tasks[_Row],Tasks[Pred1 UID],Tasks[[#This Row],[UID]]),_xlfn.MAXIFS(Tasks[_Row],Tasks[Pred2 UID],Tasks[[#This Row],[UID]]),_xlfn.MAXIFS(Tasks[_Row],Tasks[Pred3 UID],Tasks[[#This Row],[UID]]),_xlfn.MAXIFS(Tasks[_Row],Tasks[Pred4 UID],Tasks[[#This Row],[UID]])))</f>
        <v>0</v>
      </c>
      <c r="DB7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4" s="115" t="str">
        <f aca="false">IF(NOT(Tasks[[#This Row],[_IsLeaf]]=1),"",IF(N(Tasks[[#This Row],[Duration]])&lt;=0,Tasks[[#This Row],[_LeafLateFinish]],WORKDAY.INTL(Tasks[[#This Row],[_LeafLateFinish]],-(Tasks[[#This Row],[Duration]]-1),WorkWeek,Holidays)))</f>
        <v/>
      </c>
      <c r="DE7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4" s="114" t="b">
        <f aca="false">AND(Tasks[[#This Row],[_IsLeaf]]=1,Tasks[[#This Row],[_LeafProgress]]&lt;1,N(Tasks[[#This Row],[_LeafTotalSlack]])&lt;=CriticalSlackDays)</f>
        <v>0</v>
      </c>
      <c r="DG74" s="38" t="n">
        <f aca="false">IF(AND(Tasks[[#This Row],[_IsLeaf]]=1,Tasks[[#This Row],[_ConstraintCode]]=1,Tasks[[#This Row],[Mode]]&lt;&gt;"Manual",N(Tasks[[#This Row],[Actual Start]])=0),MAX(0,N(Tasks[[#This Row],[Free Slack]])),0)</f>
        <v>0</v>
      </c>
      <c r="DH74" s="115" t="str">
        <f aca="false">IF(NOT(Tasks[[#This Row],[_IsLeaf]]=1),"",IF(Tasks[[#This Row],[_AlapShift]]=0,Tasks[[#This Row],[_LeafCalcStart]],WORKDAY.INTL(Tasks[[#This Row],[_LeafCalcStart]],Tasks[[#This Row],[_AlapShift]],WorkWeek,Holidays)))</f>
        <v/>
      </c>
      <c r="DI74" s="115" t="str">
        <f aca="false">IF(NOT(Tasks[[#This Row],[_IsLeaf]]=1),"",IF(Tasks[[#This Row],[_AlapShift]]=0,Tasks[[#This Row],[_LeafCalcFinish]],WORKDAY.INTL(Tasks[[#This Row],[_LeafCalcFinish]],Tasks[[#This Row],[_AlapShift]],WorkWeek,Holidays)))</f>
        <v/>
      </c>
      <c r="DJ74" s="115" t="str">
        <f aca="false">IF(NOT(Tasks[[#This Row],[_IsLeaf]]=1),"",IF(Tasks[[#This Row],[_AlapShift]]=0,Tasks[[#This Row],[_LeafFcstStart]],WORKDAY.INTL(Tasks[[#This Row],[_LeafFcstStart]],Tasks[[#This Row],[_AlapShift]],WorkWeek,Holidays)))</f>
        <v/>
      </c>
      <c r="DK74" s="115" t="str">
        <f aca="false">IF(NOT(Tasks[[#This Row],[_IsLeaf]]=1),"",IF(Tasks[[#This Row],[_AlapShift]]=0,Tasks[[#This Row],[_LeafFcstFinish]],WORKDAY.INTL(Tasks[[#This Row],[_LeafFcstFinish]],Tasks[[#This Row],[_AlapShift]],WorkWeek,Holidays)))</f>
        <v/>
      </c>
      <c r="DL74" s="115" t="str">
        <f aca="false">IF(Tasks[[#This Row],[Task Name]]="","",IF(Tasks[[#This Row],[_IsSummary]],MIN(INDEX(Tasks[_ShownCalcStart],Tasks[[#This Row],[_Row]]+1):INDEX(Tasks[_ShownCalcStart],Tasks[[#This Row],[_Row]]+Tasks[[#This Row],[_Descendants]])),Tasks[[#This Row],[_ShownCalcStart]]))</f>
        <v/>
      </c>
      <c r="DM74" s="115" t="str">
        <f aca="false">IF(Tasks[[#This Row],[Task Name]]="","",IF(Tasks[[#This Row],[_IsSummary]],MAX(INDEX(Tasks[_ShownCalcFinish],Tasks[[#This Row],[_Row]]+1):INDEX(Tasks[_ShownCalcFinish],Tasks[[#This Row],[_Row]]+Tasks[[#This Row],[_Descendants]])),Tasks[[#This Row],[_ShownCalcFinish]]))</f>
        <v/>
      </c>
      <c r="DN7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4" s="38" t="n">
        <f aca="false">IF(AND(Tasks[[#This Row],[_IsLeaf]]=1,Tasks[[#This Row],[_LeafTotalWork]]&gt;0),NETWORKDAYS.INTL(ProjectStart,Tasks[[#This Row],[_ShownFcstStart]],WorkWeek,Holidays),0)</f>
        <v>0</v>
      </c>
      <c r="EA74" s="38" t="n">
        <f aca="false">IF(AND(Tasks[[#This Row],[_IsLeaf]]=1,Tasks[[#This Row],[_LeafTotalWork]]&gt;0),MAX(Tasks[[#This Row],[_StartWorkday]],NETWORKDAYS.INTL(ProjectStart,Tasks[[#This Row],[_ShownFcstFinish]],WorkWeek,Holidays)),0)</f>
        <v>0</v>
      </c>
      <c r="EB74" s="38" t="n">
        <f aca="false">IF(AND(Tasks[[#This Row],[_IsLeaf]]=1,Tasks[[#This Row],[_LeafTotalWork]]&gt;0),Tasks[[#This Row],[_LeafWork]]/(Tasks[[#This Row],[_FinishWorkday]]-Tasks[[#This Row],[_StartWorkday]]+1),0)</f>
        <v>0</v>
      </c>
      <c r="EC74" s="38" t="n">
        <f aca="false">Tasks[[#This Row],[_WorkPerWorkday]]*(Tasks[[#This Row],[_StartWorkday]]-1)</f>
        <v>-0</v>
      </c>
      <c r="ED74" s="38" t="n">
        <f aca="false">IF(Tasks[[#This Row],[_IsLeaf]]=1,MAX(N(Tasks[[#This Row],[Duration]]),0.1),0)</f>
        <v>0</v>
      </c>
      <c r="EE74" s="38" t="n">
        <f aca="false">Tasks[[#This Row],[_WeightDur]]*Tasks[[#This Row],[_LeafProgress]]</f>
        <v>0</v>
      </c>
      <c r="EF7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4" s="38" t="str">
        <f aca="false">IF(AND(Tasks[[#This Row],[_IsLeaf]]=1,N(Tasks[[#This Row],[Duration]])=0,Tasks[[#This Row],[_LeafProgress]]&lt;1),Tasks[[#This Row],[_ShownFcstFinish]]+Tasks[[#This Row],[_Row]]/100000,"")</f>
        <v/>
      </c>
      <c r="EH7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4" s="38" t="n">
        <f aca="false">IF(NOT(Tasks[[#This Row],[_IsLeaf]]=1),0,IF(Tasks[[#This Row],[Baseline Cost]]="",Tasks[[#This Row],[_LeafTotalCost]],N(Tasks[[#This Row],[Baseline Cost]])))</f>
        <v>0</v>
      </c>
      <c r="EJ74" s="38" t="n">
        <f aca="false">Tasks[[#This Row],[_LeafBudget]]*Tasks[[#This Row],[_PlannedPct]]</f>
        <v>0</v>
      </c>
      <c r="EK74" s="38" t="n">
        <f aca="false">Tasks[[#This Row],[_LeafBudget]]*Tasks[[#This Row],[_LeafProgress]]</f>
        <v>0</v>
      </c>
      <c r="EL74" s="38" t="n">
        <f aca="false">IF(NOT(Tasks[[#This Row],[_IsLeaf]]=1),0,IF(Tasks[[#This Row],[Actual Cost]]="",Tasks[[#This Row],[_LeafTotalCost]]*Tasks[[#This Row],[_LeafProgress]],N(Tasks[[#This Row],[Actual Cost]])))</f>
        <v>0</v>
      </c>
      <c r="EM74" s="38" t="str">
        <f aca="false">IF(Tasks[[#This Row],[Task Name]]="","",LEFT(Tasks[[#This Row],[WBS]],FIND(".",Tasks[[#This Row],[WBS]]&amp;".")-1))</f>
        <v/>
      </c>
      <c r="EN74" s="38" t="str">
        <f aca="false">IF(AND(Tasks[[#This Row],[Task Name]]&lt;&gt;"",Tasks[[#This Row],[_Level]]=1),Tasks[[#This Row],[_Row]],"")</f>
        <v/>
      </c>
      <c r="EO74" s="38" t="str">
        <f aca="false">IF(AND(Tasks[[#This Row],[_IsLeaf]]=1,N(Tasks[[#This Row],[Duration]])=0),Tasks[[#This Row],[Planned Finish]]+Tasks[[#This Row],[_Row]]/100000,"")</f>
        <v/>
      </c>
      <c r="EP74" s="38" t="str">
        <f aca="false">IF(AND(Tasks[[#This Row],[_IsLeaf]]=1,Tasks[[#This Row],[_LeafProgress]]&lt;1,OR(N(Tasks[[#This Row],[Finish Var]])&gt;0,Tasks[[#This Row],[Status]]="Late Start")),MAX(0,Tasks[[#This Row],[Finish Var]])+1-Tasks[[#This Row],[_Row]]/1000000,"")</f>
        <v/>
      </c>
      <c r="EQ74" s="38" t="str">
        <f aca="false">IF(AND(Tasks[[#This Row],[_IsLeaf]]=1,N(Tasks[[#This Row],[Actual Start]])=0,Tasks[[#This Row],[_ShownFcstStart]]&gt;=StatusDate,Tasks[[#This Row],[_ShownFcstStart]]&lt;=LookaheadEnd),Tasks[[#This Row],[_ShownFcstStart]]+Tasks[[#This Row],[_Row]]/100000,"")</f>
        <v/>
      </c>
      <c r="ER74" s="38" t="str">
        <f aca="false">IF(AND(Tasks[[#This Row],[_IsLeaf]]=1,Tasks[[#This Row],[_LeafProgress]]&lt;1,Tasks[[#This Row],[_ShownFcstFinish]]&gt;=StatusDate,Tasks[[#This Row],[_ShownFcstFinish]]&lt;=LookaheadEnd),Tasks[[#This Row],[_ShownFcstFinish]]+Tasks[[#This Row],[_Row]]/100000,"")</f>
        <v/>
      </c>
      <c r="ES74" s="38" t="str">
        <f aca="false">IF(Tasks[[#This Row],[_LeafCritical]],Tasks[[#This Row],[_ShownFcstStart]]+Tasks[[#This Row],[_Row]]/100000,"")</f>
        <v/>
      </c>
      <c r="ET74" s="38" t="n">
        <f aca="false">Tasks[[#This Row],[_LeafWork]]*Tasks[[#This Row],[_LeafProgress]]</f>
        <v>0</v>
      </c>
      <c r="EU74" s="115" t="str">
        <f aca="false">IF(AND(Tasks[[#This Row],[_IsLeaf]]=1,Tasks[[#This Row],[_LeafProgress]]&gt;=1),IF(N(Tasks[[#This Row],[Actual Finish]])&gt;0,Tasks[[#This Row],[Actual Finish]],Tasks[[#This Row],[_ShownFcstFinish]]),"")</f>
        <v/>
      </c>
      <c r="EV74" s="38" t="n">
        <f aca="false">IF(Tasks[[#This Row],[_IsLeaf]]=1,N(Tasks[[#This Row],[Story Points]]),0)</f>
        <v>0</v>
      </c>
      <c r="EW74" s="38" t="str">
        <f aca="false">IF(AND(Tasks[[#This Row],[_IsLeaf]]=1,CurrentSprint&lt;&gt;"",Tasks[[#This Row],[Sprint]]=CurrentSprint),Tasks[[#This Row],[_Row]],"")</f>
        <v/>
      </c>
    </row>
    <row r="75" customFormat="false" ht="15" hidden="false" customHeight="false" outlineLevel="0" collapsed="false">
      <c r="A75" s="51" t="str">
        <f aca="false">IF(Tasks[[#This Row],[Task Name]]="","",COUNTA(Tasks[[#Headers],[Task Name]]:Tasks[[#This Row],[Task Name]])-1)</f>
        <v/>
      </c>
      <c r="B75" s="52" t="n">
        <v>70</v>
      </c>
      <c r="C7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52"/>
      <c r="E75" s="53"/>
      <c r="F75" s="52"/>
      <c r="G75" s="52"/>
      <c r="H75" s="52"/>
      <c r="I75" s="52"/>
      <c r="J75" s="52"/>
      <c r="K75" s="52"/>
      <c r="L75" s="52"/>
      <c r="M75" s="52"/>
      <c r="N75" s="52"/>
      <c r="O75" s="52"/>
      <c r="P75" s="52"/>
      <c r="Q75" s="52"/>
      <c r="R75" s="52"/>
      <c r="S75" s="53"/>
      <c r="T75" s="102"/>
      <c r="U75" s="102"/>
      <c r="V75" s="7"/>
      <c r="W75" s="7"/>
      <c r="X75" s="53"/>
      <c r="Y75" s="31" t="str">
        <f aca="false">IF(Tasks[[#This Row],[Task Name]]="","",IF(Tasks[[#This Row],[_IsSummary]],MIN(INDEX(Tasks[_ShownFcstStart],Tasks[[#This Row],[_Row]]+1):INDEX(Tasks[_ShownFcstStart],Tasks[[#This Row],[_Row]]+Tasks[[#This Row],[_Descendants]])),Tasks[[#This Row],[_ShownFcstStart]]))</f>
        <v/>
      </c>
      <c r="Z75" s="31" t="str">
        <f aca="false">IF(Tasks[[#This Row],[Task Name]]="","",IF(Tasks[[#This Row],[_IsSummary]],MAX(INDEX(Tasks[_ShownFcstFinish],Tasks[[#This Row],[_Row]]+1):INDEX(Tasks[_ShownFcstFinish],Tasks[[#This Row],[_Row]]+Tasks[[#This Row],[_Descendants]])),Tasks[[#This Row],[_ShownFcstFinish]]))</f>
        <v/>
      </c>
      <c r="AA75" s="51" t="str">
        <f aca="false">IF(Tasks[[#This Row],[Task Name]]="","",IF(Tasks[[#This Row],[Progress]]&gt;=1,"Complete",IF(OR(N(Tasks[[#This Row],[Actual Start]])&gt;0,Tasks[[#This Row],[Progress]]&gt;0),IF(Tasks[[#This Row],[Finish Var]]&gt;0,"Behind","In Progress"),IF(Tasks[[#This Row],[Planned Start]]&lt;StatusDate,"Late Start","Not Started"))))</f>
        <v/>
      </c>
      <c r="AB75" s="51" t="str">
        <f aca="false">IF(Tasks[[#This Row],[Task Name]]="","",IF(IF(Tasks[[#This Row],[_IsSummary]],COUNTIF(INDEX(Tasks[_LeafCritical],Tasks[[#This Row],[_Row]]+1):INDEX(Tasks[_LeafCritical],Tasks[[#This Row],[_Row]]+Tasks[[#This Row],[_Descendants]]),TRUE())&gt;0,Tasks[[#This Row],[_LeafCritical]]),"Yes",""))</f>
        <v/>
      </c>
      <c r="AC7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5" s="51" t="str">
        <f aca="false">IF(Tasks[[#This Row],[Task Name]]="","",IF(Tasks[[#This Row],[_Level]]&lt;=OutlineShowLevel,"Yes","No"))</f>
        <v/>
      </c>
      <c r="AE75" s="7"/>
      <c r="AF75" s="52"/>
      <c r="AG75" s="53"/>
      <c r="AH75" s="7"/>
      <c r="AI7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5" s="31" t="str">
        <f aca="false">IF(Tasks[[#This Row],[Task Name]]="","",IF(N(Tasks[[#This Row],[Baseline Start]])&gt;0,Tasks[[#This Row],[Baseline Start]],Tasks[[#This Row],[_CalcStart]]))</f>
        <v/>
      </c>
      <c r="AK75" s="31" t="str">
        <f aca="false">IF(Tasks[[#This Row],[Task Name]]="","",IF(N(Tasks[[#This Row],[Baseline Finish]])&gt;0,Tasks[[#This Row],[Baseline Finish]],Tasks[[#This Row],[_CalcFinish]]))</f>
        <v/>
      </c>
      <c r="AL7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5" s="31" t="str">
        <f aca="false">IF(Tasks[[#This Row],[Task Name]]="","",IF(Tasks[[#This Row],[_IsSummary]],MIN(INDEX(Tasks[_LeafLateStart],Tasks[[#This Row],[_Row]]+1):INDEX(Tasks[_LeafLateStart],Tasks[[#This Row],[_Row]]+Tasks[[#This Row],[_Descendants]])),Tasks[[#This Row],[_LeafLateStart]]))</f>
        <v/>
      </c>
      <c r="AN75" s="31" t="str">
        <f aca="false">IF(Tasks[[#This Row],[Task Name]]="","",IF(Tasks[[#This Row],[_IsSummary]],MAX(INDEX(Tasks[_LeafLateFinish],Tasks[[#This Row],[_Row]]+1):INDEX(Tasks[_LeafLateFinish],Tasks[[#This Row],[_Row]]+Tasks[[#This Row],[_Descendants]])),Tasks[[#This Row],[_LeafLateFinish]]))</f>
        <v/>
      </c>
      <c r="AO75" s="51" t="str">
        <f aca="false">IF(Tasks[[#This Row],[Task Name]]="","",IF(Tasks[[#This Row],[_IsSummary]],MIN(INDEX(Tasks[_LeafTotalSlack],Tasks[[#This Row],[_Row]]+1):INDEX(Tasks[_LeafTotalSlack],Tasks[[#This Row],[_Row]]+Tasks[[#This Row],[_Descendants]])),Tasks[[#This Row],[_LeafTotalSlack]]))</f>
        <v/>
      </c>
      <c r="AP7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5" s="110" t="str">
        <f aca="false">IF(Tasks[[#This Row],[Task Name]]="","",IF(Tasks[[#This Row],[_IsSummary]],SUM(INDEX(Tasks[_LeafTotalWork],Tasks[[#This Row],[_Row]]+1):INDEX(Tasks[_LeafTotalWork],Tasks[[#This Row],[_Row]]+Tasks[[#This Row],[_Descendants]])),Tasks[[#This Row],[_LeafTotalWork]]))</f>
        <v/>
      </c>
      <c r="AV7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5" s="111" t="str">
        <f aca="false">IF(Tasks[[#This Row],[Task Name]]="","",IF(Tasks[[#This Row],[_IsSummary]],SUM(INDEX(Tasks[_LeafTotalCost],Tasks[[#This Row],[_Row]]+1):INDEX(Tasks[_LeafTotalCost],Tasks[[#This Row],[_Row]]+Tasks[[#This Row],[_Descendants]])),Tasks[[#This Row],[_LeafTotalCost]]))</f>
        <v/>
      </c>
      <c r="AY75" s="112"/>
      <c r="AZ7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5" s="52"/>
      <c r="BB75" s="98"/>
      <c r="BC75" s="51" t="str">
        <f aca="false">IF(OR(Tasks[[#This Row],[Task Name]]="",Tasks[[#This Row],[Baseline Duration]]=""),"",Tasks[[#This Row],[BL Source Duration]]-N(Tasks[[#This Row],[Baseline Duration]]))</f>
        <v/>
      </c>
      <c r="BD75" s="110" t="str">
        <f aca="false">IF(OR(Tasks[[#This Row],[Task Name]]="",Tasks[[#This Row],[Baseline Work]]=""),"",Tasks[[#This Row],[Work]]-N(Tasks[[#This Row],[Baseline Work]]))</f>
        <v/>
      </c>
      <c r="BE75" s="111" t="str">
        <f aca="false">IF(OR(Tasks[[#This Row],[Task Name]]="",Tasks[[#This Row],[Baseline Cost]]=""),"",Tasks[[#This Row],[Cost]]-N(Tasks[[#This Row],[Baseline Cost]]))</f>
        <v/>
      </c>
      <c r="BF75" s="31" t="str">
        <f aca="false">IF(Tasks[[#This Row],[Task Name]]="","",Tasks[[#This Row],[Forecast Start]])</f>
        <v/>
      </c>
      <c r="BG75" s="31" t="str">
        <f aca="false">IF(Tasks[[#This Row],[Task Name]]="","",Tasks[[#This Row],[Forecast Finish]])</f>
        <v/>
      </c>
      <c r="BH75" s="51" t="str">
        <f aca="false">IF(Tasks[[#This Row],[Task Name]]="","",IF(Tasks[[#This Row],[_IsSummary]],NETWORKDAYS.INTL(Tasks[[#This Row],[Forecast Start]],Tasks[[#This Row],[Forecast Finish]],WorkWeek,Holidays),N(Tasks[[#This Row],[Duration]])))</f>
        <v/>
      </c>
      <c r="BI75" s="110" t="str">
        <f aca="false">IF(Tasks[[#This Row],[Task Name]]="","",Tasks[[#This Row],[Work]])</f>
        <v/>
      </c>
      <c r="BJ75" s="111" t="str">
        <f aca="false">IF(Tasks[[#This Row],[Task Name]]="","",Tasks[[#This Row],[Cost]])</f>
        <v/>
      </c>
      <c r="BK75" s="7"/>
      <c r="BL75" s="7"/>
      <c r="BM75" s="52"/>
      <c r="BN75" s="113"/>
      <c r="BO75" s="112"/>
      <c r="BP75" s="111" t="str">
        <f aca="false">IF(Tasks[[#This Row],[Task Name]]="","",IF(Tasks[[#This Row],[_IsSummary]],SUM(INDEX(Tasks[_LeafEV],Tasks[[#This Row],[_Row]]+1):INDEX(Tasks[_LeafEV],Tasks[[#This Row],[_Row]]+Tasks[[#This Row],[_Descendants]])),Tasks[[#This Row],[_LeafEV]]))</f>
        <v/>
      </c>
      <c r="BQ75" s="111" t="str">
        <f aca="false">IF(Tasks[[#This Row],[Task Name]]="","",IF(Tasks[[#This Row],[_IsSummary]],SUM(INDEX(Tasks[_LeafBudget],Tasks[[#This Row],[_Row]]+1):INDEX(Tasks[_LeafBudget],Tasks[[#This Row],[_Row]]+Tasks[[#This Row],[_Descendants]])),Tasks[[#This Row],[_LeafBudget]]))</f>
        <v/>
      </c>
      <c r="BR75" s="111" t="str">
        <f aca="false">IF(Tasks[[#This Row],[Task Name]]="","",IF(Tasks[[#This Row],[_IsSummary]],SUM(INDEX(Tasks[_LeafPV],Tasks[[#This Row],[_Row]]+1):INDEX(Tasks[_LeafPV],Tasks[[#This Row],[_Row]]+Tasks[[#This Row],[_Descendants]])),Tasks[[#This Row],[_LeafPV]]))</f>
        <v/>
      </c>
      <c r="BS75" s="111" t="str">
        <f aca="false">IF(Tasks[[#This Row],[Task Name]]="","",IF(Tasks[[#This Row],[_IsSummary]],SUM(INDEX(Tasks[_LeafAC],Tasks[[#This Row],[_Row]]+1):INDEX(Tasks[_LeafAC],Tasks[[#This Row],[_Row]]+Tasks[[#This Row],[_Descendants]])),Tasks[[#This Row],[_LeafAC]]))</f>
        <v/>
      </c>
      <c r="BT75" s="38" t="str">
        <f aca="false">IF(Tasks[[#This Row],[Task Name]]="","",MAX(1,N(Tasks[[#This Row],[Level]])))</f>
        <v/>
      </c>
      <c r="BU75" s="38" t="n">
        <f aca="false">ROW()-ROW(Tasks[[#Headers],[ID]])</f>
        <v>70</v>
      </c>
      <c r="BV75" s="38" t="n">
        <f aca="false">IF(OR(Tasks[[#This Row],[Task Name]]="",Tasks[[#This Row],[_Level]]&lt;=1),0,IFERROR(LOOKUP(2,1/(Tasks[[#Headers],[_Level]]:Tasks[[#This Row],[_Level]]=Tasks[[#This Row],[_Level]]-1),ROW(Tasks[[#Headers],[_Level]]:Tasks[[#This Row],[_Level]])),0))</f>
        <v>0</v>
      </c>
      <c r="BW75" s="38" t="n">
        <f aca="false">IFERROR(N(INDEX(Tasks[_Level],Tasks[[#This Row],[_Row]]+1)),0)</f>
        <v>0</v>
      </c>
      <c r="BX75" s="114" t="b">
        <f aca="false">AND(Tasks[[#This Row],[Task Name]]&lt;&gt;"",Tasks[[#This Row],[_NextLevel]]&gt;Tasks[[#This Row],[_Level]])</f>
        <v>0</v>
      </c>
      <c r="BY75" s="38" t="n">
        <f aca="false">IF(Tasks[[#This Row],[_IsSummary]],COUNTIF(Tasks[WBS],Tasks[[#This Row],[WBS]]&amp;".*"),0)</f>
        <v>0</v>
      </c>
      <c r="BZ75" s="38" t="n">
        <f aca="false">IF(AND(Tasks[[#This Row],[Task Name]]&lt;&gt;"",NOT(Tasks[[#This Row],[_IsSummary]])),1,0)</f>
        <v>0</v>
      </c>
      <c r="CA75" s="38" t="n">
        <f aca="false">IF(N(Tasks[[#This Row],[Pred1 UID]])=0,0,IFERROR(MATCH(Tasks[[#This Row],[Pred1 UID]],Tasks[UID],0),-1))</f>
        <v>0</v>
      </c>
      <c r="CB75" s="38" t="n">
        <f aca="false">IF(N(Tasks[[#This Row],[Pred2 UID]])=0,0,IFERROR(MATCH(Tasks[[#This Row],[Pred2 UID]],Tasks[UID],0),-1))</f>
        <v>0</v>
      </c>
      <c r="CC75" s="38" t="n">
        <f aca="false">IF(N(Tasks[[#This Row],[Pred3 UID]])=0,0,IFERROR(MATCH(Tasks[[#This Row],[Pred3 UID]],Tasks[UID],0),-1))</f>
        <v>0</v>
      </c>
      <c r="CD75" s="38" t="n">
        <f aca="false">IF(N(Tasks[[#This Row],[Pred4 UID]])=0,0,IFERROR(MATCH(Tasks[[#This Row],[Pred4 UID]],Tasks[UID],0),-1))</f>
        <v>0</v>
      </c>
      <c r="CE7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5" s="115" t="n">
        <f aca="false">IF(OR(Tasks[[#This Row],[_ConstraintCode]]=2,Tasks[[#This Row],[_ConstraintCode]]=3,Tasks[[#This Row],[_ConstraintCode]]=4,Tasks[[#This Row],[_ConstraintCode]]=6),Tasks[[#This Row],[_ConstraintStart]],0)</f>
        <v>0</v>
      </c>
      <c r="CH75" s="115" t="n">
        <f aca="false">IF(OR(Tasks[[#This Row],[_ConstraintCode]]=2,Tasks[[#This Row],[_ConstraintCode]]=3,Tasks[[#This Row],[_ConstraintCode]]=5,Tasks[[#This Row],[_ConstraintCode]]=7),Tasks[[#This Row],[_ConstraintStart]],2958465)</f>
        <v>2958465</v>
      </c>
      <c r="CI7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5" s="115" t="str">
        <f aca="false">IF(NOT(Tasks[[#This Row],[_IsLeaf]]=1),"",IF(N(Tasks[[#This Row],[Duration]])&lt;=0,Tasks[[#This Row],[_LeafCalcStart]],WORKDAY.INTL(Tasks[[#This Row],[_LeafCalcStart]],Tasks[[#This Row],[Duration]]-1,WorkWeek,Holidays)))</f>
        <v/>
      </c>
      <c r="CK7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5" s="38" t="n">
        <f aca="false">IF(NOT(Tasks[[#This Row],[_IsLeaf]]=1),0,IF(N(Tasks[[#This Row],[Actual Finish]])&gt;0,1,MIN(1,N(Tasks[[#This Row],[% Complete]]))))</f>
        <v>0</v>
      </c>
      <c r="CN75" s="38" t="n">
        <f aca="false">IF(OR(NOT(Tasks[[#This Row],[_IsLeaf]]=1),Tasks[[#This Row],[Resource]]=""),0,N(Tasks[[#This Row],[Duration]])*HoursPerDay*IF(Tasks[[#This Row],[Units]]="",DefaultUnits,Tasks[[#This Row],[Units]]))</f>
        <v>0</v>
      </c>
      <c r="CO75" s="38" t="n">
        <f aca="false">IF(Tasks[[#This Row],[_LeafWork]]=0,0,Tasks[[#This Row],[_LeafWork]]*IFERROR(INDEX(res_Rate,MATCH(Tasks[[#This Row],[Resource]],res_Name,0)),0))</f>
        <v>0</v>
      </c>
      <c r="CP75" s="38" t="n">
        <f aca="false">Tasks[[#This Row],[_LeafWork]]+IF(Tasks[[#This Row],[_IsLeaf]]=1,SUMIFS(asg_Work,asg_TaskUID,Tasks[[#This Row],[UID]],asg_Valid,1),0)</f>
        <v>0</v>
      </c>
      <c r="CQ75" s="38" t="n">
        <f aca="false">Tasks[[#This Row],[_LeafCost]]+IF(Tasks[[#This Row],[_IsLeaf]]=1,SUMIFS(asg_Cost,asg_TaskUID,Tasks[[#This Row],[UID]],asg_Valid,1),0)</f>
        <v>0</v>
      </c>
      <c r="CR75" s="38" t="n">
        <f aca="false">IF(Tasks[[#This Row],[_LeafTotalCost]]=0,Tasks[[#This Row],[_LeafAC]],Tasks[[#This Row],[_LeafAC]]*Tasks[[#This Row],[_LeafCost]]/Tasks[[#This Row],[_LeafTotalCost]])</f>
        <v>0</v>
      </c>
      <c r="CS7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5" s="38" t="n">
        <f aca="false">IF(NOT(Tasks[[#This Row],[_IsLeaf]]=1),0,MAX(_xlfn.MAXIFS(Tasks[_Row],Tasks[Pred1 UID],Tasks[[#This Row],[UID]]),_xlfn.MAXIFS(Tasks[_Row],Tasks[Pred2 UID],Tasks[[#This Row],[UID]]),_xlfn.MAXIFS(Tasks[_Row],Tasks[Pred3 UID],Tasks[[#This Row],[UID]]),_xlfn.MAXIFS(Tasks[_Row],Tasks[Pred4 UID],Tasks[[#This Row],[UID]])))</f>
        <v>0</v>
      </c>
      <c r="DB7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5" s="115" t="str">
        <f aca="false">IF(NOT(Tasks[[#This Row],[_IsLeaf]]=1),"",IF(N(Tasks[[#This Row],[Duration]])&lt;=0,Tasks[[#This Row],[_LeafLateFinish]],WORKDAY.INTL(Tasks[[#This Row],[_LeafLateFinish]],-(Tasks[[#This Row],[Duration]]-1),WorkWeek,Holidays)))</f>
        <v/>
      </c>
      <c r="DE7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5" s="114" t="b">
        <f aca="false">AND(Tasks[[#This Row],[_IsLeaf]]=1,Tasks[[#This Row],[_LeafProgress]]&lt;1,N(Tasks[[#This Row],[_LeafTotalSlack]])&lt;=CriticalSlackDays)</f>
        <v>0</v>
      </c>
      <c r="DG75" s="38" t="n">
        <f aca="false">IF(AND(Tasks[[#This Row],[_IsLeaf]]=1,Tasks[[#This Row],[_ConstraintCode]]=1,Tasks[[#This Row],[Mode]]&lt;&gt;"Manual",N(Tasks[[#This Row],[Actual Start]])=0),MAX(0,N(Tasks[[#This Row],[Free Slack]])),0)</f>
        <v>0</v>
      </c>
      <c r="DH75" s="115" t="str">
        <f aca="false">IF(NOT(Tasks[[#This Row],[_IsLeaf]]=1),"",IF(Tasks[[#This Row],[_AlapShift]]=0,Tasks[[#This Row],[_LeafCalcStart]],WORKDAY.INTL(Tasks[[#This Row],[_LeafCalcStart]],Tasks[[#This Row],[_AlapShift]],WorkWeek,Holidays)))</f>
        <v/>
      </c>
      <c r="DI75" s="115" t="str">
        <f aca="false">IF(NOT(Tasks[[#This Row],[_IsLeaf]]=1),"",IF(Tasks[[#This Row],[_AlapShift]]=0,Tasks[[#This Row],[_LeafCalcFinish]],WORKDAY.INTL(Tasks[[#This Row],[_LeafCalcFinish]],Tasks[[#This Row],[_AlapShift]],WorkWeek,Holidays)))</f>
        <v/>
      </c>
      <c r="DJ75" s="115" t="str">
        <f aca="false">IF(NOT(Tasks[[#This Row],[_IsLeaf]]=1),"",IF(Tasks[[#This Row],[_AlapShift]]=0,Tasks[[#This Row],[_LeafFcstStart]],WORKDAY.INTL(Tasks[[#This Row],[_LeafFcstStart]],Tasks[[#This Row],[_AlapShift]],WorkWeek,Holidays)))</f>
        <v/>
      </c>
      <c r="DK75" s="115" t="str">
        <f aca="false">IF(NOT(Tasks[[#This Row],[_IsLeaf]]=1),"",IF(Tasks[[#This Row],[_AlapShift]]=0,Tasks[[#This Row],[_LeafFcstFinish]],WORKDAY.INTL(Tasks[[#This Row],[_LeafFcstFinish]],Tasks[[#This Row],[_AlapShift]],WorkWeek,Holidays)))</f>
        <v/>
      </c>
      <c r="DL75" s="115" t="str">
        <f aca="false">IF(Tasks[[#This Row],[Task Name]]="","",IF(Tasks[[#This Row],[_IsSummary]],MIN(INDEX(Tasks[_ShownCalcStart],Tasks[[#This Row],[_Row]]+1):INDEX(Tasks[_ShownCalcStart],Tasks[[#This Row],[_Row]]+Tasks[[#This Row],[_Descendants]])),Tasks[[#This Row],[_ShownCalcStart]]))</f>
        <v/>
      </c>
      <c r="DM75" s="115" t="str">
        <f aca="false">IF(Tasks[[#This Row],[Task Name]]="","",IF(Tasks[[#This Row],[_IsSummary]],MAX(INDEX(Tasks[_ShownCalcFinish],Tasks[[#This Row],[_Row]]+1):INDEX(Tasks[_ShownCalcFinish],Tasks[[#This Row],[_Row]]+Tasks[[#This Row],[_Descendants]])),Tasks[[#This Row],[_ShownCalcFinish]]))</f>
        <v/>
      </c>
      <c r="DN7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5" s="38" t="n">
        <f aca="false">IF(AND(Tasks[[#This Row],[_IsLeaf]]=1,Tasks[[#This Row],[_LeafTotalWork]]&gt;0),NETWORKDAYS.INTL(ProjectStart,Tasks[[#This Row],[_ShownFcstStart]],WorkWeek,Holidays),0)</f>
        <v>0</v>
      </c>
      <c r="EA75" s="38" t="n">
        <f aca="false">IF(AND(Tasks[[#This Row],[_IsLeaf]]=1,Tasks[[#This Row],[_LeafTotalWork]]&gt;0),MAX(Tasks[[#This Row],[_StartWorkday]],NETWORKDAYS.INTL(ProjectStart,Tasks[[#This Row],[_ShownFcstFinish]],WorkWeek,Holidays)),0)</f>
        <v>0</v>
      </c>
      <c r="EB75" s="38" t="n">
        <f aca="false">IF(AND(Tasks[[#This Row],[_IsLeaf]]=1,Tasks[[#This Row],[_LeafTotalWork]]&gt;0),Tasks[[#This Row],[_LeafWork]]/(Tasks[[#This Row],[_FinishWorkday]]-Tasks[[#This Row],[_StartWorkday]]+1),0)</f>
        <v>0</v>
      </c>
      <c r="EC75" s="38" t="n">
        <f aca="false">Tasks[[#This Row],[_WorkPerWorkday]]*(Tasks[[#This Row],[_StartWorkday]]-1)</f>
        <v>-0</v>
      </c>
      <c r="ED75" s="38" t="n">
        <f aca="false">IF(Tasks[[#This Row],[_IsLeaf]]=1,MAX(N(Tasks[[#This Row],[Duration]]),0.1),0)</f>
        <v>0</v>
      </c>
      <c r="EE75" s="38" t="n">
        <f aca="false">Tasks[[#This Row],[_WeightDur]]*Tasks[[#This Row],[_LeafProgress]]</f>
        <v>0</v>
      </c>
      <c r="EF7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5" s="38" t="str">
        <f aca="false">IF(AND(Tasks[[#This Row],[_IsLeaf]]=1,N(Tasks[[#This Row],[Duration]])=0,Tasks[[#This Row],[_LeafProgress]]&lt;1),Tasks[[#This Row],[_ShownFcstFinish]]+Tasks[[#This Row],[_Row]]/100000,"")</f>
        <v/>
      </c>
      <c r="EH7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5" s="38" t="n">
        <f aca="false">IF(NOT(Tasks[[#This Row],[_IsLeaf]]=1),0,IF(Tasks[[#This Row],[Baseline Cost]]="",Tasks[[#This Row],[_LeafTotalCost]],N(Tasks[[#This Row],[Baseline Cost]])))</f>
        <v>0</v>
      </c>
      <c r="EJ75" s="38" t="n">
        <f aca="false">Tasks[[#This Row],[_LeafBudget]]*Tasks[[#This Row],[_PlannedPct]]</f>
        <v>0</v>
      </c>
      <c r="EK75" s="38" t="n">
        <f aca="false">Tasks[[#This Row],[_LeafBudget]]*Tasks[[#This Row],[_LeafProgress]]</f>
        <v>0</v>
      </c>
      <c r="EL75" s="38" t="n">
        <f aca="false">IF(NOT(Tasks[[#This Row],[_IsLeaf]]=1),0,IF(Tasks[[#This Row],[Actual Cost]]="",Tasks[[#This Row],[_LeafTotalCost]]*Tasks[[#This Row],[_LeafProgress]],N(Tasks[[#This Row],[Actual Cost]])))</f>
        <v>0</v>
      </c>
      <c r="EM75" s="38" t="str">
        <f aca="false">IF(Tasks[[#This Row],[Task Name]]="","",LEFT(Tasks[[#This Row],[WBS]],FIND(".",Tasks[[#This Row],[WBS]]&amp;".")-1))</f>
        <v/>
      </c>
      <c r="EN75" s="38" t="str">
        <f aca="false">IF(AND(Tasks[[#This Row],[Task Name]]&lt;&gt;"",Tasks[[#This Row],[_Level]]=1),Tasks[[#This Row],[_Row]],"")</f>
        <v/>
      </c>
      <c r="EO75" s="38" t="str">
        <f aca="false">IF(AND(Tasks[[#This Row],[_IsLeaf]]=1,N(Tasks[[#This Row],[Duration]])=0),Tasks[[#This Row],[Planned Finish]]+Tasks[[#This Row],[_Row]]/100000,"")</f>
        <v/>
      </c>
      <c r="EP75" s="38" t="str">
        <f aca="false">IF(AND(Tasks[[#This Row],[_IsLeaf]]=1,Tasks[[#This Row],[_LeafProgress]]&lt;1,OR(N(Tasks[[#This Row],[Finish Var]])&gt;0,Tasks[[#This Row],[Status]]="Late Start")),MAX(0,Tasks[[#This Row],[Finish Var]])+1-Tasks[[#This Row],[_Row]]/1000000,"")</f>
        <v/>
      </c>
      <c r="EQ75" s="38" t="str">
        <f aca="false">IF(AND(Tasks[[#This Row],[_IsLeaf]]=1,N(Tasks[[#This Row],[Actual Start]])=0,Tasks[[#This Row],[_ShownFcstStart]]&gt;=StatusDate,Tasks[[#This Row],[_ShownFcstStart]]&lt;=LookaheadEnd),Tasks[[#This Row],[_ShownFcstStart]]+Tasks[[#This Row],[_Row]]/100000,"")</f>
        <v/>
      </c>
      <c r="ER75" s="38" t="str">
        <f aca="false">IF(AND(Tasks[[#This Row],[_IsLeaf]]=1,Tasks[[#This Row],[_LeafProgress]]&lt;1,Tasks[[#This Row],[_ShownFcstFinish]]&gt;=StatusDate,Tasks[[#This Row],[_ShownFcstFinish]]&lt;=LookaheadEnd),Tasks[[#This Row],[_ShownFcstFinish]]+Tasks[[#This Row],[_Row]]/100000,"")</f>
        <v/>
      </c>
      <c r="ES75" s="38" t="str">
        <f aca="false">IF(Tasks[[#This Row],[_LeafCritical]],Tasks[[#This Row],[_ShownFcstStart]]+Tasks[[#This Row],[_Row]]/100000,"")</f>
        <v/>
      </c>
      <c r="ET75" s="38" t="n">
        <f aca="false">Tasks[[#This Row],[_LeafWork]]*Tasks[[#This Row],[_LeafProgress]]</f>
        <v>0</v>
      </c>
      <c r="EU75" s="115" t="str">
        <f aca="false">IF(AND(Tasks[[#This Row],[_IsLeaf]]=1,Tasks[[#This Row],[_LeafProgress]]&gt;=1),IF(N(Tasks[[#This Row],[Actual Finish]])&gt;0,Tasks[[#This Row],[Actual Finish]],Tasks[[#This Row],[_ShownFcstFinish]]),"")</f>
        <v/>
      </c>
      <c r="EV75" s="38" t="n">
        <f aca="false">IF(Tasks[[#This Row],[_IsLeaf]]=1,N(Tasks[[#This Row],[Story Points]]),0)</f>
        <v>0</v>
      </c>
      <c r="EW75" s="38" t="str">
        <f aca="false">IF(AND(Tasks[[#This Row],[_IsLeaf]]=1,CurrentSprint&lt;&gt;"",Tasks[[#This Row],[Sprint]]=CurrentSprint),Tasks[[#This Row],[_Row]],"")</f>
        <v/>
      </c>
    </row>
    <row r="76" customFormat="false" ht="15" hidden="false" customHeight="false" outlineLevel="0" collapsed="false">
      <c r="A76" s="51" t="str">
        <f aca="false">IF(Tasks[[#This Row],[Task Name]]="","",COUNTA(Tasks[[#Headers],[Task Name]]:Tasks[[#This Row],[Task Name]])-1)</f>
        <v/>
      </c>
      <c r="B76" s="52" t="n">
        <v>71</v>
      </c>
      <c r="C7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52"/>
      <c r="E76" s="53"/>
      <c r="F76" s="52"/>
      <c r="G76" s="52"/>
      <c r="H76" s="52"/>
      <c r="I76" s="52"/>
      <c r="J76" s="52"/>
      <c r="K76" s="52"/>
      <c r="L76" s="52"/>
      <c r="M76" s="52"/>
      <c r="N76" s="52"/>
      <c r="O76" s="52"/>
      <c r="P76" s="52"/>
      <c r="Q76" s="52"/>
      <c r="R76" s="52"/>
      <c r="S76" s="53"/>
      <c r="T76" s="102"/>
      <c r="U76" s="102"/>
      <c r="V76" s="7"/>
      <c r="W76" s="7"/>
      <c r="X76" s="53"/>
      <c r="Y76" s="31" t="str">
        <f aca="false">IF(Tasks[[#This Row],[Task Name]]="","",IF(Tasks[[#This Row],[_IsSummary]],MIN(INDEX(Tasks[_ShownFcstStart],Tasks[[#This Row],[_Row]]+1):INDEX(Tasks[_ShownFcstStart],Tasks[[#This Row],[_Row]]+Tasks[[#This Row],[_Descendants]])),Tasks[[#This Row],[_ShownFcstStart]]))</f>
        <v/>
      </c>
      <c r="Z76" s="31" t="str">
        <f aca="false">IF(Tasks[[#This Row],[Task Name]]="","",IF(Tasks[[#This Row],[_IsSummary]],MAX(INDEX(Tasks[_ShownFcstFinish],Tasks[[#This Row],[_Row]]+1):INDEX(Tasks[_ShownFcstFinish],Tasks[[#This Row],[_Row]]+Tasks[[#This Row],[_Descendants]])),Tasks[[#This Row],[_ShownFcstFinish]]))</f>
        <v/>
      </c>
      <c r="AA76" s="51" t="str">
        <f aca="false">IF(Tasks[[#This Row],[Task Name]]="","",IF(Tasks[[#This Row],[Progress]]&gt;=1,"Complete",IF(OR(N(Tasks[[#This Row],[Actual Start]])&gt;0,Tasks[[#This Row],[Progress]]&gt;0),IF(Tasks[[#This Row],[Finish Var]]&gt;0,"Behind","In Progress"),IF(Tasks[[#This Row],[Planned Start]]&lt;StatusDate,"Late Start","Not Started"))))</f>
        <v/>
      </c>
      <c r="AB76" s="51" t="str">
        <f aca="false">IF(Tasks[[#This Row],[Task Name]]="","",IF(IF(Tasks[[#This Row],[_IsSummary]],COUNTIF(INDEX(Tasks[_LeafCritical],Tasks[[#This Row],[_Row]]+1):INDEX(Tasks[_LeafCritical],Tasks[[#This Row],[_Row]]+Tasks[[#This Row],[_Descendants]]),TRUE())&gt;0,Tasks[[#This Row],[_LeafCritical]]),"Yes",""))</f>
        <v/>
      </c>
      <c r="AC7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6" s="51" t="str">
        <f aca="false">IF(Tasks[[#This Row],[Task Name]]="","",IF(Tasks[[#This Row],[_Level]]&lt;=OutlineShowLevel,"Yes","No"))</f>
        <v/>
      </c>
      <c r="AE76" s="7"/>
      <c r="AF76" s="52"/>
      <c r="AG76" s="53"/>
      <c r="AH76" s="7"/>
      <c r="AI7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6" s="31" t="str">
        <f aca="false">IF(Tasks[[#This Row],[Task Name]]="","",IF(N(Tasks[[#This Row],[Baseline Start]])&gt;0,Tasks[[#This Row],[Baseline Start]],Tasks[[#This Row],[_CalcStart]]))</f>
        <v/>
      </c>
      <c r="AK76" s="31" t="str">
        <f aca="false">IF(Tasks[[#This Row],[Task Name]]="","",IF(N(Tasks[[#This Row],[Baseline Finish]])&gt;0,Tasks[[#This Row],[Baseline Finish]],Tasks[[#This Row],[_CalcFinish]]))</f>
        <v/>
      </c>
      <c r="AL7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6" s="31" t="str">
        <f aca="false">IF(Tasks[[#This Row],[Task Name]]="","",IF(Tasks[[#This Row],[_IsSummary]],MIN(INDEX(Tasks[_LeafLateStart],Tasks[[#This Row],[_Row]]+1):INDEX(Tasks[_LeafLateStart],Tasks[[#This Row],[_Row]]+Tasks[[#This Row],[_Descendants]])),Tasks[[#This Row],[_LeafLateStart]]))</f>
        <v/>
      </c>
      <c r="AN76" s="31" t="str">
        <f aca="false">IF(Tasks[[#This Row],[Task Name]]="","",IF(Tasks[[#This Row],[_IsSummary]],MAX(INDEX(Tasks[_LeafLateFinish],Tasks[[#This Row],[_Row]]+1):INDEX(Tasks[_LeafLateFinish],Tasks[[#This Row],[_Row]]+Tasks[[#This Row],[_Descendants]])),Tasks[[#This Row],[_LeafLateFinish]]))</f>
        <v/>
      </c>
      <c r="AO76" s="51" t="str">
        <f aca="false">IF(Tasks[[#This Row],[Task Name]]="","",IF(Tasks[[#This Row],[_IsSummary]],MIN(INDEX(Tasks[_LeafTotalSlack],Tasks[[#This Row],[_Row]]+1):INDEX(Tasks[_LeafTotalSlack],Tasks[[#This Row],[_Row]]+Tasks[[#This Row],[_Descendants]])),Tasks[[#This Row],[_LeafTotalSlack]]))</f>
        <v/>
      </c>
      <c r="AP7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6" s="110" t="str">
        <f aca="false">IF(Tasks[[#This Row],[Task Name]]="","",IF(Tasks[[#This Row],[_IsSummary]],SUM(INDEX(Tasks[_LeafTotalWork],Tasks[[#This Row],[_Row]]+1):INDEX(Tasks[_LeafTotalWork],Tasks[[#This Row],[_Row]]+Tasks[[#This Row],[_Descendants]])),Tasks[[#This Row],[_LeafTotalWork]]))</f>
        <v/>
      </c>
      <c r="AV7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6" s="111" t="str">
        <f aca="false">IF(Tasks[[#This Row],[Task Name]]="","",IF(Tasks[[#This Row],[_IsSummary]],SUM(INDEX(Tasks[_LeafTotalCost],Tasks[[#This Row],[_Row]]+1):INDEX(Tasks[_LeafTotalCost],Tasks[[#This Row],[_Row]]+Tasks[[#This Row],[_Descendants]])),Tasks[[#This Row],[_LeafTotalCost]]))</f>
        <v/>
      </c>
      <c r="AY76" s="112"/>
      <c r="AZ7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6" s="52"/>
      <c r="BB76" s="98"/>
      <c r="BC76" s="51" t="str">
        <f aca="false">IF(OR(Tasks[[#This Row],[Task Name]]="",Tasks[[#This Row],[Baseline Duration]]=""),"",Tasks[[#This Row],[BL Source Duration]]-N(Tasks[[#This Row],[Baseline Duration]]))</f>
        <v/>
      </c>
      <c r="BD76" s="110" t="str">
        <f aca="false">IF(OR(Tasks[[#This Row],[Task Name]]="",Tasks[[#This Row],[Baseline Work]]=""),"",Tasks[[#This Row],[Work]]-N(Tasks[[#This Row],[Baseline Work]]))</f>
        <v/>
      </c>
      <c r="BE76" s="111" t="str">
        <f aca="false">IF(OR(Tasks[[#This Row],[Task Name]]="",Tasks[[#This Row],[Baseline Cost]]=""),"",Tasks[[#This Row],[Cost]]-N(Tasks[[#This Row],[Baseline Cost]]))</f>
        <v/>
      </c>
      <c r="BF76" s="31" t="str">
        <f aca="false">IF(Tasks[[#This Row],[Task Name]]="","",Tasks[[#This Row],[Forecast Start]])</f>
        <v/>
      </c>
      <c r="BG76" s="31" t="str">
        <f aca="false">IF(Tasks[[#This Row],[Task Name]]="","",Tasks[[#This Row],[Forecast Finish]])</f>
        <v/>
      </c>
      <c r="BH76" s="51" t="str">
        <f aca="false">IF(Tasks[[#This Row],[Task Name]]="","",IF(Tasks[[#This Row],[_IsSummary]],NETWORKDAYS.INTL(Tasks[[#This Row],[Forecast Start]],Tasks[[#This Row],[Forecast Finish]],WorkWeek,Holidays),N(Tasks[[#This Row],[Duration]])))</f>
        <v/>
      </c>
      <c r="BI76" s="110" t="str">
        <f aca="false">IF(Tasks[[#This Row],[Task Name]]="","",Tasks[[#This Row],[Work]])</f>
        <v/>
      </c>
      <c r="BJ76" s="111" t="str">
        <f aca="false">IF(Tasks[[#This Row],[Task Name]]="","",Tasks[[#This Row],[Cost]])</f>
        <v/>
      </c>
      <c r="BK76" s="7"/>
      <c r="BL76" s="7"/>
      <c r="BM76" s="52"/>
      <c r="BN76" s="113"/>
      <c r="BO76" s="112"/>
      <c r="BP76" s="111" t="str">
        <f aca="false">IF(Tasks[[#This Row],[Task Name]]="","",IF(Tasks[[#This Row],[_IsSummary]],SUM(INDEX(Tasks[_LeafEV],Tasks[[#This Row],[_Row]]+1):INDEX(Tasks[_LeafEV],Tasks[[#This Row],[_Row]]+Tasks[[#This Row],[_Descendants]])),Tasks[[#This Row],[_LeafEV]]))</f>
        <v/>
      </c>
      <c r="BQ76" s="111" t="str">
        <f aca="false">IF(Tasks[[#This Row],[Task Name]]="","",IF(Tasks[[#This Row],[_IsSummary]],SUM(INDEX(Tasks[_LeafBudget],Tasks[[#This Row],[_Row]]+1):INDEX(Tasks[_LeafBudget],Tasks[[#This Row],[_Row]]+Tasks[[#This Row],[_Descendants]])),Tasks[[#This Row],[_LeafBudget]]))</f>
        <v/>
      </c>
      <c r="BR76" s="111" t="str">
        <f aca="false">IF(Tasks[[#This Row],[Task Name]]="","",IF(Tasks[[#This Row],[_IsSummary]],SUM(INDEX(Tasks[_LeafPV],Tasks[[#This Row],[_Row]]+1):INDEX(Tasks[_LeafPV],Tasks[[#This Row],[_Row]]+Tasks[[#This Row],[_Descendants]])),Tasks[[#This Row],[_LeafPV]]))</f>
        <v/>
      </c>
      <c r="BS76" s="111" t="str">
        <f aca="false">IF(Tasks[[#This Row],[Task Name]]="","",IF(Tasks[[#This Row],[_IsSummary]],SUM(INDEX(Tasks[_LeafAC],Tasks[[#This Row],[_Row]]+1):INDEX(Tasks[_LeafAC],Tasks[[#This Row],[_Row]]+Tasks[[#This Row],[_Descendants]])),Tasks[[#This Row],[_LeafAC]]))</f>
        <v/>
      </c>
      <c r="BT76" s="38" t="str">
        <f aca="false">IF(Tasks[[#This Row],[Task Name]]="","",MAX(1,N(Tasks[[#This Row],[Level]])))</f>
        <v/>
      </c>
      <c r="BU76" s="38" t="n">
        <f aca="false">ROW()-ROW(Tasks[[#Headers],[ID]])</f>
        <v>71</v>
      </c>
      <c r="BV76" s="38" t="n">
        <f aca="false">IF(OR(Tasks[[#This Row],[Task Name]]="",Tasks[[#This Row],[_Level]]&lt;=1),0,IFERROR(LOOKUP(2,1/(Tasks[[#Headers],[_Level]]:Tasks[[#This Row],[_Level]]=Tasks[[#This Row],[_Level]]-1),ROW(Tasks[[#Headers],[_Level]]:Tasks[[#This Row],[_Level]])),0))</f>
        <v>0</v>
      </c>
      <c r="BW76" s="38" t="n">
        <f aca="false">IFERROR(N(INDEX(Tasks[_Level],Tasks[[#This Row],[_Row]]+1)),0)</f>
        <v>0</v>
      </c>
      <c r="BX76" s="114" t="b">
        <f aca="false">AND(Tasks[[#This Row],[Task Name]]&lt;&gt;"",Tasks[[#This Row],[_NextLevel]]&gt;Tasks[[#This Row],[_Level]])</f>
        <v>0</v>
      </c>
      <c r="BY76" s="38" t="n">
        <f aca="false">IF(Tasks[[#This Row],[_IsSummary]],COUNTIF(Tasks[WBS],Tasks[[#This Row],[WBS]]&amp;".*"),0)</f>
        <v>0</v>
      </c>
      <c r="BZ76" s="38" t="n">
        <f aca="false">IF(AND(Tasks[[#This Row],[Task Name]]&lt;&gt;"",NOT(Tasks[[#This Row],[_IsSummary]])),1,0)</f>
        <v>0</v>
      </c>
      <c r="CA76" s="38" t="n">
        <f aca="false">IF(N(Tasks[[#This Row],[Pred1 UID]])=0,0,IFERROR(MATCH(Tasks[[#This Row],[Pred1 UID]],Tasks[UID],0),-1))</f>
        <v>0</v>
      </c>
      <c r="CB76" s="38" t="n">
        <f aca="false">IF(N(Tasks[[#This Row],[Pred2 UID]])=0,0,IFERROR(MATCH(Tasks[[#This Row],[Pred2 UID]],Tasks[UID],0),-1))</f>
        <v>0</v>
      </c>
      <c r="CC76" s="38" t="n">
        <f aca="false">IF(N(Tasks[[#This Row],[Pred3 UID]])=0,0,IFERROR(MATCH(Tasks[[#This Row],[Pred3 UID]],Tasks[UID],0),-1))</f>
        <v>0</v>
      </c>
      <c r="CD76" s="38" t="n">
        <f aca="false">IF(N(Tasks[[#This Row],[Pred4 UID]])=0,0,IFERROR(MATCH(Tasks[[#This Row],[Pred4 UID]],Tasks[UID],0),-1))</f>
        <v>0</v>
      </c>
      <c r="CE7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6" s="115" t="n">
        <f aca="false">IF(OR(Tasks[[#This Row],[_ConstraintCode]]=2,Tasks[[#This Row],[_ConstraintCode]]=3,Tasks[[#This Row],[_ConstraintCode]]=4,Tasks[[#This Row],[_ConstraintCode]]=6),Tasks[[#This Row],[_ConstraintStart]],0)</f>
        <v>0</v>
      </c>
      <c r="CH76" s="115" t="n">
        <f aca="false">IF(OR(Tasks[[#This Row],[_ConstraintCode]]=2,Tasks[[#This Row],[_ConstraintCode]]=3,Tasks[[#This Row],[_ConstraintCode]]=5,Tasks[[#This Row],[_ConstraintCode]]=7),Tasks[[#This Row],[_ConstraintStart]],2958465)</f>
        <v>2958465</v>
      </c>
      <c r="CI7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6" s="115" t="str">
        <f aca="false">IF(NOT(Tasks[[#This Row],[_IsLeaf]]=1),"",IF(N(Tasks[[#This Row],[Duration]])&lt;=0,Tasks[[#This Row],[_LeafCalcStart]],WORKDAY.INTL(Tasks[[#This Row],[_LeafCalcStart]],Tasks[[#This Row],[Duration]]-1,WorkWeek,Holidays)))</f>
        <v/>
      </c>
      <c r="CK7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6" s="38" t="n">
        <f aca="false">IF(NOT(Tasks[[#This Row],[_IsLeaf]]=1),0,IF(N(Tasks[[#This Row],[Actual Finish]])&gt;0,1,MIN(1,N(Tasks[[#This Row],[% Complete]]))))</f>
        <v>0</v>
      </c>
      <c r="CN76" s="38" t="n">
        <f aca="false">IF(OR(NOT(Tasks[[#This Row],[_IsLeaf]]=1),Tasks[[#This Row],[Resource]]=""),0,N(Tasks[[#This Row],[Duration]])*HoursPerDay*IF(Tasks[[#This Row],[Units]]="",DefaultUnits,Tasks[[#This Row],[Units]]))</f>
        <v>0</v>
      </c>
      <c r="CO76" s="38" t="n">
        <f aca="false">IF(Tasks[[#This Row],[_LeafWork]]=0,0,Tasks[[#This Row],[_LeafWork]]*IFERROR(INDEX(res_Rate,MATCH(Tasks[[#This Row],[Resource]],res_Name,0)),0))</f>
        <v>0</v>
      </c>
      <c r="CP76" s="38" t="n">
        <f aca="false">Tasks[[#This Row],[_LeafWork]]+IF(Tasks[[#This Row],[_IsLeaf]]=1,SUMIFS(asg_Work,asg_TaskUID,Tasks[[#This Row],[UID]],asg_Valid,1),0)</f>
        <v>0</v>
      </c>
      <c r="CQ76" s="38" t="n">
        <f aca="false">Tasks[[#This Row],[_LeafCost]]+IF(Tasks[[#This Row],[_IsLeaf]]=1,SUMIFS(asg_Cost,asg_TaskUID,Tasks[[#This Row],[UID]],asg_Valid,1),0)</f>
        <v>0</v>
      </c>
      <c r="CR76" s="38" t="n">
        <f aca="false">IF(Tasks[[#This Row],[_LeafTotalCost]]=0,Tasks[[#This Row],[_LeafAC]],Tasks[[#This Row],[_LeafAC]]*Tasks[[#This Row],[_LeafCost]]/Tasks[[#This Row],[_LeafTotalCost]])</f>
        <v>0</v>
      </c>
      <c r="CS7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6" s="38" t="n">
        <f aca="false">IF(NOT(Tasks[[#This Row],[_IsLeaf]]=1),0,MAX(_xlfn.MAXIFS(Tasks[_Row],Tasks[Pred1 UID],Tasks[[#This Row],[UID]]),_xlfn.MAXIFS(Tasks[_Row],Tasks[Pred2 UID],Tasks[[#This Row],[UID]]),_xlfn.MAXIFS(Tasks[_Row],Tasks[Pred3 UID],Tasks[[#This Row],[UID]]),_xlfn.MAXIFS(Tasks[_Row],Tasks[Pred4 UID],Tasks[[#This Row],[UID]])))</f>
        <v>0</v>
      </c>
      <c r="DB7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6" s="115" t="str">
        <f aca="false">IF(NOT(Tasks[[#This Row],[_IsLeaf]]=1),"",IF(N(Tasks[[#This Row],[Duration]])&lt;=0,Tasks[[#This Row],[_LeafLateFinish]],WORKDAY.INTL(Tasks[[#This Row],[_LeafLateFinish]],-(Tasks[[#This Row],[Duration]]-1),WorkWeek,Holidays)))</f>
        <v/>
      </c>
      <c r="DE7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6" s="114" t="b">
        <f aca="false">AND(Tasks[[#This Row],[_IsLeaf]]=1,Tasks[[#This Row],[_LeafProgress]]&lt;1,N(Tasks[[#This Row],[_LeafTotalSlack]])&lt;=CriticalSlackDays)</f>
        <v>0</v>
      </c>
      <c r="DG76" s="38" t="n">
        <f aca="false">IF(AND(Tasks[[#This Row],[_IsLeaf]]=1,Tasks[[#This Row],[_ConstraintCode]]=1,Tasks[[#This Row],[Mode]]&lt;&gt;"Manual",N(Tasks[[#This Row],[Actual Start]])=0),MAX(0,N(Tasks[[#This Row],[Free Slack]])),0)</f>
        <v>0</v>
      </c>
      <c r="DH76" s="115" t="str">
        <f aca="false">IF(NOT(Tasks[[#This Row],[_IsLeaf]]=1),"",IF(Tasks[[#This Row],[_AlapShift]]=0,Tasks[[#This Row],[_LeafCalcStart]],WORKDAY.INTL(Tasks[[#This Row],[_LeafCalcStart]],Tasks[[#This Row],[_AlapShift]],WorkWeek,Holidays)))</f>
        <v/>
      </c>
      <c r="DI76" s="115" t="str">
        <f aca="false">IF(NOT(Tasks[[#This Row],[_IsLeaf]]=1),"",IF(Tasks[[#This Row],[_AlapShift]]=0,Tasks[[#This Row],[_LeafCalcFinish]],WORKDAY.INTL(Tasks[[#This Row],[_LeafCalcFinish]],Tasks[[#This Row],[_AlapShift]],WorkWeek,Holidays)))</f>
        <v/>
      </c>
      <c r="DJ76" s="115" t="str">
        <f aca="false">IF(NOT(Tasks[[#This Row],[_IsLeaf]]=1),"",IF(Tasks[[#This Row],[_AlapShift]]=0,Tasks[[#This Row],[_LeafFcstStart]],WORKDAY.INTL(Tasks[[#This Row],[_LeafFcstStart]],Tasks[[#This Row],[_AlapShift]],WorkWeek,Holidays)))</f>
        <v/>
      </c>
      <c r="DK76" s="115" t="str">
        <f aca="false">IF(NOT(Tasks[[#This Row],[_IsLeaf]]=1),"",IF(Tasks[[#This Row],[_AlapShift]]=0,Tasks[[#This Row],[_LeafFcstFinish]],WORKDAY.INTL(Tasks[[#This Row],[_LeafFcstFinish]],Tasks[[#This Row],[_AlapShift]],WorkWeek,Holidays)))</f>
        <v/>
      </c>
      <c r="DL76" s="115" t="str">
        <f aca="false">IF(Tasks[[#This Row],[Task Name]]="","",IF(Tasks[[#This Row],[_IsSummary]],MIN(INDEX(Tasks[_ShownCalcStart],Tasks[[#This Row],[_Row]]+1):INDEX(Tasks[_ShownCalcStart],Tasks[[#This Row],[_Row]]+Tasks[[#This Row],[_Descendants]])),Tasks[[#This Row],[_ShownCalcStart]]))</f>
        <v/>
      </c>
      <c r="DM76" s="115" t="str">
        <f aca="false">IF(Tasks[[#This Row],[Task Name]]="","",IF(Tasks[[#This Row],[_IsSummary]],MAX(INDEX(Tasks[_ShownCalcFinish],Tasks[[#This Row],[_Row]]+1):INDEX(Tasks[_ShownCalcFinish],Tasks[[#This Row],[_Row]]+Tasks[[#This Row],[_Descendants]])),Tasks[[#This Row],[_ShownCalcFinish]]))</f>
        <v/>
      </c>
      <c r="DN7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6" s="38" t="n">
        <f aca="false">IF(AND(Tasks[[#This Row],[_IsLeaf]]=1,Tasks[[#This Row],[_LeafTotalWork]]&gt;0),NETWORKDAYS.INTL(ProjectStart,Tasks[[#This Row],[_ShownFcstStart]],WorkWeek,Holidays),0)</f>
        <v>0</v>
      </c>
      <c r="EA76" s="38" t="n">
        <f aca="false">IF(AND(Tasks[[#This Row],[_IsLeaf]]=1,Tasks[[#This Row],[_LeafTotalWork]]&gt;0),MAX(Tasks[[#This Row],[_StartWorkday]],NETWORKDAYS.INTL(ProjectStart,Tasks[[#This Row],[_ShownFcstFinish]],WorkWeek,Holidays)),0)</f>
        <v>0</v>
      </c>
      <c r="EB76" s="38" t="n">
        <f aca="false">IF(AND(Tasks[[#This Row],[_IsLeaf]]=1,Tasks[[#This Row],[_LeafTotalWork]]&gt;0),Tasks[[#This Row],[_LeafWork]]/(Tasks[[#This Row],[_FinishWorkday]]-Tasks[[#This Row],[_StartWorkday]]+1),0)</f>
        <v>0</v>
      </c>
      <c r="EC76" s="38" t="n">
        <f aca="false">Tasks[[#This Row],[_WorkPerWorkday]]*(Tasks[[#This Row],[_StartWorkday]]-1)</f>
        <v>-0</v>
      </c>
      <c r="ED76" s="38" t="n">
        <f aca="false">IF(Tasks[[#This Row],[_IsLeaf]]=1,MAX(N(Tasks[[#This Row],[Duration]]),0.1),0)</f>
        <v>0</v>
      </c>
      <c r="EE76" s="38" t="n">
        <f aca="false">Tasks[[#This Row],[_WeightDur]]*Tasks[[#This Row],[_LeafProgress]]</f>
        <v>0</v>
      </c>
      <c r="EF7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6" s="38" t="str">
        <f aca="false">IF(AND(Tasks[[#This Row],[_IsLeaf]]=1,N(Tasks[[#This Row],[Duration]])=0,Tasks[[#This Row],[_LeafProgress]]&lt;1),Tasks[[#This Row],[_ShownFcstFinish]]+Tasks[[#This Row],[_Row]]/100000,"")</f>
        <v/>
      </c>
      <c r="EH7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6" s="38" t="n">
        <f aca="false">IF(NOT(Tasks[[#This Row],[_IsLeaf]]=1),0,IF(Tasks[[#This Row],[Baseline Cost]]="",Tasks[[#This Row],[_LeafTotalCost]],N(Tasks[[#This Row],[Baseline Cost]])))</f>
        <v>0</v>
      </c>
      <c r="EJ76" s="38" t="n">
        <f aca="false">Tasks[[#This Row],[_LeafBudget]]*Tasks[[#This Row],[_PlannedPct]]</f>
        <v>0</v>
      </c>
      <c r="EK76" s="38" t="n">
        <f aca="false">Tasks[[#This Row],[_LeafBudget]]*Tasks[[#This Row],[_LeafProgress]]</f>
        <v>0</v>
      </c>
      <c r="EL76" s="38" t="n">
        <f aca="false">IF(NOT(Tasks[[#This Row],[_IsLeaf]]=1),0,IF(Tasks[[#This Row],[Actual Cost]]="",Tasks[[#This Row],[_LeafTotalCost]]*Tasks[[#This Row],[_LeafProgress]],N(Tasks[[#This Row],[Actual Cost]])))</f>
        <v>0</v>
      </c>
      <c r="EM76" s="38" t="str">
        <f aca="false">IF(Tasks[[#This Row],[Task Name]]="","",LEFT(Tasks[[#This Row],[WBS]],FIND(".",Tasks[[#This Row],[WBS]]&amp;".")-1))</f>
        <v/>
      </c>
      <c r="EN76" s="38" t="str">
        <f aca="false">IF(AND(Tasks[[#This Row],[Task Name]]&lt;&gt;"",Tasks[[#This Row],[_Level]]=1),Tasks[[#This Row],[_Row]],"")</f>
        <v/>
      </c>
      <c r="EO76" s="38" t="str">
        <f aca="false">IF(AND(Tasks[[#This Row],[_IsLeaf]]=1,N(Tasks[[#This Row],[Duration]])=0),Tasks[[#This Row],[Planned Finish]]+Tasks[[#This Row],[_Row]]/100000,"")</f>
        <v/>
      </c>
      <c r="EP76" s="38" t="str">
        <f aca="false">IF(AND(Tasks[[#This Row],[_IsLeaf]]=1,Tasks[[#This Row],[_LeafProgress]]&lt;1,OR(N(Tasks[[#This Row],[Finish Var]])&gt;0,Tasks[[#This Row],[Status]]="Late Start")),MAX(0,Tasks[[#This Row],[Finish Var]])+1-Tasks[[#This Row],[_Row]]/1000000,"")</f>
        <v/>
      </c>
      <c r="EQ76" s="38" t="str">
        <f aca="false">IF(AND(Tasks[[#This Row],[_IsLeaf]]=1,N(Tasks[[#This Row],[Actual Start]])=0,Tasks[[#This Row],[_ShownFcstStart]]&gt;=StatusDate,Tasks[[#This Row],[_ShownFcstStart]]&lt;=LookaheadEnd),Tasks[[#This Row],[_ShownFcstStart]]+Tasks[[#This Row],[_Row]]/100000,"")</f>
        <v/>
      </c>
      <c r="ER76" s="38" t="str">
        <f aca="false">IF(AND(Tasks[[#This Row],[_IsLeaf]]=1,Tasks[[#This Row],[_LeafProgress]]&lt;1,Tasks[[#This Row],[_ShownFcstFinish]]&gt;=StatusDate,Tasks[[#This Row],[_ShownFcstFinish]]&lt;=LookaheadEnd),Tasks[[#This Row],[_ShownFcstFinish]]+Tasks[[#This Row],[_Row]]/100000,"")</f>
        <v/>
      </c>
      <c r="ES76" s="38" t="str">
        <f aca="false">IF(Tasks[[#This Row],[_LeafCritical]],Tasks[[#This Row],[_ShownFcstStart]]+Tasks[[#This Row],[_Row]]/100000,"")</f>
        <v/>
      </c>
      <c r="ET76" s="38" t="n">
        <f aca="false">Tasks[[#This Row],[_LeafWork]]*Tasks[[#This Row],[_LeafProgress]]</f>
        <v>0</v>
      </c>
      <c r="EU76" s="115" t="str">
        <f aca="false">IF(AND(Tasks[[#This Row],[_IsLeaf]]=1,Tasks[[#This Row],[_LeafProgress]]&gt;=1),IF(N(Tasks[[#This Row],[Actual Finish]])&gt;0,Tasks[[#This Row],[Actual Finish]],Tasks[[#This Row],[_ShownFcstFinish]]),"")</f>
        <v/>
      </c>
      <c r="EV76" s="38" t="n">
        <f aca="false">IF(Tasks[[#This Row],[_IsLeaf]]=1,N(Tasks[[#This Row],[Story Points]]),0)</f>
        <v>0</v>
      </c>
      <c r="EW76" s="38" t="str">
        <f aca="false">IF(AND(Tasks[[#This Row],[_IsLeaf]]=1,CurrentSprint&lt;&gt;"",Tasks[[#This Row],[Sprint]]=CurrentSprint),Tasks[[#This Row],[_Row]],"")</f>
        <v/>
      </c>
    </row>
    <row r="77" customFormat="false" ht="15" hidden="false" customHeight="false" outlineLevel="0" collapsed="false">
      <c r="A77" s="51" t="str">
        <f aca="false">IF(Tasks[[#This Row],[Task Name]]="","",COUNTA(Tasks[[#Headers],[Task Name]]:Tasks[[#This Row],[Task Name]])-1)</f>
        <v/>
      </c>
      <c r="B77" s="52" t="n">
        <v>72</v>
      </c>
      <c r="C7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52"/>
      <c r="E77" s="53"/>
      <c r="F77" s="52"/>
      <c r="G77" s="52"/>
      <c r="H77" s="52"/>
      <c r="I77" s="52"/>
      <c r="J77" s="52"/>
      <c r="K77" s="52"/>
      <c r="L77" s="52"/>
      <c r="M77" s="52"/>
      <c r="N77" s="52"/>
      <c r="O77" s="52"/>
      <c r="P77" s="52"/>
      <c r="Q77" s="52"/>
      <c r="R77" s="52"/>
      <c r="S77" s="53"/>
      <c r="T77" s="102"/>
      <c r="U77" s="102"/>
      <c r="V77" s="7"/>
      <c r="W77" s="7"/>
      <c r="X77" s="53"/>
      <c r="Y77" s="31" t="str">
        <f aca="false">IF(Tasks[[#This Row],[Task Name]]="","",IF(Tasks[[#This Row],[_IsSummary]],MIN(INDEX(Tasks[_ShownFcstStart],Tasks[[#This Row],[_Row]]+1):INDEX(Tasks[_ShownFcstStart],Tasks[[#This Row],[_Row]]+Tasks[[#This Row],[_Descendants]])),Tasks[[#This Row],[_ShownFcstStart]]))</f>
        <v/>
      </c>
      <c r="Z77" s="31" t="str">
        <f aca="false">IF(Tasks[[#This Row],[Task Name]]="","",IF(Tasks[[#This Row],[_IsSummary]],MAX(INDEX(Tasks[_ShownFcstFinish],Tasks[[#This Row],[_Row]]+1):INDEX(Tasks[_ShownFcstFinish],Tasks[[#This Row],[_Row]]+Tasks[[#This Row],[_Descendants]])),Tasks[[#This Row],[_ShownFcstFinish]]))</f>
        <v/>
      </c>
      <c r="AA77" s="51" t="str">
        <f aca="false">IF(Tasks[[#This Row],[Task Name]]="","",IF(Tasks[[#This Row],[Progress]]&gt;=1,"Complete",IF(OR(N(Tasks[[#This Row],[Actual Start]])&gt;0,Tasks[[#This Row],[Progress]]&gt;0),IF(Tasks[[#This Row],[Finish Var]]&gt;0,"Behind","In Progress"),IF(Tasks[[#This Row],[Planned Start]]&lt;StatusDate,"Late Start","Not Started"))))</f>
        <v/>
      </c>
      <c r="AB77" s="51" t="str">
        <f aca="false">IF(Tasks[[#This Row],[Task Name]]="","",IF(IF(Tasks[[#This Row],[_IsSummary]],COUNTIF(INDEX(Tasks[_LeafCritical],Tasks[[#This Row],[_Row]]+1):INDEX(Tasks[_LeafCritical],Tasks[[#This Row],[_Row]]+Tasks[[#This Row],[_Descendants]]),TRUE())&gt;0,Tasks[[#This Row],[_LeafCritical]]),"Yes",""))</f>
        <v/>
      </c>
      <c r="AC7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7" s="51" t="str">
        <f aca="false">IF(Tasks[[#This Row],[Task Name]]="","",IF(Tasks[[#This Row],[_Level]]&lt;=OutlineShowLevel,"Yes","No"))</f>
        <v/>
      </c>
      <c r="AE77" s="7"/>
      <c r="AF77" s="52"/>
      <c r="AG77" s="53"/>
      <c r="AH77" s="7"/>
      <c r="AI7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7" s="31" t="str">
        <f aca="false">IF(Tasks[[#This Row],[Task Name]]="","",IF(N(Tasks[[#This Row],[Baseline Start]])&gt;0,Tasks[[#This Row],[Baseline Start]],Tasks[[#This Row],[_CalcStart]]))</f>
        <v/>
      </c>
      <c r="AK77" s="31" t="str">
        <f aca="false">IF(Tasks[[#This Row],[Task Name]]="","",IF(N(Tasks[[#This Row],[Baseline Finish]])&gt;0,Tasks[[#This Row],[Baseline Finish]],Tasks[[#This Row],[_CalcFinish]]))</f>
        <v/>
      </c>
      <c r="AL7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7" s="31" t="str">
        <f aca="false">IF(Tasks[[#This Row],[Task Name]]="","",IF(Tasks[[#This Row],[_IsSummary]],MIN(INDEX(Tasks[_LeafLateStart],Tasks[[#This Row],[_Row]]+1):INDEX(Tasks[_LeafLateStart],Tasks[[#This Row],[_Row]]+Tasks[[#This Row],[_Descendants]])),Tasks[[#This Row],[_LeafLateStart]]))</f>
        <v/>
      </c>
      <c r="AN77" s="31" t="str">
        <f aca="false">IF(Tasks[[#This Row],[Task Name]]="","",IF(Tasks[[#This Row],[_IsSummary]],MAX(INDEX(Tasks[_LeafLateFinish],Tasks[[#This Row],[_Row]]+1):INDEX(Tasks[_LeafLateFinish],Tasks[[#This Row],[_Row]]+Tasks[[#This Row],[_Descendants]])),Tasks[[#This Row],[_LeafLateFinish]]))</f>
        <v/>
      </c>
      <c r="AO77" s="51" t="str">
        <f aca="false">IF(Tasks[[#This Row],[Task Name]]="","",IF(Tasks[[#This Row],[_IsSummary]],MIN(INDEX(Tasks[_LeafTotalSlack],Tasks[[#This Row],[_Row]]+1):INDEX(Tasks[_LeafTotalSlack],Tasks[[#This Row],[_Row]]+Tasks[[#This Row],[_Descendants]])),Tasks[[#This Row],[_LeafTotalSlack]]))</f>
        <v/>
      </c>
      <c r="AP7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7" s="110" t="str">
        <f aca="false">IF(Tasks[[#This Row],[Task Name]]="","",IF(Tasks[[#This Row],[_IsSummary]],SUM(INDEX(Tasks[_LeafTotalWork],Tasks[[#This Row],[_Row]]+1):INDEX(Tasks[_LeafTotalWork],Tasks[[#This Row],[_Row]]+Tasks[[#This Row],[_Descendants]])),Tasks[[#This Row],[_LeafTotalWork]]))</f>
        <v/>
      </c>
      <c r="AV7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7" s="111" t="str">
        <f aca="false">IF(Tasks[[#This Row],[Task Name]]="","",IF(Tasks[[#This Row],[_IsSummary]],SUM(INDEX(Tasks[_LeafTotalCost],Tasks[[#This Row],[_Row]]+1):INDEX(Tasks[_LeafTotalCost],Tasks[[#This Row],[_Row]]+Tasks[[#This Row],[_Descendants]])),Tasks[[#This Row],[_LeafTotalCost]]))</f>
        <v/>
      </c>
      <c r="AY77" s="112"/>
      <c r="AZ7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7" s="52"/>
      <c r="BB77" s="98"/>
      <c r="BC77" s="51" t="str">
        <f aca="false">IF(OR(Tasks[[#This Row],[Task Name]]="",Tasks[[#This Row],[Baseline Duration]]=""),"",Tasks[[#This Row],[BL Source Duration]]-N(Tasks[[#This Row],[Baseline Duration]]))</f>
        <v/>
      </c>
      <c r="BD77" s="110" t="str">
        <f aca="false">IF(OR(Tasks[[#This Row],[Task Name]]="",Tasks[[#This Row],[Baseline Work]]=""),"",Tasks[[#This Row],[Work]]-N(Tasks[[#This Row],[Baseline Work]]))</f>
        <v/>
      </c>
      <c r="BE77" s="111" t="str">
        <f aca="false">IF(OR(Tasks[[#This Row],[Task Name]]="",Tasks[[#This Row],[Baseline Cost]]=""),"",Tasks[[#This Row],[Cost]]-N(Tasks[[#This Row],[Baseline Cost]]))</f>
        <v/>
      </c>
      <c r="BF77" s="31" t="str">
        <f aca="false">IF(Tasks[[#This Row],[Task Name]]="","",Tasks[[#This Row],[Forecast Start]])</f>
        <v/>
      </c>
      <c r="BG77" s="31" t="str">
        <f aca="false">IF(Tasks[[#This Row],[Task Name]]="","",Tasks[[#This Row],[Forecast Finish]])</f>
        <v/>
      </c>
      <c r="BH77" s="51" t="str">
        <f aca="false">IF(Tasks[[#This Row],[Task Name]]="","",IF(Tasks[[#This Row],[_IsSummary]],NETWORKDAYS.INTL(Tasks[[#This Row],[Forecast Start]],Tasks[[#This Row],[Forecast Finish]],WorkWeek,Holidays),N(Tasks[[#This Row],[Duration]])))</f>
        <v/>
      </c>
      <c r="BI77" s="110" t="str">
        <f aca="false">IF(Tasks[[#This Row],[Task Name]]="","",Tasks[[#This Row],[Work]])</f>
        <v/>
      </c>
      <c r="BJ77" s="111" t="str">
        <f aca="false">IF(Tasks[[#This Row],[Task Name]]="","",Tasks[[#This Row],[Cost]])</f>
        <v/>
      </c>
      <c r="BK77" s="7"/>
      <c r="BL77" s="7"/>
      <c r="BM77" s="52"/>
      <c r="BN77" s="113"/>
      <c r="BO77" s="112"/>
      <c r="BP77" s="111" t="str">
        <f aca="false">IF(Tasks[[#This Row],[Task Name]]="","",IF(Tasks[[#This Row],[_IsSummary]],SUM(INDEX(Tasks[_LeafEV],Tasks[[#This Row],[_Row]]+1):INDEX(Tasks[_LeafEV],Tasks[[#This Row],[_Row]]+Tasks[[#This Row],[_Descendants]])),Tasks[[#This Row],[_LeafEV]]))</f>
        <v/>
      </c>
      <c r="BQ77" s="111" t="str">
        <f aca="false">IF(Tasks[[#This Row],[Task Name]]="","",IF(Tasks[[#This Row],[_IsSummary]],SUM(INDEX(Tasks[_LeafBudget],Tasks[[#This Row],[_Row]]+1):INDEX(Tasks[_LeafBudget],Tasks[[#This Row],[_Row]]+Tasks[[#This Row],[_Descendants]])),Tasks[[#This Row],[_LeafBudget]]))</f>
        <v/>
      </c>
      <c r="BR77" s="111" t="str">
        <f aca="false">IF(Tasks[[#This Row],[Task Name]]="","",IF(Tasks[[#This Row],[_IsSummary]],SUM(INDEX(Tasks[_LeafPV],Tasks[[#This Row],[_Row]]+1):INDEX(Tasks[_LeafPV],Tasks[[#This Row],[_Row]]+Tasks[[#This Row],[_Descendants]])),Tasks[[#This Row],[_LeafPV]]))</f>
        <v/>
      </c>
      <c r="BS77" s="111" t="str">
        <f aca="false">IF(Tasks[[#This Row],[Task Name]]="","",IF(Tasks[[#This Row],[_IsSummary]],SUM(INDEX(Tasks[_LeafAC],Tasks[[#This Row],[_Row]]+1):INDEX(Tasks[_LeafAC],Tasks[[#This Row],[_Row]]+Tasks[[#This Row],[_Descendants]])),Tasks[[#This Row],[_LeafAC]]))</f>
        <v/>
      </c>
      <c r="BT77" s="38" t="str">
        <f aca="false">IF(Tasks[[#This Row],[Task Name]]="","",MAX(1,N(Tasks[[#This Row],[Level]])))</f>
        <v/>
      </c>
      <c r="BU77" s="38" t="n">
        <f aca="false">ROW()-ROW(Tasks[[#Headers],[ID]])</f>
        <v>72</v>
      </c>
      <c r="BV77" s="38" t="n">
        <f aca="false">IF(OR(Tasks[[#This Row],[Task Name]]="",Tasks[[#This Row],[_Level]]&lt;=1),0,IFERROR(LOOKUP(2,1/(Tasks[[#Headers],[_Level]]:Tasks[[#This Row],[_Level]]=Tasks[[#This Row],[_Level]]-1),ROW(Tasks[[#Headers],[_Level]]:Tasks[[#This Row],[_Level]])),0))</f>
        <v>0</v>
      </c>
      <c r="BW77" s="38" t="n">
        <f aca="false">IFERROR(N(INDEX(Tasks[_Level],Tasks[[#This Row],[_Row]]+1)),0)</f>
        <v>0</v>
      </c>
      <c r="BX77" s="114" t="b">
        <f aca="false">AND(Tasks[[#This Row],[Task Name]]&lt;&gt;"",Tasks[[#This Row],[_NextLevel]]&gt;Tasks[[#This Row],[_Level]])</f>
        <v>0</v>
      </c>
      <c r="BY77" s="38" t="n">
        <f aca="false">IF(Tasks[[#This Row],[_IsSummary]],COUNTIF(Tasks[WBS],Tasks[[#This Row],[WBS]]&amp;".*"),0)</f>
        <v>0</v>
      </c>
      <c r="BZ77" s="38" t="n">
        <f aca="false">IF(AND(Tasks[[#This Row],[Task Name]]&lt;&gt;"",NOT(Tasks[[#This Row],[_IsSummary]])),1,0)</f>
        <v>0</v>
      </c>
      <c r="CA77" s="38" t="n">
        <f aca="false">IF(N(Tasks[[#This Row],[Pred1 UID]])=0,0,IFERROR(MATCH(Tasks[[#This Row],[Pred1 UID]],Tasks[UID],0),-1))</f>
        <v>0</v>
      </c>
      <c r="CB77" s="38" t="n">
        <f aca="false">IF(N(Tasks[[#This Row],[Pred2 UID]])=0,0,IFERROR(MATCH(Tasks[[#This Row],[Pred2 UID]],Tasks[UID],0),-1))</f>
        <v>0</v>
      </c>
      <c r="CC77" s="38" t="n">
        <f aca="false">IF(N(Tasks[[#This Row],[Pred3 UID]])=0,0,IFERROR(MATCH(Tasks[[#This Row],[Pred3 UID]],Tasks[UID],0),-1))</f>
        <v>0</v>
      </c>
      <c r="CD77" s="38" t="n">
        <f aca="false">IF(N(Tasks[[#This Row],[Pred4 UID]])=0,0,IFERROR(MATCH(Tasks[[#This Row],[Pred4 UID]],Tasks[UID],0),-1))</f>
        <v>0</v>
      </c>
      <c r="CE7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7" s="115" t="n">
        <f aca="false">IF(OR(Tasks[[#This Row],[_ConstraintCode]]=2,Tasks[[#This Row],[_ConstraintCode]]=3,Tasks[[#This Row],[_ConstraintCode]]=4,Tasks[[#This Row],[_ConstraintCode]]=6),Tasks[[#This Row],[_ConstraintStart]],0)</f>
        <v>0</v>
      </c>
      <c r="CH77" s="115" t="n">
        <f aca="false">IF(OR(Tasks[[#This Row],[_ConstraintCode]]=2,Tasks[[#This Row],[_ConstraintCode]]=3,Tasks[[#This Row],[_ConstraintCode]]=5,Tasks[[#This Row],[_ConstraintCode]]=7),Tasks[[#This Row],[_ConstraintStart]],2958465)</f>
        <v>2958465</v>
      </c>
      <c r="CI7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7" s="115" t="str">
        <f aca="false">IF(NOT(Tasks[[#This Row],[_IsLeaf]]=1),"",IF(N(Tasks[[#This Row],[Duration]])&lt;=0,Tasks[[#This Row],[_LeafCalcStart]],WORKDAY.INTL(Tasks[[#This Row],[_LeafCalcStart]],Tasks[[#This Row],[Duration]]-1,WorkWeek,Holidays)))</f>
        <v/>
      </c>
      <c r="CK7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7" s="38" t="n">
        <f aca="false">IF(NOT(Tasks[[#This Row],[_IsLeaf]]=1),0,IF(N(Tasks[[#This Row],[Actual Finish]])&gt;0,1,MIN(1,N(Tasks[[#This Row],[% Complete]]))))</f>
        <v>0</v>
      </c>
      <c r="CN77" s="38" t="n">
        <f aca="false">IF(OR(NOT(Tasks[[#This Row],[_IsLeaf]]=1),Tasks[[#This Row],[Resource]]=""),0,N(Tasks[[#This Row],[Duration]])*HoursPerDay*IF(Tasks[[#This Row],[Units]]="",DefaultUnits,Tasks[[#This Row],[Units]]))</f>
        <v>0</v>
      </c>
      <c r="CO77" s="38" t="n">
        <f aca="false">IF(Tasks[[#This Row],[_LeafWork]]=0,0,Tasks[[#This Row],[_LeafWork]]*IFERROR(INDEX(res_Rate,MATCH(Tasks[[#This Row],[Resource]],res_Name,0)),0))</f>
        <v>0</v>
      </c>
      <c r="CP77" s="38" t="n">
        <f aca="false">Tasks[[#This Row],[_LeafWork]]+IF(Tasks[[#This Row],[_IsLeaf]]=1,SUMIFS(asg_Work,asg_TaskUID,Tasks[[#This Row],[UID]],asg_Valid,1),0)</f>
        <v>0</v>
      </c>
      <c r="CQ77" s="38" t="n">
        <f aca="false">Tasks[[#This Row],[_LeafCost]]+IF(Tasks[[#This Row],[_IsLeaf]]=1,SUMIFS(asg_Cost,asg_TaskUID,Tasks[[#This Row],[UID]],asg_Valid,1),0)</f>
        <v>0</v>
      </c>
      <c r="CR77" s="38" t="n">
        <f aca="false">IF(Tasks[[#This Row],[_LeafTotalCost]]=0,Tasks[[#This Row],[_LeafAC]],Tasks[[#This Row],[_LeafAC]]*Tasks[[#This Row],[_LeafCost]]/Tasks[[#This Row],[_LeafTotalCost]])</f>
        <v>0</v>
      </c>
      <c r="CS7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7" s="38" t="n">
        <f aca="false">IF(NOT(Tasks[[#This Row],[_IsLeaf]]=1),0,MAX(_xlfn.MAXIFS(Tasks[_Row],Tasks[Pred1 UID],Tasks[[#This Row],[UID]]),_xlfn.MAXIFS(Tasks[_Row],Tasks[Pred2 UID],Tasks[[#This Row],[UID]]),_xlfn.MAXIFS(Tasks[_Row],Tasks[Pred3 UID],Tasks[[#This Row],[UID]]),_xlfn.MAXIFS(Tasks[_Row],Tasks[Pred4 UID],Tasks[[#This Row],[UID]])))</f>
        <v>0</v>
      </c>
      <c r="DB7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7" s="115" t="str">
        <f aca="false">IF(NOT(Tasks[[#This Row],[_IsLeaf]]=1),"",IF(N(Tasks[[#This Row],[Duration]])&lt;=0,Tasks[[#This Row],[_LeafLateFinish]],WORKDAY.INTL(Tasks[[#This Row],[_LeafLateFinish]],-(Tasks[[#This Row],[Duration]]-1),WorkWeek,Holidays)))</f>
        <v/>
      </c>
      <c r="DE7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7" s="114" t="b">
        <f aca="false">AND(Tasks[[#This Row],[_IsLeaf]]=1,Tasks[[#This Row],[_LeafProgress]]&lt;1,N(Tasks[[#This Row],[_LeafTotalSlack]])&lt;=CriticalSlackDays)</f>
        <v>0</v>
      </c>
      <c r="DG77" s="38" t="n">
        <f aca="false">IF(AND(Tasks[[#This Row],[_IsLeaf]]=1,Tasks[[#This Row],[_ConstraintCode]]=1,Tasks[[#This Row],[Mode]]&lt;&gt;"Manual",N(Tasks[[#This Row],[Actual Start]])=0),MAX(0,N(Tasks[[#This Row],[Free Slack]])),0)</f>
        <v>0</v>
      </c>
      <c r="DH77" s="115" t="str">
        <f aca="false">IF(NOT(Tasks[[#This Row],[_IsLeaf]]=1),"",IF(Tasks[[#This Row],[_AlapShift]]=0,Tasks[[#This Row],[_LeafCalcStart]],WORKDAY.INTL(Tasks[[#This Row],[_LeafCalcStart]],Tasks[[#This Row],[_AlapShift]],WorkWeek,Holidays)))</f>
        <v/>
      </c>
      <c r="DI77" s="115" t="str">
        <f aca="false">IF(NOT(Tasks[[#This Row],[_IsLeaf]]=1),"",IF(Tasks[[#This Row],[_AlapShift]]=0,Tasks[[#This Row],[_LeafCalcFinish]],WORKDAY.INTL(Tasks[[#This Row],[_LeafCalcFinish]],Tasks[[#This Row],[_AlapShift]],WorkWeek,Holidays)))</f>
        <v/>
      </c>
      <c r="DJ77" s="115" t="str">
        <f aca="false">IF(NOT(Tasks[[#This Row],[_IsLeaf]]=1),"",IF(Tasks[[#This Row],[_AlapShift]]=0,Tasks[[#This Row],[_LeafFcstStart]],WORKDAY.INTL(Tasks[[#This Row],[_LeafFcstStart]],Tasks[[#This Row],[_AlapShift]],WorkWeek,Holidays)))</f>
        <v/>
      </c>
      <c r="DK77" s="115" t="str">
        <f aca="false">IF(NOT(Tasks[[#This Row],[_IsLeaf]]=1),"",IF(Tasks[[#This Row],[_AlapShift]]=0,Tasks[[#This Row],[_LeafFcstFinish]],WORKDAY.INTL(Tasks[[#This Row],[_LeafFcstFinish]],Tasks[[#This Row],[_AlapShift]],WorkWeek,Holidays)))</f>
        <v/>
      </c>
      <c r="DL77" s="115" t="str">
        <f aca="false">IF(Tasks[[#This Row],[Task Name]]="","",IF(Tasks[[#This Row],[_IsSummary]],MIN(INDEX(Tasks[_ShownCalcStart],Tasks[[#This Row],[_Row]]+1):INDEX(Tasks[_ShownCalcStart],Tasks[[#This Row],[_Row]]+Tasks[[#This Row],[_Descendants]])),Tasks[[#This Row],[_ShownCalcStart]]))</f>
        <v/>
      </c>
      <c r="DM77" s="115" t="str">
        <f aca="false">IF(Tasks[[#This Row],[Task Name]]="","",IF(Tasks[[#This Row],[_IsSummary]],MAX(INDEX(Tasks[_ShownCalcFinish],Tasks[[#This Row],[_Row]]+1):INDEX(Tasks[_ShownCalcFinish],Tasks[[#This Row],[_Row]]+Tasks[[#This Row],[_Descendants]])),Tasks[[#This Row],[_ShownCalcFinish]]))</f>
        <v/>
      </c>
      <c r="DN7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7" s="38" t="n">
        <f aca="false">IF(AND(Tasks[[#This Row],[_IsLeaf]]=1,Tasks[[#This Row],[_LeafTotalWork]]&gt;0),NETWORKDAYS.INTL(ProjectStart,Tasks[[#This Row],[_ShownFcstStart]],WorkWeek,Holidays),0)</f>
        <v>0</v>
      </c>
      <c r="EA77" s="38" t="n">
        <f aca="false">IF(AND(Tasks[[#This Row],[_IsLeaf]]=1,Tasks[[#This Row],[_LeafTotalWork]]&gt;0),MAX(Tasks[[#This Row],[_StartWorkday]],NETWORKDAYS.INTL(ProjectStart,Tasks[[#This Row],[_ShownFcstFinish]],WorkWeek,Holidays)),0)</f>
        <v>0</v>
      </c>
      <c r="EB77" s="38" t="n">
        <f aca="false">IF(AND(Tasks[[#This Row],[_IsLeaf]]=1,Tasks[[#This Row],[_LeafTotalWork]]&gt;0),Tasks[[#This Row],[_LeafWork]]/(Tasks[[#This Row],[_FinishWorkday]]-Tasks[[#This Row],[_StartWorkday]]+1),0)</f>
        <v>0</v>
      </c>
      <c r="EC77" s="38" t="n">
        <f aca="false">Tasks[[#This Row],[_WorkPerWorkday]]*(Tasks[[#This Row],[_StartWorkday]]-1)</f>
        <v>-0</v>
      </c>
      <c r="ED77" s="38" t="n">
        <f aca="false">IF(Tasks[[#This Row],[_IsLeaf]]=1,MAX(N(Tasks[[#This Row],[Duration]]),0.1),0)</f>
        <v>0</v>
      </c>
      <c r="EE77" s="38" t="n">
        <f aca="false">Tasks[[#This Row],[_WeightDur]]*Tasks[[#This Row],[_LeafProgress]]</f>
        <v>0</v>
      </c>
      <c r="EF7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7" s="38" t="str">
        <f aca="false">IF(AND(Tasks[[#This Row],[_IsLeaf]]=1,N(Tasks[[#This Row],[Duration]])=0,Tasks[[#This Row],[_LeafProgress]]&lt;1),Tasks[[#This Row],[_ShownFcstFinish]]+Tasks[[#This Row],[_Row]]/100000,"")</f>
        <v/>
      </c>
      <c r="EH7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7" s="38" t="n">
        <f aca="false">IF(NOT(Tasks[[#This Row],[_IsLeaf]]=1),0,IF(Tasks[[#This Row],[Baseline Cost]]="",Tasks[[#This Row],[_LeafTotalCost]],N(Tasks[[#This Row],[Baseline Cost]])))</f>
        <v>0</v>
      </c>
      <c r="EJ77" s="38" t="n">
        <f aca="false">Tasks[[#This Row],[_LeafBudget]]*Tasks[[#This Row],[_PlannedPct]]</f>
        <v>0</v>
      </c>
      <c r="EK77" s="38" t="n">
        <f aca="false">Tasks[[#This Row],[_LeafBudget]]*Tasks[[#This Row],[_LeafProgress]]</f>
        <v>0</v>
      </c>
      <c r="EL77" s="38" t="n">
        <f aca="false">IF(NOT(Tasks[[#This Row],[_IsLeaf]]=1),0,IF(Tasks[[#This Row],[Actual Cost]]="",Tasks[[#This Row],[_LeafTotalCost]]*Tasks[[#This Row],[_LeafProgress]],N(Tasks[[#This Row],[Actual Cost]])))</f>
        <v>0</v>
      </c>
      <c r="EM77" s="38" t="str">
        <f aca="false">IF(Tasks[[#This Row],[Task Name]]="","",LEFT(Tasks[[#This Row],[WBS]],FIND(".",Tasks[[#This Row],[WBS]]&amp;".")-1))</f>
        <v/>
      </c>
      <c r="EN77" s="38" t="str">
        <f aca="false">IF(AND(Tasks[[#This Row],[Task Name]]&lt;&gt;"",Tasks[[#This Row],[_Level]]=1),Tasks[[#This Row],[_Row]],"")</f>
        <v/>
      </c>
      <c r="EO77" s="38" t="str">
        <f aca="false">IF(AND(Tasks[[#This Row],[_IsLeaf]]=1,N(Tasks[[#This Row],[Duration]])=0),Tasks[[#This Row],[Planned Finish]]+Tasks[[#This Row],[_Row]]/100000,"")</f>
        <v/>
      </c>
      <c r="EP77" s="38" t="str">
        <f aca="false">IF(AND(Tasks[[#This Row],[_IsLeaf]]=1,Tasks[[#This Row],[_LeafProgress]]&lt;1,OR(N(Tasks[[#This Row],[Finish Var]])&gt;0,Tasks[[#This Row],[Status]]="Late Start")),MAX(0,Tasks[[#This Row],[Finish Var]])+1-Tasks[[#This Row],[_Row]]/1000000,"")</f>
        <v/>
      </c>
      <c r="EQ77" s="38" t="str">
        <f aca="false">IF(AND(Tasks[[#This Row],[_IsLeaf]]=1,N(Tasks[[#This Row],[Actual Start]])=0,Tasks[[#This Row],[_ShownFcstStart]]&gt;=StatusDate,Tasks[[#This Row],[_ShownFcstStart]]&lt;=LookaheadEnd),Tasks[[#This Row],[_ShownFcstStart]]+Tasks[[#This Row],[_Row]]/100000,"")</f>
        <v/>
      </c>
      <c r="ER77" s="38" t="str">
        <f aca="false">IF(AND(Tasks[[#This Row],[_IsLeaf]]=1,Tasks[[#This Row],[_LeafProgress]]&lt;1,Tasks[[#This Row],[_ShownFcstFinish]]&gt;=StatusDate,Tasks[[#This Row],[_ShownFcstFinish]]&lt;=LookaheadEnd),Tasks[[#This Row],[_ShownFcstFinish]]+Tasks[[#This Row],[_Row]]/100000,"")</f>
        <v/>
      </c>
      <c r="ES77" s="38" t="str">
        <f aca="false">IF(Tasks[[#This Row],[_LeafCritical]],Tasks[[#This Row],[_ShownFcstStart]]+Tasks[[#This Row],[_Row]]/100000,"")</f>
        <v/>
      </c>
      <c r="ET77" s="38" t="n">
        <f aca="false">Tasks[[#This Row],[_LeafWork]]*Tasks[[#This Row],[_LeafProgress]]</f>
        <v>0</v>
      </c>
      <c r="EU77" s="115" t="str">
        <f aca="false">IF(AND(Tasks[[#This Row],[_IsLeaf]]=1,Tasks[[#This Row],[_LeafProgress]]&gt;=1),IF(N(Tasks[[#This Row],[Actual Finish]])&gt;0,Tasks[[#This Row],[Actual Finish]],Tasks[[#This Row],[_ShownFcstFinish]]),"")</f>
        <v/>
      </c>
      <c r="EV77" s="38" t="n">
        <f aca="false">IF(Tasks[[#This Row],[_IsLeaf]]=1,N(Tasks[[#This Row],[Story Points]]),0)</f>
        <v>0</v>
      </c>
      <c r="EW77" s="38" t="str">
        <f aca="false">IF(AND(Tasks[[#This Row],[_IsLeaf]]=1,CurrentSprint&lt;&gt;"",Tasks[[#This Row],[Sprint]]=CurrentSprint),Tasks[[#This Row],[_Row]],"")</f>
        <v/>
      </c>
    </row>
    <row r="78" customFormat="false" ht="15" hidden="false" customHeight="false" outlineLevel="0" collapsed="false">
      <c r="A78" s="51" t="str">
        <f aca="false">IF(Tasks[[#This Row],[Task Name]]="","",COUNTA(Tasks[[#Headers],[Task Name]]:Tasks[[#This Row],[Task Name]])-1)</f>
        <v/>
      </c>
      <c r="B78" s="52" t="n">
        <v>73</v>
      </c>
      <c r="C7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52"/>
      <c r="E78" s="53"/>
      <c r="F78" s="52"/>
      <c r="G78" s="52"/>
      <c r="H78" s="52"/>
      <c r="I78" s="52"/>
      <c r="J78" s="52"/>
      <c r="K78" s="52"/>
      <c r="L78" s="52"/>
      <c r="M78" s="52"/>
      <c r="N78" s="52"/>
      <c r="O78" s="52"/>
      <c r="P78" s="52"/>
      <c r="Q78" s="52"/>
      <c r="R78" s="52"/>
      <c r="S78" s="53"/>
      <c r="T78" s="102"/>
      <c r="U78" s="102"/>
      <c r="V78" s="7"/>
      <c r="W78" s="7"/>
      <c r="X78" s="53"/>
      <c r="Y78" s="31" t="str">
        <f aca="false">IF(Tasks[[#This Row],[Task Name]]="","",IF(Tasks[[#This Row],[_IsSummary]],MIN(INDEX(Tasks[_ShownFcstStart],Tasks[[#This Row],[_Row]]+1):INDEX(Tasks[_ShownFcstStart],Tasks[[#This Row],[_Row]]+Tasks[[#This Row],[_Descendants]])),Tasks[[#This Row],[_ShownFcstStart]]))</f>
        <v/>
      </c>
      <c r="Z78" s="31" t="str">
        <f aca="false">IF(Tasks[[#This Row],[Task Name]]="","",IF(Tasks[[#This Row],[_IsSummary]],MAX(INDEX(Tasks[_ShownFcstFinish],Tasks[[#This Row],[_Row]]+1):INDEX(Tasks[_ShownFcstFinish],Tasks[[#This Row],[_Row]]+Tasks[[#This Row],[_Descendants]])),Tasks[[#This Row],[_ShownFcstFinish]]))</f>
        <v/>
      </c>
      <c r="AA78" s="51" t="str">
        <f aca="false">IF(Tasks[[#This Row],[Task Name]]="","",IF(Tasks[[#This Row],[Progress]]&gt;=1,"Complete",IF(OR(N(Tasks[[#This Row],[Actual Start]])&gt;0,Tasks[[#This Row],[Progress]]&gt;0),IF(Tasks[[#This Row],[Finish Var]]&gt;0,"Behind","In Progress"),IF(Tasks[[#This Row],[Planned Start]]&lt;StatusDate,"Late Start","Not Started"))))</f>
        <v/>
      </c>
      <c r="AB78" s="51" t="str">
        <f aca="false">IF(Tasks[[#This Row],[Task Name]]="","",IF(IF(Tasks[[#This Row],[_IsSummary]],COUNTIF(INDEX(Tasks[_LeafCritical],Tasks[[#This Row],[_Row]]+1):INDEX(Tasks[_LeafCritical],Tasks[[#This Row],[_Row]]+Tasks[[#This Row],[_Descendants]]),TRUE())&gt;0,Tasks[[#This Row],[_LeafCritical]]),"Yes",""))</f>
        <v/>
      </c>
      <c r="AC7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8" s="51" t="str">
        <f aca="false">IF(Tasks[[#This Row],[Task Name]]="","",IF(Tasks[[#This Row],[_Level]]&lt;=OutlineShowLevel,"Yes","No"))</f>
        <v/>
      </c>
      <c r="AE78" s="7"/>
      <c r="AF78" s="52"/>
      <c r="AG78" s="53"/>
      <c r="AH78" s="7"/>
      <c r="AI7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8" s="31" t="str">
        <f aca="false">IF(Tasks[[#This Row],[Task Name]]="","",IF(N(Tasks[[#This Row],[Baseline Start]])&gt;0,Tasks[[#This Row],[Baseline Start]],Tasks[[#This Row],[_CalcStart]]))</f>
        <v/>
      </c>
      <c r="AK78" s="31" t="str">
        <f aca="false">IF(Tasks[[#This Row],[Task Name]]="","",IF(N(Tasks[[#This Row],[Baseline Finish]])&gt;0,Tasks[[#This Row],[Baseline Finish]],Tasks[[#This Row],[_CalcFinish]]))</f>
        <v/>
      </c>
      <c r="AL7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8" s="31" t="str">
        <f aca="false">IF(Tasks[[#This Row],[Task Name]]="","",IF(Tasks[[#This Row],[_IsSummary]],MIN(INDEX(Tasks[_LeafLateStart],Tasks[[#This Row],[_Row]]+1):INDEX(Tasks[_LeafLateStart],Tasks[[#This Row],[_Row]]+Tasks[[#This Row],[_Descendants]])),Tasks[[#This Row],[_LeafLateStart]]))</f>
        <v/>
      </c>
      <c r="AN78" s="31" t="str">
        <f aca="false">IF(Tasks[[#This Row],[Task Name]]="","",IF(Tasks[[#This Row],[_IsSummary]],MAX(INDEX(Tasks[_LeafLateFinish],Tasks[[#This Row],[_Row]]+1):INDEX(Tasks[_LeafLateFinish],Tasks[[#This Row],[_Row]]+Tasks[[#This Row],[_Descendants]])),Tasks[[#This Row],[_LeafLateFinish]]))</f>
        <v/>
      </c>
      <c r="AO78" s="51" t="str">
        <f aca="false">IF(Tasks[[#This Row],[Task Name]]="","",IF(Tasks[[#This Row],[_IsSummary]],MIN(INDEX(Tasks[_LeafTotalSlack],Tasks[[#This Row],[_Row]]+1):INDEX(Tasks[_LeafTotalSlack],Tasks[[#This Row],[_Row]]+Tasks[[#This Row],[_Descendants]])),Tasks[[#This Row],[_LeafTotalSlack]]))</f>
        <v/>
      </c>
      <c r="AP7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8" s="110" t="str">
        <f aca="false">IF(Tasks[[#This Row],[Task Name]]="","",IF(Tasks[[#This Row],[_IsSummary]],SUM(INDEX(Tasks[_LeafTotalWork],Tasks[[#This Row],[_Row]]+1):INDEX(Tasks[_LeafTotalWork],Tasks[[#This Row],[_Row]]+Tasks[[#This Row],[_Descendants]])),Tasks[[#This Row],[_LeafTotalWork]]))</f>
        <v/>
      </c>
      <c r="AV7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8" s="111" t="str">
        <f aca="false">IF(Tasks[[#This Row],[Task Name]]="","",IF(Tasks[[#This Row],[_IsSummary]],SUM(INDEX(Tasks[_LeafTotalCost],Tasks[[#This Row],[_Row]]+1):INDEX(Tasks[_LeafTotalCost],Tasks[[#This Row],[_Row]]+Tasks[[#This Row],[_Descendants]])),Tasks[[#This Row],[_LeafTotalCost]]))</f>
        <v/>
      </c>
      <c r="AY78" s="112"/>
      <c r="AZ7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8" s="52"/>
      <c r="BB78" s="98"/>
      <c r="BC78" s="51" t="str">
        <f aca="false">IF(OR(Tasks[[#This Row],[Task Name]]="",Tasks[[#This Row],[Baseline Duration]]=""),"",Tasks[[#This Row],[BL Source Duration]]-N(Tasks[[#This Row],[Baseline Duration]]))</f>
        <v/>
      </c>
      <c r="BD78" s="110" t="str">
        <f aca="false">IF(OR(Tasks[[#This Row],[Task Name]]="",Tasks[[#This Row],[Baseline Work]]=""),"",Tasks[[#This Row],[Work]]-N(Tasks[[#This Row],[Baseline Work]]))</f>
        <v/>
      </c>
      <c r="BE78" s="111" t="str">
        <f aca="false">IF(OR(Tasks[[#This Row],[Task Name]]="",Tasks[[#This Row],[Baseline Cost]]=""),"",Tasks[[#This Row],[Cost]]-N(Tasks[[#This Row],[Baseline Cost]]))</f>
        <v/>
      </c>
      <c r="BF78" s="31" t="str">
        <f aca="false">IF(Tasks[[#This Row],[Task Name]]="","",Tasks[[#This Row],[Forecast Start]])</f>
        <v/>
      </c>
      <c r="BG78" s="31" t="str">
        <f aca="false">IF(Tasks[[#This Row],[Task Name]]="","",Tasks[[#This Row],[Forecast Finish]])</f>
        <v/>
      </c>
      <c r="BH78" s="51" t="str">
        <f aca="false">IF(Tasks[[#This Row],[Task Name]]="","",IF(Tasks[[#This Row],[_IsSummary]],NETWORKDAYS.INTL(Tasks[[#This Row],[Forecast Start]],Tasks[[#This Row],[Forecast Finish]],WorkWeek,Holidays),N(Tasks[[#This Row],[Duration]])))</f>
        <v/>
      </c>
      <c r="BI78" s="110" t="str">
        <f aca="false">IF(Tasks[[#This Row],[Task Name]]="","",Tasks[[#This Row],[Work]])</f>
        <v/>
      </c>
      <c r="BJ78" s="111" t="str">
        <f aca="false">IF(Tasks[[#This Row],[Task Name]]="","",Tasks[[#This Row],[Cost]])</f>
        <v/>
      </c>
      <c r="BK78" s="7"/>
      <c r="BL78" s="7"/>
      <c r="BM78" s="52"/>
      <c r="BN78" s="113"/>
      <c r="BO78" s="112"/>
      <c r="BP78" s="111" t="str">
        <f aca="false">IF(Tasks[[#This Row],[Task Name]]="","",IF(Tasks[[#This Row],[_IsSummary]],SUM(INDEX(Tasks[_LeafEV],Tasks[[#This Row],[_Row]]+1):INDEX(Tasks[_LeafEV],Tasks[[#This Row],[_Row]]+Tasks[[#This Row],[_Descendants]])),Tasks[[#This Row],[_LeafEV]]))</f>
        <v/>
      </c>
      <c r="BQ78" s="111" t="str">
        <f aca="false">IF(Tasks[[#This Row],[Task Name]]="","",IF(Tasks[[#This Row],[_IsSummary]],SUM(INDEX(Tasks[_LeafBudget],Tasks[[#This Row],[_Row]]+1):INDEX(Tasks[_LeafBudget],Tasks[[#This Row],[_Row]]+Tasks[[#This Row],[_Descendants]])),Tasks[[#This Row],[_LeafBudget]]))</f>
        <v/>
      </c>
      <c r="BR78" s="111" t="str">
        <f aca="false">IF(Tasks[[#This Row],[Task Name]]="","",IF(Tasks[[#This Row],[_IsSummary]],SUM(INDEX(Tasks[_LeafPV],Tasks[[#This Row],[_Row]]+1):INDEX(Tasks[_LeafPV],Tasks[[#This Row],[_Row]]+Tasks[[#This Row],[_Descendants]])),Tasks[[#This Row],[_LeafPV]]))</f>
        <v/>
      </c>
      <c r="BS78" s="111" t="str">
        <f aca="false">IF(Tasks[[#This Row],[Task Name]]="","",IF(Tasks[[#This Row],[_IsSummary]],SUM(INDEX(Tasks[_LeafAC],Tasks[[#This Row],[_Row]]+1):INDEX(Tasks[_LeafAC],Tasks[[#This Row],[_Row]]+Tasks[[#This Row],[_Descendants]])),Tasks[[#This Row],[_LeafAC]]))</f>
        <v/>
      </c>
      <c r="BT78" s="38" t="str">
        <f aca="false">IF(Tasks[[#This Row],[Task Name]]="","",MAX(1,N(Tasks[[#This Row],[Level]])))</f>
        <v/>
      </c>
      <c r="BU78" s="38" t="n">
        <f aca="false">ROW()-ROW(Tasks[[#Headers],[ID]])</f>
        <v>73</v>
      </c>
      <c r="BV78" s="38" t="n">
        <f aca="false">IF(OR(Tasks[[#This Row],[Task Name]]="",Tasks[[#This Row],[_Level]]&lt;=1),0,IFERROR(LOOKUP(2,1/(Tasks[[#Headers],[_Level]]:Tasks[[#This Row],[_Level]]=Tasks[[#This Row],[_Level]]-1),ROW(Tasks[[#Headers],[_Level]]:Tasks[[#This Row],[_Level]])),0))</f>
        <v>0</v>
      </c>
      <c r="BW78" s="38" t="n">
        <f aca="false">IFERROR(N(INDEX(Tasks[_Level],Tasks[[#This Row],[_Row]]+1)),0)</f>
        <v>0</v>
      </c>
      <c r="BX78" s="114" t="b">
        <f aca="false">AND(Tasks[[#This Row],[Task Name]]&lt;&gt;"",Tasks[[#This Row],[_NextLevel]]&gt;Tasks[[#This Row],[_Level]])</f>
        <v>0</v>
      </c>
      <c r="BY78" s="38" t="n">
        <f aca="false">IF(Tasks[[#This Row],[_IsSummary]],COUNTIF(Tasks[WBS],Tasks[[#This Row],[WBS]]&amp;".*"),0)</f>
        <v>0</v>
      </c>
      <c r="BZ78" s="38" t="n">
        <f aca="false">IF(AND(Tasks[[#This Row],[Task Name]]&lt;&gt;"",NOT(Tasks[[#This Row],[_IsSummary]])),1,0)</f>
        <v>0</v>
      </c>
      <c r="CA78" s="38" t="n">
        <f aca="false">IF(N(Tasks[[#This Row],[Pred1 UID]])=0,0,IFERROR(MATCH(Tasks[[#This Row],[Pred1 UID]],Tasks[UID],0),-1))</f>
        <v>0</v>
      </c>
      <c r="CB78" s="38" t="n">
        <f aca="false">IF(N(Tasks[[#This Row],[Pred2 UID]])=0,0,IFERROR(MATCH(Tasks[[#This Row],[Pred2 UID]],Tasks[UID],0),-1))</f>
        <v>0</v>
      </c>
      <c r="CC78" s="38" t="n">
        <f aca="false">IF(N(Tasks[[#This Row],[Pred3 UID]])=0,0,IFERROR(MATCH(Tasks[[#This Row],[Pred3 UID]],Tasks[UID],0),-1))</f>
        <v>0</v>
      </c>
      <c r="CD78" s="38" t="n">
        <f aca="false">IF(N(Tasks[[#This Row],[Pred4 UID]])=0,0,IFERROR(MATCH(Tasks[[#This Row],[Pred4 UID]],Tasks[UID],0),-1))</f>
        <v>0</v>
      </c>
      <c r="CE7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8" s="115" t="n">
        <f aca="false">IF(OR(Tasks[[#This Row],[_ConstraintCode]]=2,Tasks[[#This Row],[_ConstraintCode]]=3,Tasks[[#This Row],[_ConstraintCode]]=4,Tasks[[#This Row],[_ConstraintCode]]=6),Tasks[[#This Row],[_ConstraintStart]],0)</f>
        <v>0</v>
      </c>
      <c r="CH78" s="115" t="n">
        <f aca="false">IF(OR(Tasks[[#This Row],[_ConstraintCode]]=2,Tasks[[#This Row],[_ConstraintCode]]=3,Tasks[[#This Row],[_ConstraintCode]]=5,Tasks[[#This Row],[_ConstraintCode]]=7),Tasks[[#This Row],[_ConstraintStart]],2958465)</f>
        <v>2958465</v>
      </c>
      <c r="CI7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8" s="115" t="str">
        <f aca="false">IF(NOT(Tasks[[#This Row],[_IsLeaf]]=1),"",IF(N(Tasks[[#This Row],[Duration]])&lt;=0,Tasks[[#This Row],[_LeafCalcStart]],WORKDAY.INTL(Tasks[[#This Row],[_LeafCalcStart]],Tasks[[#This Row],[Duration]]-1,WorkWeek,Holidays)))</f>
        <v/>
      </c>
      <c r="CK7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8" s="38" t="n">
        <f aca="false">IF(NOT(Tasks[[#This Row],[_IsLeaf]]=1),0,IF(N(Tasks[[#This Row],[Actual Finish]])&gt;0,1,MIN(1,N(Tasks[[#This Row],[% Complete]]))))</f>
        <v>0</v>
      </c>
      <c r="CN78" s="38" t="n">
        <f aca="false">IF(OR(NOT(Tasks[[#This Row],[_IsLeaf]]=1),Tasks[[#This Row],[Resource]]=""),0,N(Tasks[[#This Row],[Duration]])*HoursPerDay*IF(Tasks[[#This Row],[Units]]="",DefaultUnits,Tasks[[#This Row],[Units]]))</f>
        <v>0</v>
      </c>
      <c r="CO78" s="38" t="n">
        <f aca="false">IF(Tasks[[#This Row],[_LeafWork]]=0,0,Tasks[[#This Row],[_LeafWork]]*IFERROR(INDEX(res_Rate,MATCH(Tasks[[#This Row],[Resource]],res_Name,0)),0))</f>
        <v>0</v>
      </c>
      <c r="CP78" s="38" t="n">
        <f aca="false">Tasks[[#This Row],[_LeafWork]]+IF(Tasks[[#This Row],[_IsLeaf]]=1,SUMIFS(asg_Work,asg_TaskUID,Tasks[[#This Row],[UID]],asg_Valid,1),0)</f>
        <v>0</v>
      </c>
      <c r="CQ78" s="38" t="n">
        <f aca="false">Tasks[[#This Row],[_LeafCost]]+IF(Tasks[[#This Row],[_IsLeaf]]=1,SUMIFS(asg_Cost,asg_TaskUID,Tasks[[#This Row],[UID]],asg_Valid,1),0)</f>
        <v>0</v>
      </c>
      <c r="CR78" s="38" t="n">
        <f aca="false">IF(Tasks[[#This Row],[_LeafTotalCost]]=0,Tasks[[#This Row],[_LeafAC]],Tasks[[#This Row],[_LeafAC]]*Tasks[[#This Row],[_LeafCost]]/Tasks[[#This Row],[_LeafTotalCost]])</f>
        <v>0</v>
      </c>
      <c r="CS7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8" s="38" t="n">
        <f aca="false">IF(NOT(Tasks[[#This Row],[_IsLeaf]]=1),0,MAX(_xlfn.MAXIFS(Tasks[_Row],Tasks[Pred1 UID],Tasks[[#This Row],[UID]]),_xlfn.MAXIFS(Tasks[_Row],Tasks[Pred2 UID],Tasks[[#This Row],[UID]]),_xlfn.MAXIFS(Tasks[_Row],Tasks[Pred3 UID],Tasks[[#This Row],[UID]]),_xlfn.MAXIFS(Tasks[_Row],Tasks[Pred4 UID],Tasks[[#This Row],[UID]])))</f>
        <v>0</v>
      </c>
      <c r="DB7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8" s="115" t="str">
        <f aca="false">IF(NOT(Tasks[[#This Row],[_IsLeaf]]=1),"",IF(N(Tasks[[#This Row],[Duration]])&lt;=0,Tasks[[#This Row],[_LeafLateFinish]],WORKDAY.INTL(Tasks[[#This Row],[_LeafLateFinish]],-(Tasks[[#This Row],[Duration]]-1),WorkWeek,Holidays)))</f>
        <v/>
      </c>
      <c r="DE7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8" s="114" t="b">
        <f aca="false">AND(Tasks[[#This Row],[_IsLeaf]]=1,Tasks[[#This Row],[_LeafProgress]]&lt;1,N(Tasks[[#This Row],[_LeafTotalSlack]])&lt;=CriticalSlackDays)</f>
        <v>0</v>
      </c>
      <c r="DG78" s="38" t="n">
        <f aca="false">IF(AND(Tasks[[#This Row],[_IsLeaf]]=1,Tasks[[#This Row],[_ConstraintCode]]=1,Tasks[[#This Row],[Mode]]&lt;&gt;"Manual",N(Tasks[[#This Row],[Actual Start]])=0),MAX(0,N(Tasks[[#This Row],[Free Slack]])),0)</f>
        <v>0</v>
      </c>
      <c r="DH78" s="115" t="str">
        <f aca="false">IF(NOT(Tasks[[#This Row],[_IsLeaf]]=1),"",IF(Tasks[[#This Row],[_AlapShift]]=0,Tasks[[#This Row],[_LeafCalcStart]],WORKDAY.INTL(Tasks[[#This Row],[_LeafCalcStart]],Tasks[[#This Row],[_AlapShift]],WorkWeek,Holidays)))</f>
        <v/>
      </c>
      <c r="DI78" s="115" t="str">
        <f aca="false">IF(NOT(Tasks[[#This Row],[_IsLeaf]]=1),"",IF(Tasks[[#This Row],[_AlapShift]]=0,Tasks[[#This Row],[_LeafCalcFinish]],WORKDAY.INTL(Tasks[[#This Row],[_LeafCalcFinish]],Tasks[[#This Row],[_AlapShift]],WorkWeek,Holidays)))</f>
        <v/>
      </c>
      <c r="DJ78" s="115" t="str">
        <f aca="false">IF(NOT(Tasks[[#This Row],[_IsLeaf]]=1),"",IF(Tasks[[#This Row],[_AlapShift]]=0,Tasks[[#This Row],[_LeafFcstStart]],WORKDAY.INTL(Tasks[[#This Row],[_LeafFcstStart]],Tasks[[#This Row],[_AlapShift]],WorkWeek,Holidays)))</f>
        <v/>
      </c>
      <c r="DK78" s="115" t="str">
        <f aca="false">IF(NOT(Tasks[[#This Row],[_IsLeaf]]=1),"",IF(Tasks[[#This Row],[_AlapShift]]=0,Tasks[[#This Row],[_LeafFcstFinish]],WORKDAY.INTL(Tasks[[#This Row],[_LeafFcstFinish]],Tasks[[#This Row],[_AlapShift]],WorkWeek,Holidays)))</f>
        <v/>
      </c>
      <c r="DL78" s="115" t="str">
        <f aca="false">IF(Tasks[[#This Row],[Task Name]]="","",IF(Tasks[[#This Row],[_IsSummary]],MIN(INDEX(Tasks[_ShownCalcStart],Tasks[[#This Row],[_Row]]+1):INDEX(Tasks[_ShownCalcStart],Tasks[[#This Row],[_Row]]+Tasks[[#This Row],[_Descendants]])),Tasks[[#This Row],[_ShownCalcStart]]))</f>
        <v/>
      </c>
      <c r="DM78" s="115" t="str">
        <f aca="false">IF(Tasks[[#This Row],[Task Name]]="","",IF(Tasks[[#This Row],[_IsSummary]],MAX(INDEX(Tasks[_ShownCalcFinish],Tasks[[#This Row],[_Row]]+1):INDEX(Tasks[_ShownCalcFinish],Tasks[[#This Row],[_Row]]+Tasks[[#This Row],[_Descendants]])),Tasks[[#This Row],[_ShownCalcFinish]]))</f>
        <v/>
      </c>
      <c r="DN7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8" s="38" t="n">
        <f aca="false">IF(AND(Tasks[[#This Row],[_IsLeaf]]=1,Tasks[[#This Row],[_LeafTotalWork]]&gt;0),NETWORKDAYS.INTL(ProjectStart,Tasks[[#This Row],[_ShownFcstStart]],WorkWeek,Holidays),0)</f>
        <v>0</v>
      </c>
      <c r="EA78" s="38" t="n">
        <f aca="false">IF(AND(Tasks[[#This Row],[_IsLeaf]]=1,Tasks[[#This Row],[_LeafTotalWork]]&gt;0),MAX(Tasks[[#This Row],[_StartWorkday]],NETWORKDAYS.INTL(ProjectStart,Tasks[[#This Row],[_ShownFcstFinish]],WorkWeek,Holidays)),0)</f>
        <v>0</v>
      </c>
      <c r="EB78" s="38" t="n">
        <f aca="false">IF(AND(Tasks[[#This Row],[_IsLeaf]]=1,Tasks[[#This Row],[_LeafTotalWork]]&gt;0),Tasks[[#This Row],[_LeafWork]]/(Tasks[[#This Row],[_FinishWorkday]]-Tasks[[#This Row],[_StartWorkday]]+1),0)</f>
        <v>0</v>
      </c>
      <c r="EC78" s="38" t="n">
        <f aca="false">Tasks[[#This Row],[_WorkPerWorkday]]*(Tasks[[#This Row],[_StartWorkday]]-1)</f>
        <v>-0</v>
      </c>
      <c r="ED78" s="38" t="n">
        <f aca="false">IF(Tasks[[#This Row],[_IsLeaf]]=1,MAX(N(Tasks[[#This Row],[Duration]]),0.1),0)</f>
        <v>0</v>
      </c>
      <c r="EE78" s="38" t="n">
        <f aca="false">Tasks[[#This Row],[_WeightDur]]*Tasks[[#This Row],[_LeafProgress]]</f>
        <v>0</v>
      </c>
      <c r="EF7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8" s="38" t="str">
        <f aca="false">IF(AND(Tasks[[#This Row],[_IsLeaf]]=1,N(Tasks[[#This Row],[Duration]])=0,Tasks[[#This Row],[_LeafProgress]]&lt;1),Tasks[[#This Row],[_ShownFcstFinish]]+Tasks[[#This Row],[_Row]]/100000,"")</f>
        <v/>
      </c>
      <c r="EH7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8" s="38" t="n">
        <f aca="false">IF(NOT(Tasks[[#This Row],[_IsLeaf]]=1),0,IF(Tasks[[#This Row],[Baseline Cost]]="",Tasks[[#This Row],[_LeafTotalCost]],N(Tasks[[#This Row],[Baseline Cost]])))</f>
        <v>0</v>
      </c>
      <c r="EJ78" s="38" t="n">
        <f aca="false">Tasks[[#This Row],[_LeafBudget]]*Tasks[[#This Row],[_PlannedPct]]</f>
        <v>0</v>
      </c>
      <c r="EK78" s="38" t="n">
        <f aca="false">Tasks[[#This Row],[_LeafBudget]]*Tasks[[#This Row],[_LeafProgress]]</f>
        <v>0</v>
      </c>
      <c r="EL78" s="38" t="n">
        <f aca="false">IF(NOT(Tasks[[#This Row],[_IsLeaf]]=1),0,IF(Tasks[[#This Row],[Actual Cost]]="",Tasks[[#This Row],[_LeafTotalCost]]*Tasks[[#This Row],[_LeafProgress]],N(Tasks[[#This Row],[Actual Cost]])))</f>
        <v>0</v>
      </c>
      <c r="EM78" s="38" t="str">
        <f aca="false">IF(Tasks[[#This Row],[Task Name]]="","",LEFT(Tasks[[#This Row],[WBS]],FIND(".",Tasks[[#This Row],[WBS]]&amp;".")-1))</f>
        <v/>
      </c>
      <c r="EN78" s="38" t="str">
        <f aca="false">IF(AND(Tasks[[#This Row],[Task Name]]&lt;&gt;"",Tasks[[#This Row],[_Level]]=1),Tasks[[#This Row],[_Row]],"")</f>
        <v/>
      </c>
      <c r="EO78" s="38" t="str">
        <f aca="false">IF(AND(Tasks[[#This Row],[_IsLeaf]]=1,N(Tasks[[#This Row],[Duration]])=0),Tasks[[#This Row],[Planned Finish]]+Tasks[[#This Row],[_Row]]/100000,"")</f>
        <v/>
      </c>
      <c r="EP78" s="38" t="str">
        <f aca="false">IF(AND(Tasks[[#This Row],[_IsLeaf]]=1,Tasks[[#This Row],[_LeafProgress]]&lt;1,OR(N(Tasks[[#This Row],[Finish Var]])&gt;0,Tasks[[#This Row],[Status]]="Late Start")),MAX(0,Tasks[[#This Row],[Finish Var]])+1-Tasks[[#This Row],[_Row]]/1000000,"")</f>
        <v/>
      </c>
      <c r="EQ78" s="38" t="str">
        <f aca="false">IF(AND(Tasks[[#This Row],[_IsLeaf]]=1,N(Tasks[[#This Row],[Actual Start]])=0,Tasks[[#This Row],[_ShownFcstStart]]&gt;=StatusDate,Tasks[[#This Row],[_ShownFcstStart]]&lt;=LookaheadEnd),Tasks[[#This Row],[_ShownFcstStart]]+Tasks[[#This Row],[_Row]]/100000,"")</f>
        <v/>
      </c>
      <c r="ER78" s="38" t="str">
        <f aca="false">IF(AND(Tasks[[#This Row],[_IsLeaf]]=1,Tasks[[#This Row],[_LeafProgress]]&lt;1,Tasks[[#This Row],[_ShownFcstFinish]]&gt;=StatusDate,Tasks[[#This Row],[_ShownFcstFinish]]&lt;=LookaheadEnd),Tasks[[#This Row],[_ShownFcstFinish]]+Tasks[[#This Row],[_Row]]/100000,"")</f>
        <v/>
      </c>
      <c r="ES78" s="38" t="str">
        <f aca="false">IF(Tasks[[#This Row],[_LeafCritical]],Tasks[[#This Row],[_ShownFcstStart]]+Tasks[[#This Row],[_Row]]/100000,"")</f>
        <v/>
      </c>
      <c r="ET78" s="38" t="n">
        <f aca="false">Tasks[[#This Row],[_LeafWork]]*Tasks[[#This Row],[_LeafProgress]]</f>
        <v>0</v>
      </c>
      <c r="EU78" s="115" t="str">
        <f aca="false">IF(AND(Tasks[[#This Row],[_IsLeaf]]=1,Tasks[[#This Row],[_LeafProgress]]&gt;=1),IF(N(Tasks[[#This Row],[Actual Finish]])&gt;0,Tasks[[#This Row],[Actual Finish]],Tasks[[#This Row],[_ShownFcstFinish]]),"")</f>
        <v/>
      </c>
      <c r="EV78" s="38" t="n">
        <f aca="false">IF(Tasks[[#This Row],[_IsLeaf]]=1,N(Tasks[[#This Row],[Story Points]]),0)</f>
        <v>0</v>
      </c>
      <c r="EW78" s="38" t="str">
        <f aca="false">IF(AND(Tasks[[#This Row],[_IsLeaf]]=1,CurrentSprint&lt;&gt;"",Tasks[[#This Row],[Sprint]]=CurrentSprint),Tasks[[#This Row],[_Row]],"")</f>
        <v/>
      </c>
    </row>
    <row r="79" customFormat="false" ht="15" hidden="false" customHeight="false" outlineLevel="0" collapsed="false">
      <c r="A79" s="51" t="str">
        <f aca="false">IF(Tasks[[#This Row],[Task Name]]="","",COUNTA(Tasks[[#Headers],[Task Name]]:Tasks[[#This Row],[Task Name]])-1)</f>
        <v/>
      </c>
      <c r="B79" s="52" t="n">
        <v>74</v>
      </c>
      <c r="C7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52"/>
      <c r="E79" s="53"/>
      <c r="F79" s="52"/>
      <c r="G79" s="52"/>
      <c r="H79" s="52"/>
      <c r="I79" s="52"/>
      <c r="J79" s="52"/>
      <c r="K79" s="52"/>
      <c r="L79" s="52"/>
      <c r="M79" s="52"/>
      <c r="N79" s="52"/>
      <c r="O79" s="52"/>
      <c r="P79" s="52"/>
      <c r="Q79" s="52"/>
      <c r="R79" s="52"/>
      <c r="S79" s="53"/>
      <c r="T79" s="102"/>
      <c r="U79" s="102"/>
      <c r="V79" s="7"/>
      <c r="W79" s="7"/>
      <c r="X79" s="53"/>
      <c r="Y79" s="31" t="str">
        <f aca="false">IF(Tasks[[#This Row],[Task Name]]="","",IF(Tasks[[#This Row],[_IsSummary]],MIN(INDEX(Tasks[_ShownFcstStart],Tasks[[#This Row],[_Row]]+1):INDEX(Tasks[_ShownFcstStart],Tasks[[#This Row],[_Row]]+Tasks[[#This Row],[_Descendants]])),Tasks[[#This Row],[_ShownFcstStart]]))</f>
        <v/>
      </c>
      <c r="Z79" s="31" t="str">
        <f aca="false">IF(Tasks[[#This Row],[Task Name]]="","",IF(Tasks[[#This Row],[_IsSummary]],MAX(INDEX(Tasks[_ShownFcstFinish],Tasks[[#This Row],[_Row]]+1):INDEX(Tasks[_ShownFcstFinish],Tasks[[#This Row],[_Row]]+Tasks[[#This Row],[_Descendants]])),Tasks[[#This Row],[_ShownFcstFinish]]))</f>
        <v/>
      </c>
      <c r="AA79" s="51" t="str">
        <f aca="false">IF(Tasks[[#This Row],[Task Name]]="","",IF(Tasks[[#This Row],[Progress]]&gt;=1,"Complete",IF(OR(N(Tasks[[#This Row],[Actual Start]])&gt;0,Tasks[[#This Row],[Progress]]&gt;0),IF(Tasks[[#This Row],[Finish Var]]&gt;0,"Behind","In Progress"),IF(Tasks[[#This Row],[Planned Start]]&lt;StatusDate,"Late Start","Not Started"))))</f>
        <v/>
      </c>
      <c r="AB79" s="51" t="str">
        <f aca="false">IF(Tasks[[#This Row],[Task Name]]="","",IF(IF(Tasks[[#This Row],[_IsSummary]],COUNTIF(INDEX(Tasks[_LeafCritical],Tasks[[#This Row],[_Row]]+1):INDEX(Tasks[_LeafCritical],Tasks[[#This Row],[_Row]]+Tasks[[#This Row],[_Descendants]]),TRUE())&gt;0,Tasks[[#This Row],[_LeafCritical]]),"Yes",""))</f>
        <v/>
      </c>
      <c r="AC7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9" s="51" t="str">
        <f aca="false">IF(Tasks[[#This Row],[Task Name]]="","",IF(Tasks[[#This Row],[_Level]]&lt;=OutlineShowLevel,"Yes","No"))</f>
        <v/>
      </c>
      <c r="AE79" s="7"/>
      <c r="AF79" s="52"/>
      <c r="AG79" s="53"/>
      <c r="AH79" s="7"/>
      <c r="AI7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9" s="31" t="str">
        <f aca="false">IF(Tasks[[#This Row],[Task Name]]="","",IF(N(Tasks[[#This Row],[Baseline Start]])&gt;0,Tasks[[#This Row],[Baseline Start]],Tasks[[#This Row],[_CalcStart]]))</f>
        <v/>
      </c>
      <c r="AK79" s="31" t="str">
        <f aca="false">IF(Tasks[[#This Row],[Task Name]]="","",IF(N(Tasks[[#This Row],[Baseline Finish]])&gt;0,Tasks[[#This Row],[Baseline Finish]],Tasks[[#This Row],[_CalcFinish]]))</f>
        <v/>
      </c>
      <c r="AL7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9" s="31" t="str">
        <f aca="false">IF(Tasks[[#This Row],[Task Name]]="","",IF(Tasks[[#This Row],[_IsSummary]],MIN(INDEX(Tasks[_LeafLateStart],Tasks[[#This Row],[_Row]]+1):INDEX(Tasks[_LeafLateStart],Tasks[[#This Row],[_Row]]+Tasks[[#This Row],[_Descendants]])),Tasks[[#This Row],[_LeafLateStart]]))</f>
        <v/>
      </c>
      <c r="AN79" s="31" t="str">
        <f aca="false">IF(Tasks[[#This Row],[Task Name]]="","",IF(Tasks[[#This Row],[_IsSummary]],MAX(INDEX(Tasks[_LeafLateFinish],Tasks[[#This Row],[_Row]]+1):INDEX(Tasks[_LeafLateFinish],Tasks[[#This Row],[_Row]]+Tasks[[#This Row],[_Descendants]])),Tasks[[#This Row],[_LeafLateFinish]]))</f>
        <v/>
      </c>
      <c r="AO79" s="51" t="str">
        <f aca="false">IF(Tasks[[#This Row],[Task Name]]="","",IF(Tasks[[#This Row],[_IsSummary]],MIN(INDEX(Tasks[_LeafTotalSlack],Tasks[[#This Row],[_Row]]+1):INDEX(Tasks[_LeafTotalSlack],Tasks[[#This Row],[_Row]]+Tasks[[#This Row],[_Descendants]])),Tasks[[#This Row],[_LeafTotalSlack]]))</f>
        <v/>
      </c>
      <c r="AP7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9" s="110" t="str">
        <f aca="false">IF(Tasks[[#This Row],[Task Name]]="","",IF(Tasks[[#This Row],[_IsSummary]],SUM(INDEX(Tasks[_LeafTotalWork],Tasks[[#This Row],[_Row]]+1):INDEX(Tasks[_LeafTotalWork],Tasks[[#This Row],[_Row]]+Tasks[[#This Row],[_Descendants]])),Tasks[[#This Row],[_LeafTotalWork]]))</f>
        <v/>
      </c>
      <c r="AV7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9" s="111" t="str">
        <f aca="false">IF(Tasks[[#This Row],[Task Name]]="","",IF(Tasks[[#This Row],[_IsSummary]],SUM(INDEX(Tasks[_LeafTotalCost],Tasks[[#This Row],[_Row]]+1):INDEX(Tasks[_LeafTotalCost],Tasks[[#This Row],[_Row]]+Tasks[[#This Row],[_Descendants]])),Tasks[[#This Row],[_LeafTotalCost]]))</f>
        <v/>
      </c>
      <c r="AY79" s="112"/>
      <c r="AZ7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9" s="52"/>
      <c r="BB79" s="98"/>
      <c r="BC79" s="51" t="str">
        <f aca="false">IF(OR(Tasks[[#This Row],[Task Name]]="",Tasks[[#This Row],[Baseline Duration]]=""),"",Tasks[[#This Row],[BL Source Duration]]-N(Tasks[[#This Row],[Baseline Duration]]))</f>
        <v/>
      </c>
      <c r="BD79" s="110" t="str">
        <f aca="false">IF(OR(Tasks[[#This Row],[Task Name]]="",Tasks[[#This Row],[Baseline Work]]=""),"",Tasks[[#This Row],[Work]]-N(Tasks[[#This Row],[Baseline Work]]))</f>
        <v/>
      </c>
      <c r="BE79" s="111" t="str">
        <f aca="false">IF(OR(Tasks[[#This Row],[Task Name]]="",Tasks[[#This Row],[Baseline Cost]]=""),"",Tasks[[#This Row],[Cost]]-N(Tasks[[#This Row],[Baseline Cost]]))</f>
        <v/>
      </c>
      <c r="BF79" s="31" t="str">
        <f aca="false">IF(Tasks[[#This Row],[Task Name]]="","",Tasks[[#This Row],[Forecast Start]])</f>
        <v/>
      </c>
      <c r="BG79" s="31" t="str">
        <f aca="false">IF(Tasks[[#This Row],[Task Name]]="","",Tasks[[#This Row],[Forecast Finish]])</f>
        <v/>
      </c>
      <c r="BH79" s="51" t="str">
        <f aca="false">IF(Tasks[[#This Row],[Task Name]]="","",IF(Tasks[[#This Row],[_IsSummary]],NETWORKDAYS.INTL(Tasks[[#This Row],[Forecast Start]],Tasks[[#This Row],[Forecast Finish]],WorkWeek,Holidays),N(Tasks[[#This Row],[Duration]])))</f>
        <v/>
      </c>
      <c r="BI79" s="110" t="str">
        <f aca="false">IF(Tasks[[#This Row],[Task Name]]="","",Tasks[[#This Row],[Work]])</f>
        <v/>
      </c>
      <c r="BJ79" s="111" t="str">
        <f aca="false">IF(Tasks[[#This Row],[Task Name]]="","",Tasks[[#This Row],[Cost]])</f>
        <v/>
      </c>
      <c r="BK79" s="7"/>
      <c r="BL79" s="7"/>
      <c r="BM79" s="52"/>
      <c r="BN79" s="113"/>
      <c r="BO79" s="112"/>
      <c r="BP79" s="111" t="str">
        <f aca="false">IF(Tasks[[#This Row],[Task Name]]="","",IF(Tasks[[#This Row],[_IsSummary]],SUM(INDEX(Tasks[_LeafEV],Tasks[[#This Row],[_Row]]+1):INDEX(Tasks[_LeafEV],Tasks[[#This Row],[_Row]]+Tasks[[#This Row],[_Descendants]])),Tasks[[#This Row],[_LeafEV]]))</f>
        <v/>
      </c>
      <c r="BQ79" s="111" t="str">
        <f aca="false">IF(Tasks[[#This Row],[Task Name]]="","",IF(Tasks[[#This Row],[_IsSummary]],SUM(INDEX(Tasks[_LeafBudget],Tasks[[#This Row],[_Row]]+1):INDEX(Tasks[_LeafBudget],Tasks[[#This Row],[_Row]]+Tasks[[#This Row],[_Descendants]])),Tasks[[#This Row],[_LeafBudget]]))</f>
        <v/>
      </c>
      <c r="BR79" s="111" t="str">
        <f aca="false">IF(Tasks[[#This Row],[Task Name]]="","",IF(Tasks[[#This Row],[_IsSummary]],SUM(INDEX(Tasks[_LeafPV],Tasks[[#This Row],[_Row]]+1):INDEX(Tasks[_LeafPV],Tasks[[#This Row],[_Row]]+Tasks[[#This Row],[_Descendants]])),Tasks[[#This Row],[_LeafPV]]))</f>
        <v/>
      </c>
      <c r="BS79" s="111" t="str">
        <f aca="false">IF(Tasks[[#This Row],[Task Name]]="","",IF(Tasks[[#This Row],[_IsSummary]],SUM(INDEX(Tasks[_LeafAC],Tasks[[#This Row],[_Row]]+1):INDEX(Tasks[_LeafAC],Tasks[[#This Row],[_Row]]+Tasks[[#This Row],[_Descendants]])),Tasks[[#This Row],[_LeafAC]]))</f>
        <v/>
      </c>
      <c r="BT79" s="38" t="str">
        <f aca="false">IF(Tasks[[#This Row],[Task Name]]="","",MAX(1,N(Tasks[[#This Row],[Level]])))</f>
        <v/>
      </c>
      <c r="BU79" s="38" t="n">
        <f aca="false">ROW()-ROW(Tasks[[#Headers],[ID]])</f>
        <v>74</v>
      </c>
      <c r="BV79" s="38" t="n">
        <f aca="false">IF(OR(Tasks[[#This Row],[Task Name]]="",Tasks[[#This Row],[_Level]]&lt;=1),0,IFERROR(LOOKUP(2,1/(Tasks[[#Headers],[_Level]]:Tasks[[#This Row],[_Level]]=Tasks[[#This Row],[_Level]]-1),ROW(Tasks[[#Headers],[_Level]]:Tasks[[#This Row],[_Level]])),0))</f>
        <v>0</v>
      </c>
      <c r="BW79" s="38" t="n">
        <f aca="false">IFERROR(N(INDEX(Tasks[_Level],Tasks[[#This Row],[_Row]]+1)),0)</f>
        <v>0</v>
      </c>
      <c r="BX79" s="114" t="b">
        <f aca="false">AND(Tasks[[#This Row],[Task Name]]&lt;&gt;"",Tasks[[#This Row],[_NextLevel]]&gt;Tasks[[#This Row],[_Level]])</f>
        <v>0</v>
      </c>
      <c r="BY79" s="38" t="n">
        <f aca="false">IF(Tasks[[#This Row],[_IsSummary]],COUNTIF(Tasks[WBS],Tasks[[#This Row],[WBS]]&amp;".*"),0)</f>
        <v>0</v>
      </c>
      <c r="BZ79" s="38" t="n">
        <f aca="false">IF(AND(Tasks[[#This Row],[Task Name]]&lt;&gt;"",NOT(Tasks[[#This Row],[_IsSummary]])),1,0)</f>
        <v>0</v>
      </c>
      <c r="CA79" s="38" t="n">
        <f aca="false">IF(N(Tasks[[#This Row],[Pred1 UID]])=0,0,IFERROR(MATCH(Tasks[[#This Row],[Pred1 UID]],Tasks[UID],0),-1))</f>
        <v>0</v>
      </c>
      <c r="CB79" s="38" t="n">
        <f aca="false">IF(N(Tasks[[#This Row],[Pred2 UID]])=0,0,IFERROR(MATCH(Tasks[[#This Row],[Pred2 UID]],Tasks[UID],0),-1))</f>
        <v>0</v>
      </c>
      <c r="CC79" s="38" t="n">
        <f aca="false">IF(N(Tasks[[#This Row],[Pred3 UID]])=0,0,IFERROR(MATCH(Tasks[[#This Row],[Pred3 UID]],Tasks[UID],0),-1))</f>
        <v>0</v>
      </c>
      <c r="CD79" s="38" t="n">
        <f aca="false">IF(N(Tasks[[#This Row],[Pred4 UID]])=0,0,IFERROR(MATCH(Tasks[[#This Row],[Pred4 UID]],Tasks[UID],0),-1))</f>
        <v>0</v>
      </c>
      <c r="CE7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9" s="115" t="n">
        <f aca="false">IF(OR(Tasks[[#This Row],[_ConstraintCode]]=2,Tasks[[#This Row],[_ConstraintCode]]=3,Tasks[[#This Row],[_ConstraintCode]]=4,Tasks[[#This Row],[_ConstraintCode]]=6),Tasks[[#This Row],[_ConstraintStart]],0)</f>
        <v>0</v>
      </c>
      <c r="CH79" s="115" t="n">
        <f aca="false">IF(OR(Tasks[[#This Row],[_ConstraintCode]]=2,Tasks[[#This Row],[_ConstraintCode]]=3,Tasks[[#This Row],[_ConstraintCode]]=5,Tasks[[#This Row],[_ConstraintCode]]=7),Tasks[[#This Row],[_ConstraintStart]],2958465)</f>
        <v>2958465</v>
      </c>
      <c r="CI7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9" s="115" t="str">
        <f aca="false">IF(NOT(Tasks[[#This Row],[_IsLeaf]]=1),"",IF(N(Tasks[[#This Row],[Duration]])&lt;=0,Tasks[[#This Row],[_LeafCalcStart]],WORKDAY.INTL(Tasks[[#This Row],[_LeafCalcStart]],Tasks[[#This Row],[Duration]]-1,WorkWeek,Holidays)))</f>
        <v/>
      </c>
      <c r="CK7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9" s="38" t="n">
        <f aca="false">IF(NOT(Tasks[[#This Row],[_IsLeaf]]=1),0,IF(N(Tasks[[#This Row],[Actual Finish]])&gt;0,1,MIN(1,N(Tasks[[#This Row],[% Complete]]))))</f>
        <v>0</v>
      </c>
      <c r="CN79" s="38" t="n">
        <f aca="false">IF(OR(NOT(Tasks[[#This Row],[_IsLeaf]]=1),Tasks[[#This Row],[Resource]]=""),0,N(Tasks[[#This Row],[Duration]])*HoursPerDay*IF(Tasks[[#This Row],[Units]]="",DefaultUnits,Tasks[[#This Row],[Units]]))</f>
        <v>0</v>
      </c>
      <c r="CO79" s="38" t="n">
        <f aca="false">IF(Tasks[[#This Row],[_LeafWork]]=0,0,Tasks[[#This Row],[_LeafWork]]*IFERROR(INDEX(res_Rate,MATCH(Tasks[[#This Row],[Resource]],res_Name,0)),0))</f>
        <v>0</v>
      </c>
      <c r="CP79" s="38" t="n">
        <f aca="false">Tasks[[#This Row],[_LeafWork]]+IF(Tasks[[#This Row],[_IsLeaf]]=1,SUMIFS(asg_Work,asg_TaskUID,Tasks[[#This Row],[UID]],asg_Valid,1),0)</f>
        <v>0</v>
      </c>
      <c r="CQ79" s="38" t="n">
        <f aca="false">Tasks[[#This Row],[_LeafCost]]+IF(Tasks[[#This Row],[_IsLeaf]]=1,SUMIFS(asg_Cost,asg_TaskUID,Tasks[[#This Row],[UID]],asg_Valid,1),0)</f>
        <v>0</v>
      </c>
      <c r="CR79" s="38" t="n">
        <f aca="false">IF(Tasks[[#This Row],[_LeafTotalCost]]=0,Tasks[[#This Row],[_LeafAC]],Tasks[[#This Row],[_LeafAC]]*Tasks[[#This Row],[_LeafCost]]/Tasks[[#This Row],[_LeafTotalCost]])</f>
        <v>0</v>
      </c>
      <c r="CS7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9" s="38" t="n">
        <f aca="false">IF(NOT(Tasks[[#This Row],[_IsLeaf]]=1),0,MAX(_xlfn.MAXIFS(Tasks[_Row],Tasks[Pred1 UID],Tasks[[#This Row],[UID]]),_xlfn.MAXIFS(Tasks[_Row],Tasks[Pred2 UID],Tasks[[#This Row],[UID]]),_xlfn.MAXIFS(Tasks[_Row],Tasks[Pred3 UID],Tasks[[#This Row],[UID]]),_xlfn.MAXIFS(Tasks[_Row],Tasks[Pred4 UID],Tasks[[#This Row],[UID]])))</f>
        <v>0</v>
      </c>
      <c r="DB7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9" s="115" t="str">
        <f aca="false">IF(NOT(Tasks[[#This Row],[_IsLeaf]]=1),"",IF(N(Tasks[[#This Row],[Duration]])&lt;=0,Tasks[[#This Row],[_LeafLateFinish]],WORKDAY.INTL(Tasks[[#This Row],[_LeafLateFinish]],-(Tasks[[#This Row],[Duration]]-1),WorkWeek,Holidays)))</f>
        <v/>
      </c>
      <c r="DE7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9" s="114" t="b">
        <f aca="false">AND(Tasks[[#This Row],[_IsLeaf]]=1,Tasks[[#This Row],[_LeafProgress]]&lt;1,N(Tasks[[#This Row],[_LeafTotalSlack]])&lt;=CriticalSlackDays)</f>
        <v>0</v>
      </c>
      <c r="DG79" s="38" t="n">
        <f aca="false">IF(AND(Tasks[[#This Row],[_IsLeaf]]=1,Tasks[[#This Row],[_ConstraintCode]]=1,Tasks[[#This Row],[Mode]]&lt;&gt;"Manual",N(Tasks[[#This Row],[Actual Start]])=0),MAX(0,N(Tasks[[#This Row],[Free Slack]])),0)</f>
        <v>0</v>
      </c>
      <c r="DH79" s="115" t="str">
        <f aca="false">IF(NOT(Tasks[[#This Row],[_IsLeaf]]=1),"",IF(Tasks[[#This Row],[_AlapShift]]=0,Tasks[[#This Row],[_LeafCalcStart]],WORKDAY.INTL(Tasks[[#This Row],[_LeafCalcStart]],Tasks[[#This Row],[_AlapShift]],WorkWeek,Holidays)))</f>
        <v/>
      </c>
      <c r="DI79" s="115" t="str">
        <f aca="false">IF(NOT(Tasks[[#This Row],[_IsLeaf]]=1),"",IF(Tasks[[#This Row],[_AlapShift]]=0,Tasks[[#This Row],[_LeafCalcFinish]],WORKDAY.INTL(Tasks[[#This Row],[_LeafCalcFinish]],Tasks[[#This Row],[_AlapShift]],WorkWeek,Holidays)))</f>
        <v/>
      </c>
      <c r="DJ79" s="115" t="str">
        <f aca="false">IF(NOT(Tasks[[#This Row],[_IsLeaf]]=1),"",IF(Tasks[[#This Row],[_AlapShift]]=0,Tasks[[#This Row],[_LeafFcstStart]],WORKDAY.INTL(Tasks[[#This Row],[_LeafFcstStart]],Tasks[[#This Row],[_AlapShift]],WorkWeek,Holidays)))</f>
        <v/>
      </c>
      <c r="DK79" s="115" t="str">
        <f aca="false">IF(NOT(Tasks[[#This Row],[_IsLeaf]]=1),"",IF(Tasks[[#This Row],[_AlapShift]]=0,Tasks[[#This Row],[_LeafFcstFinish]],WORKDAY.INTL(Tasks[[#This Row],[_LeafFcstFinish]],Tasks[[#This Row],[_AlapShift]],WorkWeek,Holidays)))</f>
        <v/>
      </c>
      <c r="DL79" s="115" t="str">
        <f aca="false">IF(Tasks[[#This Row],[Task Name]]="","",IF(Tasks[[#This Row],[_IsSummary]],MIN(INDEX(Tasks[_ShownCalcStart],Tasks[[#This Row],[_Row]]+1):INDEX(Tasks[_ShownCalcStart],Tasks[[#This Row],[_Row]]+Tasks[[#This Row],[_Descendants]])),Tasks[[#This Row],[_ShownCalcStart]]))</f>
        <v/>
      </c>
      <c r="DM79" s="115" t="str">
        <f aca="false">IF(Tasks[[#This Row],[Task Name]]="","",IF(Tasks[[#This Row],[_IsSummary]],MAX(INDEX(Tasks[_ShownCalcFinish],Tasks[[#This Row],[_Row]]+1):INDEX(Tasks[_ShownCalcFinish],Tasks[[#This Row],[_Row]]+Tasks[[#This Row],[_Descendants]])),Tasks[[#This Row],[_ShownCalcFinish]]))</f>
        <v/>
      </c>
      <c r="DN7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9" s="38" t="n">
        <f aca="false">IF(AND(Tasks[[#This Row],[_IsLeaf]]=1,Tasks[[#This Row],[_LeafTotalWork]]&gt;0),NETWORKDAYS.INTL(ProjectStart,Tasks[[#This Row],[_ShownFcstStart]],WorkWeek,Holidays),0)</f>
        <v>0</v>
      </c>
      <c r="EA79" s="38" t="n">
        <f aca="false">IF(AND(Tasks[[#This Row],[_IsLeaf]]=1,Tasks[[#This Row],[_LeafTotalWork]]&gt;0),MAX(Tasks[[#This Row],[_StartWorkday]],NETWORKDAYS.INTL(ProjectStart,Tasks[[#This Row],[_ShownFcstFinish]],WorkWeek,Holidays)),0)</f>
        <v>0</v>
      </c>
      <c r="EB79" s="38" t="n">
        <f aca="false">IF(AND(Tasks[[#This Row],[_IsLeaf]]=1,Tasks[[#This Row],[_LeafTotalWork]]&gt;0),Tasks[[#This Row],[_LeafWork]]/(Tasks[[#This Row],[_FinishWorkday]]-Tasks[[#This Row],[_StartWorkday]]+1),0)</f>
        <v>0</v>
      </c>
      <c r="EC79" s="38" t="n">
        <f aca="false">Tasks[[#This Row],[_WorkPerWorkday]]*(Tasks[[#This Row],[_StartWorkday]]-1)</f>
        <v>-0</v>
      </c>
      <c r="ED79" s="38" t="n">
        <f aca="false">IF(Tasks[[#This Row],[_IsLeaf]]=1,MAX(N(Tasks[[#This Row],[Duration]]),0.1),0)</f>
        <v>0</v>
      </c>
      <c r="EE79" s="38" t="n">
        <f aca="false">Tasks[[#This Row],[_WeightDur]]*Tasks[[#This Row],[_LeafProgress]]</f>
        <v>0</v>
      </c>
      <c r="EF7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9" s="38" t="str">
        <f aca="false">IF(AND(Tasks[[#This Row],[_IsLeaf]]=1,N(Tasks[[#This Row],[Duration]])=0,Tasks[[#This Row],[_LeafProgress]]&lt;1),Tasks[[#This Row],[_ShownFcstFinish]]+Tasks[[#This Row],[_Row]]/100000,"")</f>
        <v/>
      </c>
      <c r="EH7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9" s="38" t="n">
        <f aca="false">IF(NOT(Tasks[[#This Row],[_IsLeaf]]=1),0,IF(Tasks[[#This Row],[Baseline Cost]]="",Tasks[[#This Row],[_LeafTotalCost]],N(Tasks[[#This Row],[Baseline Cost]])))</f>
        <v>0</v>
      </c>
      <c r="EJ79" s="38" t="n">
        <f aca="false">Tasks[[#This Row],[_LeafBudget]]*Tasks[[#This Row],[_PlannedPct]]</f>
        <v>0</v>
      </c>
      <c r="EK79" s="38" t="n">
        <f aca="false">Tasks[[#This Row],[_LeafBudget]]*Tasks[[#This Row],[_LeafProgress]]</f>
        <v>0</v>
      </c>
      <c r="EL79" s="38" t="n">
        <f aca="false">IF(NOT(Tasks[[#This Row],[_IsLeaf]]=1),0,IF(Tasks[[#This Row],[Actual Cost]]="",Tasks[[#This Row],[_LeafTotalCost]]*Tasks[[#This Row],[_LeafProgress]],N(Tasks[[#This Row],[Actual Cost]])))</f>
        <v>0</v>
      </c>
      <c r="EM79" s="38" t="str">
        <f aca="false">IF(Tasks[[#This Row],[Task Name]]="","",LEFT(Tasks[[#This Row],[WBS]],FIND(".",Tasks[[#This Row],[WBS]]&amp;".")-1))</f>
        <v/>
      </c>
      <c r="EN79" s="38" t="str">
        <f aca="false">IF(AND(Tasks[[#This Row],[Task Name]]&lt;&gt;"",Tasks[[#This Row],[_Level]]=1),Tasks[[#This Row],[_Row]],"")</f>
        <v/>
      </c>
      <c r="EO79" s="38" t="str">
        <f aca="false">IF(AND(Tasks[[#This Row],[_IsLeaf]]=1,N(Tasks[[#This Row],[Duration]])=0),Tasks[[#This Row],[Planned Finish]]+Tasks[[#This Row],[_Row]]/100000,"")</f>
        <v/>
      </c>
      <c r="EP79" s="38" t="str">
        <f aca="false">IF(AND(Tasks[[#This Row],[_IsLeaf]]=1,Tasks[[#This Row],[_LeafProgress]]&lt;1,OR(N(Tasks[[#This Row],[Finish Var]])&gt;0,Tasks[[#This Row],[Status]]="Late Start")),MAX(0,Tasks[[#This Row],[Finish Var]])+1-Tasks[[#This Row],[_Row]]/1000000,"")</f>
        <v/>
      </c>
      <c r="EQ79" s="38" t="str">
        <f aca="false">IF(AND(Tasks[[#This Row],[_IsLeaf]]=1,N(Tasks[[#This Row],[Actual Start]])=0,Tasks[[#This Row],[_ShownFcstStart]]&gt;=StatusDate,Tasks[[#This Row],[_ShownFcstStart]]&lt;=LookaheadEnd),Tasks[[#This Row],[_ShownFcstStart]]+Tasks[[#This Row],[_Row]]/100000,"")</f>
        <v/>
      </c>
      <c r="ER79" s="38" t="str">
        <f aca="false">IF(AND(Tasks[[#This Row],[_IsLeaf]]=1,Tasks[[#This Row],[_LeafProgress]]&lt;1,Tasks[[#This Row],[_ShownFcstFinish]]&gt;=StatusDate,Tasks[[#This Row],[_ShownFcstFinish]]&lt;=LookaheadEnd),Tasks[[#This Row],[_ShownFcstFinish]]+Tasks[[#This Row],[_Row]]/100000,"")</f>
        <v/>
      </c>
      <c r="ES79" s="38" t="str">
        <f aca="false">IF(Tasks[[#This Row],[_LeafCritical]],Tasks[[#This Row],[_ShownFcstStart]]+Tasks[[#This Row],[_Row]]/100000,"")</f>
        <v/>
      </c>
      <c r="ET79" s="38" t="n">
        <f aca="false">Tasks[[#This Row],[_LeafWork]]*Tasks[[#This Row],[_LeafProgress]]</f>
        <v>0</v>
      </c>
      <c r="EU79" s="115" t="str">
        <f aca="false">IF(AND(Tasks[[#This Row],[_IsLeaf]]=1,Tasks[[#This Row],[_LeafProgress]]&gt;=1),IF(N(Tasks[[#This Row],[Actual Finish]])&gt;0,Tasks[[#This Row],[Actual Finish]],Tasks[[#This Row],[_ShownFcstFinish]]),"")</f>
        <v/>
      </c>
      <c r="EV79" s="38" t="n">
        <f aca="false">IF(Tasks[[#This Row],[_IsLeaf]]=1,N(Tasks[[#This Row],[Story Points]]),0)</f>
        <v>0</v>
      </c>
      <c r="EW79" s="38" t="str">
        <f aca="false">IF(AND(Tasks[[#This Row],[_IsLeaf]]=1,CurrentSprint&lt;&gt;"",Tasks[[#This Row],[Sprint]]=CurrentSprint),Tasks[[#This Row],[_Row]],"")</f>
        <v/>
      </c>
    </row>
    <row r="80" customFormat="false" ht="15" hidden="false" customHeight="false" outlineLevel="0" collapsed="false">
      <c r="A80" s="51" t="str">
        <f aca="false">IF(Tasks[[#This Row],[Task Name]]="","",COUNTA(Tasks[[#Headers],[Task Name]]:Tasks[[#This Row],[Task Name]])-1)</f>
        <v/>
      </c>
      <c r="B80" s="52" t="n">
        <v>75</v>
      </c>
      <c r="C8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52"/>
      <c r="E80" s="53"/>
      <c r="F80" s="52"/>
      <c r="G80" s="52"/>
      <c r="H80" s="52"/>
      <c r="I80" s="52"/>
      <c r="J80" s="52"/>
      <c r="K80" s="52"/>
      <c r="L80" s="52"/>
      <c r="M80" s="52"/>
      <c r="N80" s="52"/>
      <c r="O80" s="52"/>
      <c r="P80" s="52"/>
      <c r="Q80" s="52"/>
      <c r="R80" s="52"/>
      <c r="S80" s="53"/>
      <c r="T80" s="102"/>
      <c r="U80" s="102"/>
      <c r="V80" s="7"/>
      <c r="W80" s="7"/>
      <c r="X80" s="53"/>
      <c r="Y80" s="31" t="str">
        <f aca="false">IF(Tasks[[#This Row],[Task Name]]="","",IF(Tasks[[#This Row],[_IsSummary]],MIN(INDEX(Tasks[_ShownFcstStart],Tasks[[#This Row],[_Row]]+1):INDEX(Tasks[_ShownFcstStart],Tasks[[#This Row],[_Row]]+Tasks[[#This Row],[_Descendants]])),Tasks[[#This Row],[_ShownFcstStart]]))</f>
        <v/>
      </c>
      <c r="Z80" s="31" t="str">
        <f aca="false">IF(Tasks[[#This Row],[Task Name]]="","",IF(Tasks[[#This Row],[_IsSummary]],MAX(INDEX(Tasks[_ShownFcstFinish],Tasks[[#This Row],[_Row]]+1):INDEX(Tasks[_ShownFcstFinish],Tasks[[#This Row],[_Row]]+Tasks[[#This Row],[_Descendants]])),Tasks[[#This Row],[_ShownFcstFinish]]))</f>
        <v/>
      </c>
      <c r="AA80" s="51" t="str">
        <f aca="false">IF(Tasks[[#This Row],[Task Name]]="","",IF(Tasks[[#This Row],[Progress]]&gt;=1,"Complete",IF(OR(N(Tasks[[#This Row],[Actual Start]])&gt;0,Tasks[[#This Row],[Progress]]&gt;0),IF(Tasks[[#This Row],[Finish Var]]&gt;0,"Behind","In Progress"),IF(Tasks[[#This Row],[Planned Start]]&lt;StatusDate,"Late Start","Not Started"))))</f>
        <v/>
      </c>
      <c r="AB80" s="51" t="str">
        <f aca="false">IF(Tasks[[#This Row],[Task Name]]="","",IF(IF(Tasks[[#This Row],[_IsSummary]],COUNTIF(INDEX(Tasks[_LeafCritical],Tasks[[#This Row],[_Row]]+1):INDEX(Tasks[_LeafCritical],Tasks[[#This Row],[_Row]]+Tasks[[#This Row],[_Descendants]]),TRUE())&gt;0,Tasks[[#This Row],[_LeafCritical]]),"Yes",""))</f>
        <v/>
      </c>
      <c r="AC8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0" s="51" t="str">
        <f aca="false">IF(Tasks[[#This Row],[Task Name]]="","",IF(Tasks[[#This Row],[_Level]]&lt;=OutlineShowLevel,"Yes","No"))</f>
        <v/>
      </c>
      <c r="AE80" s="7"/>
      <c r="AF80" s="52"/>
      <c r="AG80" s="53"/>
      <c r="AH80" s="7"/>
      <c r="AI8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0" s="31" t="str">
        <f aca="false">IF(Tasks[[#This Row],[Task Name]]="","",IF(N(Tasks[[#This Row],[Baseline Start]])&gt;0,Tasks[[#This Row],[Baseline Start]],Tasks[[#This Row],[_CalcStart]]))</f>
        <v/>
      </c>
      <c r="AK80" s="31" t="str">
        <f aca="false">IF(Tasks[[#This Row],[Task Name]]="","",IF(N(Tasks[[#This Row],[Baseline Finish]])&gt;0,Tasks[[#This Row],[Baseline Finish]],Tasks[[#This Row],[_CalcFinish]]))</f>
        <v/>
      </c>
      <c r="AL8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0" s="31" t="str">
        <f aca="false">IF(Tasks[[#This Row],[Task Name]]="","",IF(Tasks[[#This Row],[_IsSummary]],MIN(INDEX(Tasks[_LeafLateStart],Tasks[[#This Row],[_Row]]+1):INDEX(Tasks[_LeafLateStart],Tasks[[#This Row],[_Row]]+Tasks[[#This Row],[_Descendants]])),Tasks[[#This Row],[_LeafLateStart]]))</f>
        <v/>
      </c>
      <c r="AN80" s="31" t="str">
        <f aca="false">IF(Tasks[[#This Row],[Task Name]]="","",IF(Tasks[[#This Row],[_IsSummary]],MAX(INDEX(Tasks[_LeafLateFinish],Tasks[[#This Row],[_Row]]+1):INDEX(Tasks[_LeafLateFinish],Tasks[[#This Row],[_Row]]+Tasks[[#This Row],[_Descendants]])),Tasks[[#This Row],[_LeafLateFinish]]))</f>
        <v/>
      </c>
      <c r="AO80" s="51" t="str">
        <f aca="false">IF(Tasks[[#This Row],[Task Name]]="","",IF(Tasks[[#This Row],[_IsSummary]],MIN(INDEX(Tasks[_LeafTotalSlack],Tasks[[#This Row],[_Row]]+1):INDEX(Tasks[_LeafTotalSlack],Tasks[[#This Row],[_Row]]+Tasks[[#This Row],[_Descendants]])),Tasks[[#This Row],[_LeafTotalSlack]]))</f>
        <v/>
      </c>
      <c r="AP8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0" s="110" t="str">
        <f aca="false">IF(Tasks[[#This Row],[Task Name]]="","",IF(Tasks[[#This Row],[_IsSummary]],SUM(INDEX(Tasks[_LeafTotalWork],Tasks[[#This Row],[_Row]]+1):INDEX(Tasks[_LeafTotalWork],Tasks[[#This Row],[_Row]]+Tasks[[#This Row],[_Descendants]])),Tasks[[#This Row],[_LeafTotalWork]]))</f>
        <v/>
      </c>
      <c r="AV8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0" s="111" t="str">
        <f aca="false">IF(Tasks[[#This Row],[Task Name]]="","",IF(Tasks[[#This Row],[_IsSummary]],SUM(INDEX(Tasks[_LeafTotalCost],Tasks[[#This Row],[_Row]]+1):INDEX(Tasks[_LeafTotalCost],Tasks[[#This Row],[_Row]]+Tasks[[#This Row],[_Descendants]])),Tasks[[#This Row],[_LeafTotalCost]]))</f>
        <v/>
      </c>
      <c r="AY80" s="112"/>
      <c r="AZ8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0" s="52"/>
      <c r="BB80" s="98"/>
      <c r="BC80" s="51" t="str">
        <f aca="false">IF(OR(Tasks[[#This Row],[Task Name]]="",Tasks[[#This Row],[Baseline Duration]]=""),"",Tasks[[#This Row],[BL Source Duration]]-N(Tasks[[#This Row],[Baseline Duration]]))</f>
        <v/>
      </c>
      <c r="BD80" s="110" t="str">
        <f aca="false">IF(OR(Tasks[[#This Row],[Task Name]]="",Tasks[[#This Row],[Baseline Work]]=""),"",Tasks[[#This Row],[Work]]-N(Tasks[[#This Row],[Baseline Work]]))</f>
        <v/>
      </c>
      <c r="BE80" s="111" t="str">
        <f aca="false">IF(OR(Tasks[[#This Row],[Task Name]]="",Tasks[[#This Row],[Baseline Cost]]=""),"",Tasks[[#This Row],[Cost]]-N(Tasks[[#This Row],[Baseline Cost]]))</f>
        <v/>
      </c>
      <c r="BF80" s="31" t="str">
        <f aca="false">IF(Tasks[[#This Row],[Task Name]]="","",Tasks[[#This Row],[Forecast Start]])</f>
        <v/>
      </c>
      <c r="BG80" s="31" t="str">
        <f aca="false">IF(Tasks[[#This Row],[Task Name]]="","",Tasks[[#This Row],[Forecast Finish]])</f>
        <v/>
      </c>
      <c r="BH80" s="51" t="str">
        <f aca="false">IF(Tasks[[#This Row],[Task Name]]="","",IF(Tasks[[#This Row],[_IsSummary]],NETWORKDAYS.INTL(Tasks[[#This Row],[Forecast Start]],Tasks[[#This Row],[Forecast Finish]],WorkWeek,Holidays),N(Tasks[[#This Row],[Duration]])))</f>
        <v/>
      </c>
      <c r="BI80" s="110" t="str">
        <f aca="false">IF(Tasks[[#This Row],[Task Name]]="","",Tasks[[#This Row],[Work]])</f>
        <v/>
      </c>
      <c r="BJ80" s="111" t="str">
        <f aca="false">IF(Tasks[[#This Row],[Task Name]]="","",Tasks[[#This Row],[Cost]])</f>
        <v/>
      </c>
      <c r="BK80" s="7"/>
      <c r="BL80" s="7"/>
      <c r="BM80" s="52"/>
      <c r="BN80" s="113"/>
      <c r="BO80" s="112"/>
      <c r="BP80" s="111" t="str">
        <f aca="false">IF(Tasks[[#This Row],[Task Name]]="","",IF(Tasks[[#This Row],[_IsSummary]],SUM(INDEX(Tasks[_LeafEV],Tasks[[#This Row],[_Row]]+1):INDEX(Tasks[_LeafEV],Tasks[[#This Row],[_Row]]+Tasks[[#This Row],[_Descendants]])),Tasks[[#This Row],[_LeafEV]]))</f>
        <v/>
      </c>
      <c r="BQ80" s="111" t="str">
        <f aca="false">IF(Tasks[[#This Row],[Task Name]]="","",IF(Tasks[[#This Row],[_IsSummary]],SUM(INDEX(Tasks[_LeafBudget],Tasks[[#This Row],[_Row]]+1):INDEX(Tasks[_LeafBudget],Tasks[[#This Row],[_Row]]+Tasks[[#This Row],[_Descendants]])),Tasks[[#This Row],[_LeafBudget]]))</f>
        <v/>
      </c>
      <c r="BR80" s="111" t="str">
        <f aca="false">IF(Tasks[[#This Row],[Task Name]]="","",IF(Tasks[[#This Row],[_IsSummary]],SUM(INDEX(Tasks[_LeafPV],Tasks[[#This Row],[_Row]]+1):INDEX(Tasks[_LeafPV],Tasks[[#This Row],[_Row]]+Tasks[[#This Row],[_Descendants]])),Tasks[[#This Row],[_LeafPV]]))</f>
        <v/>
      </c>
      <c r="BS80" s="111" t="str">
        <f aca="false">IF(Tasks[[#This Row],[Task Name]]="","",IF(Tasks[[#This Row],[_IsSummary]],SUM(INDEX(Tasks[_LeafAC],Tasks[[#This Row],[_Row]]+1):INDEX(Tasks[_LeafAC],Tasks[[#This Row],[_Row]]+Tasks[[#This Row],[_Descendants]])),Tasks[[#This Row],[_LeafAC]]))</f>
        <v/>
      </c>
      <c r="BT80" s="38" t="str">
        <f aca="false">IF(Tasks[[#This Row],[Task Name]]="","",MAX(1,N(Tasks[[#This Row],[Level]])))</f>
        <v/>
      </c>
      <c r="BU80" s="38" t="n">
        <f aca="false">ROW()-ROW(Tasks[[#Headers],[ID]])</f>
        <v>75</v>
      </c>
      <c r="BV80" s="38" t="n">
        <f aca="false">IF(OR(Tasks[[#This Row],[Task Name]]="",Tasks[[#This Row],[_Level]]&lt;=1),0,IFERROR(LOOKUP(2,1/(Tasks[[#Headers],[_Level]]:Tasks[[#This Row],[_Level]]=Tasks[[#This Row],[_Level]]-1),ROW(Tasks[[#Headers],[_Level]]:Tasks[[#This Row],[_Level]])),0))</f>
        <v>0</v>
      </c>
      <c r="BW80" s="38" t="n">
        <f aca="false">IFERROR(N(INDEX(Tasks[_Level],Tasks[[#This Row],[_Row]]+1)),0)</f>
        <v>0</v>
      </c>
      <c r="BX80" s="114" t="b">
        <f aca="false">AND(Tasks[[#This Row],[Task Name]]&lt;&gt;"",Tasks[[#This Row],[_NextLevel]]&gt;Tasks[[#This Row],[_Level]])</f>
        <v>0</v>
      </c>
      <c r="BY80" s="38" t="n">
        <f aca="false">IF(Tasks[[#This Row],[_IsSummary]],COUNTIF(Tasks[WBS],Tasks[[#This Row],[WBS]]&amp;".*"),0)</f>
        <v>0</v>
      </c>
      <c r="BZ80" s="38" t="n">
        <f aca="false">IF(AND(Tasks[[#This Row],[Task Name]]&lt;&gt;"",NOT(Tasks[[#This Row],[_IsSummary]])),1,0)</f>
        <v>0</v>
      </c>
      <c r="CA80" s="38" t="n">
        <f aca="false">IF(N(Tasks[[#This Row],[Pred1 UID]])=0,0,IFERROR(MATCH(Tasks[[#This Row],[Pred1 UID]],Tasks[UID],0),-1))</f>
        <v>0</v>
      </c>
      <c r="CB80" s="38" t="n">
        <f aca="false">IF(N(Tasks[[#This Row],[Pred2 UID]])=0,0,IFERROR(MATCH(Tasks[[#This Row],[Pred2 UID]],Tasks[UID],0),-1))</f>
        <v>0</v>
      </c>
      <c r="CC80" s="38" t="n">
        <f aca="false">IF(N(Tasks[[#This Row],[Pred3 UID]])=0,0,IFERROR(MATCH(Tasks[[#This Row],[Pred3 UID]],Tasks[UID],0),-1))</f>
        <v>0</v>
      </c>
      <c r="CD80" s="38" t="n">
        <f aca="false">IF(N(Tasks[[#This Row],[Pred4 UID]])=0,0,IFERROR(MATCH(Tasks[[#This Row],[Pred4 UID]],Tasks[UID],0),-1))</f>
        <v>0</v>
      </c>
      <c r="CE8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0" s="115" t="n">
        <f aca="false">IF(OR(Tasks[[#This Row],[_ConstraintCode]]=2,Tasks[[#This Row],[_ConstraintCode]]=3,Tasks[[#This Row],[_ConstraintCode]]=4,Tasks[[#This Row],[_ConstraintCode]]=6),Tasks[[#This Row],[_ConstraintStart]],0)</f>
        <v>0</v>
      </c>
      <c r="CH80" s="115" t="n">
        <f aca="false">IF(OR(Tasks[[#This Row],[_ConstraintCode]]=2,Tasks[[#This Row],[_ConstraintCode]]=3,Tasks[[#This Row],[_ConstraintCode]]=5,Tasks[[#This Row],[_ConstraintCode]]=7),Tasks[[#This Row],[_ConstraintStart]],2958465)</f>
        <v>2958465</v>
      </c>
      <c r="CI8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0" s="115" t="str">
        <f aca="false">IF(NOT(Tasks[[#This Row],[_IsLeaf]]=1),"",IF(N(Tasks[[#This Row],[Duration]])&lt;=0,Tasks[[#This Row],[_LeafCalcStart]],WORKDAY.INTL(Tasks[[#This Row],[_LeafCalcStart]],Tasks[[#This Row],[Duration]]-1,WorkWeek,Holidays)))</f>
        <v/>
      </c>
      <c r="CK8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0" s="38" t="n">
        <f aca="false">IF(NOT(Tasks[[#This Row],[_IsLeaf]]=1),0,IF(N(Tasks[[#This Row],[Actual Finish]])&gt;0,1,MIN(1,N(Tasks[[#This Row],[% Complete]]))))</f>
        <v>0</v>
      </c>
      <c r="CN80" s="38" t="n">
        <f aca="false">IF(OR(NOT(Tasks[[#This Row],[_IsLeaf]]=1),Tasks[[#This Row],[Resource]]=""),0,N(Tasks[[#This Row],[Duration]])*HoursPerDay*IF(Tasks[[#This Row],[Units]]="",DefaultUnits,Tasks[[#This Row],[Units]]))</f>
        <v>0</v>
      </c>
      <c r="CO80" s="38" t="n">
        <f aca="false">IF(Tasks[[#This Row],[_LeafWork]]=0,0,Tasks[[#This Row],[_LeafWork]]*IFERROR(INDEX(res_Rate,MATCH(Tasks[[#This Row],[Resource]],res_Name,0)),0))</f>
        <v>0</v>
      </c>
      <c r="CP80" s="38" t="n">
        <f aca="false">Tasks[[#This Row],[_LeafWork]]+IF(Tasks[[#This Row],[_IsLeaf]]=1,SUMIFS(asg_Work,asg_TaskUID,Tasks[[#This Row],[UID]],asg_Valid,1),0)</f>
        <v>0</v>
      </c>
      <c r="CQ80" s="38" t="n">
        <f aca="false">Tasks[[#This Row],[_LeafCost]]+IF(Tasks[[#This Row],[_IsLeaf]]=1,SUMIFS(asg_Cost,asg_TaskUID,Tasks[[#This Row],[UID]],asg_Valid,1),0)</f>
        <v>0</v>
      </c>
      <c r="CR80" s="38" t="n">
        <f aca="false">IF(Tasks[[#This Row],[_LeafTotalCost]]=0,Tasks[[#This Row],[_LeafAC]],Tasks[[#This Row],[_LeafAC]]*Tasks[[#This Row],[_LeafCost]]/Tasks[[#This Row],[_LeafTotalCost]])</f>
        <v>0</v>
      </c>
      <c r="CS8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0" s="38" t="n">
        <f aca="false">IF(NOT(Tasks[[#This Row],[_IsLeaf]]=1),0,MAX(_xlfn.MAXIFS(Tasks[_Row],Tasks[Pred1 UID],Tasks[[#This Row],[UID]]),_xlfn.MAXIFS(Tasks[_Row],Tasks[Pred2 UID],Tasks[[#This Row],[UID]]),_xlfn.MAXIFS(Tasks[_Row],Tasks[Pred3 UID],Tasks[[#This Row],[UID]]),_xlfn.MAXIFS(Tasks[_Row],Tasks[Pred4 UID],Tasks[[#This Row],[UID]])))</f>
        <v>0</v>
      </c>
      <c r="DB8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0" s="115" t="str">
        <f aca="false">IF(NOT(Tasks[[#This Row],[_IsLeaf]]=1),"",IF(N(Tasks[[#This Row],[Duration]])&lt;=0,Tasks[[#This Row],[_LeafLateFinish]],WORKDAY.INTL(Tasks[[#This Row],[_LeafLateFinish]],-(Tasks[[#This Row],[Duration]]-1),WorkWeek,Holidays)))</f>
        <v/>
      </c>
      <c r="DE8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0" s="114" t="b">
        <f aca="false">AND(Tasks[[#This Row],[_IsLeaf]]=1,Tasks[[#This Row],[_LeafProgress]]&lt;1,N(Tasks[[#This Row],[_LeafTotalSlack]])&lt;=CriticalSlackDays)</f>
        <v>0</v>
      </c>
      <c r="DG80" s="38" t="n">
        <f aca="false">IF(AND(Tasks[[#This Row],[_IsLeaf]]=1,Tasks[[#This Row],[_ConstraintCode]]=1,Tasks[[#This Row],[Mode]]&lt;&gt;"Manual",N(Tasks[[#This Row],[Actual Start]])=0),MAX(0,N(Tasks[[#This Row],[Free Slack]])),0)</f>
        <v>0</v>
      </c>
      <c r="DH80" s="115" t="str">
        <f aca="false">IF(NOT(Tasks[[#This Row],[_IsLeaf]]=1),"",IF(Tasks[[#This Row],[_AlapShift]]=0,Tasks[[#This Row],[_LeafCalcStart]],WORKDAY.INTL(Tasks[[#This Row],[_LeafCalcStart]],Tasks[[#This Row],[_AlapShift]],WorkWeek,Holidays)))</f>
        <v/>
      </c>
      <c r="DI80" s="115" t="str">
        <f aca="false">IF(NOT(Tasks[[#This Row],[_IsLeaf]]=1),"",IF(Tasks[[#This Row],[_AlapShift]]=0,Tasks[[#This Row],[_LeafCalcFinish]],WORKDAY.INTL(Tasks[[#This Row],[_LeafCalcFinish]],Tasks[[#This Row],[_AlapShift]],WorkWeek,Holidays)))</f>
        <v/>
      </c>
      <c r="DJ80" s="115" t="str">
        <f aca="false">IF(NOT(Tasks[[#This Row],[_IsLeaf]]=1),"",IF(Tasks[[#This Row],[_AlapShift]]=0,Tasks[[#This Row],[_LeafFcstStart]],WORKDAY.INTL(Tasks[[#This Row],[_LeafFcstStart]],Tasks[[#This Row],[_AlapShift]],WorkWeek,Holidays)))</f>
        <v/>
      </c>
      <c r="DK80" s="115" t="str">
        <f aca="false">IF(NOT(Tasks[[#This Row],[_IsLeaf]]=1),"",IF(Tasks[[#This Row],[_AlapShift]]=0,Tasks[[#This Row],[_LeafFcstFinish]],WORKDAY.INTL(Tasks[[#This Row],[_LeafFcstFinish]],Tasks[[#This Row],[_AlapShift]],WorkWeek,Holidays)))</f>
        <v/>
      </c>
      <c r="DL80" s="115" t="str">
        <f aca="false">IF(Tasks[[#This Row],[Task Name]]="","",IF(Tasks[[#This Row],[_IsSummary]],MIN(INDEX(Tasks[_ShownCalcStart],Tasks[[#This Row],[_Row]]+1):INDEX(Tasks[_ShownCalcStart],Tasks[[#This Row],[_Row]]+Tasks[[#This Row],[_Descendants]])),Tasks[[#This Row],[_ShownCalcStart]]))</f>
        <v/>
      </c>
      <c r="DM80" s="115" t="str">
        <f aca="false">IF(Tasks[[#This Row],[Task Name]]="","",IF(Tasks[[#This Row],[_IsSummary]],MAX(INDEX(Tasks[_ShownCalcFinish],Tasks[[#This Row],[_Row]]+1):INDEX(Tasks[_ShownCalcFinish],Tasks[[#This Row],[_Row]]+Tasks[[#This Row],[_Descendants]])),Tasks[[#This Row],[_ShownCalcFinish]]))</f>
        <v/>
      </c>
      <c r="DN8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0" s="38" t="n">
        <f aca="false">IF(AND(Tasks[[#This Row],[_IsLeaf]]=1,Tasks[[#This Row],[_LeafTotalWork]]&gt;0),NETWORKDAYS.INTL(ProjectStart,Tasks[[#This Row],[_ShownFcstStart]],WorkWeek,Holidays),0)</f>
        <v>0</v>
      </c>
      <c r="EA80" s="38" t="n">
        <f aca="false">IF(AND(Tasks[[#This Row],[_IsLeaf]]=1,Tasks[[#This Row],[_LeafTotalWork]]&gt;0),MAX(Tasks[[#This Row],[_StartWorkday]],NETWORKDAYS.INTL(ProjectStart,Tasks[[#This Row],[_ShownFcstFinish]],WorkWeek,Holidays)),0)</f>
        <v>0</v>
      </c>
      <c r="EB80" s="38" t="n">
        <f aca="false">IF(AND(Tasks[[#This Row],[_IsLeaf]]=1,Tasks[[#This Row],[_LeafTotalWork]]&gt;0),Tasks[[#This Row],[_LeafWork]]/(Tasks[[#This Row],[_FinishWorkday]]-Tasks[[#This Row],[_StartWorkday]]+1),0)</f>
        <v>0</v>
      </c>
      <c r="EC80" s="38" t="n">
        <f aca="false">Tasks[[#This Row],[_WorkPerWorkday]]*(Tasks[[#This Row],[_StartWorkday]]-1)</f>
        <v>-0</v>
      </c>
      <c r="ED80" s="38" t="n">
        <f aca="false">IF(Tasks[[#This Row],[_IsLeaf]]=1,MAX(N(Tasks[[#This Row],[Duration]]),0.1),0)</f>
        <v>0</v>
      </c>
      <c r="EE80" s="38" t="n">
        <f aca="false">Tasks[[#This Row],[_WeightDur]]*Tasks[[#This Row],[_LeafProgress]]</f>
        <v>0</v>
      </c>
      <c r="EF8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0" s="38" t="str">
        <f aca="false">IF(AND(Tasks[[#This Row],[_IsLeaf]]=1,N(Tasks[[#This Row],[Duration]])=0,Tasks[[#This Row],[_LeafProgress]]&lt;1),Tasks[[#This Row],[_ShownFcstFinish]]+Tasks[[#This Row],[_Row]]/100000,"")</f>
        <v/>
      </c>
      <c r="EH8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0" s="38" t="n">
        <f aca="false">IF(NOT(Tasks[[#This Row],[_IsLeaf]]=1),0,IF(Tasks[[#This Row],[Baseline Cost]]="",Tasks[[#This Row],[_LeafTotalCost]],N(Tasks[[#This Row],[Baseline Cost]])))</f>
        <v>0</v>
      </c>
      <c r="EJ80" s="38" t="n">
        <f aca="false">Tasks[[#This Row],[_LeafBudget]]*Tasks[[#This Row],[_PlannedPct]]</f>
        <v>0</v>
      </c>
      <c r="EK80" s="38" t="n">
        <f aca="false">Tasks[[#This Row],[_LeafBudget]]*Tasks[[#This Row],[_LeafProgress]]</f>
        <v>0</v>
      </c>
      <c r="EL80" s="38" t="n">
        <f aca="false">IF(NOT(Tasks[[#This Row],[_IsLeaf]]=1),0,IF(Tasks[[#This Row],[Actual Cost]]="",Tasks[[#This Row],[_LeafTotalCost]]*Tasks[[#This Row],[_LeafProgress]],N(Tasks[[#This Row],[Actual Cost]])))</f>
        <v>0</v>
      </c>
      <c r="EM80" s="38" t="str">
        <f aca="false">IF(Tasks[[#This Row],[Task Name]]="","",LEFT(Tasks[[#This Row],[WBS]],FIND(".",Tasks[[#This Row],[WBS]]&amp;".")-1))</f>
        <v/>
      </c>
      <c r="EN80" s="38" t="str">
        <f aca="false">IF(AND(Tasks[[#This Row],[Task Name]]&lt;&gt;"",Tasks[[#This Row],[_Level]]=1),Tasks[[#This Row],[_Row]],"")</f>
        <v/>
      </c>
      <c r="EO80" s="38" t="str">
        <f aca="false">IF(AND(Tasks[[#This Row],[_IsLeaf]]=1,N(Tasks[[#This Row],[Duration]])=0),Tasks[[#This Row],[Planned Finish]]+Tasks[[#This Row],[_Row]]/100000,"")</f>
        <v/>
      </c>
      <c r="EP80" s="38" t="str">
        <f aca="false">IF(AND(Tasks[[#This Row],[_IsLeaf]]=1,Tasks[[#This Row],[_LeafProgress]]&lt;1,OR(N(Tasks[[#This Row],[Finish Var]])&gt;0,Tasks[[#This Row],[Status]]="Late Start")),MAX(0,Tasks[[#This Row],[Finish Var]])+1-Tasks[[#This Row],[_Row]]/1000000,"")</f>
        <v/>
      </c>
      <c r="EQ80" s="38" t="str">
        <f aca="false">IF(AND(Tasks[[#This Row],[_IsLeaf]]=1,N(Tasks[[#This Row],[Actual Start]])=0,Tasks[[#This Row],[_ShownFcstStart]]&gt;=StatusDate,Tasks[[#This Row],[_ShownFcstStart]]&lt;=LookaheadEnd),Tasks[[#This Row],[_ShownFcstStart]]+Tasks[[#This Row],[_Row]]/100000,"")</f>
        <v/>
      </c>
      <c r="ER80" s="38" t="str">
        <f aca="false">IF(AND(Tasks[[#This Row],[_IsLeaf]]=1,Tasks[[#This Row],[_LeafProgress]]&lt;1,Tasks[[#This Row],[_ShownFcstFinish]]&gt;=StatusDate,Tasks[[#This Row],[_ShownFcstFinish]]&lt;=LookaheadEnd),Tasks[[#This Row],[_ShownFcstFinish]]+Tasks[[#This Row],[_Row]]/100000,"")</f>
        <v/>
      </c>
      <c r="ES80" s="38" t="str">
        <f aca="false">IF(Tasks[[#This Row],[_LeafCritical]],Tasks[[#This Row],[_ShownFcstStart]]+Tasks[[#This Row],[_Row]]/100000,"")</f>
        <v/>
      </c>
      <c r="ET80" s="38" t="n">
        <f aca="false">Tasks[[#This Row],[_LeafWork]]*Tasks[[#This Row],[_LeafProgress]]</f>
        <v>0</v>
      </c>
      <c r="EU80" s="115" t="str">
        <f aca="false">IF(AND(Tasks[[#This Row],[_IsLeaf]]=1,Tasks[[#This Row],[_LeafProgress]]&gt;=1),IF(N(Tasks[[#This Row],[Actual Finish]])&gt;0,Tasks[[#This Row],[Actual Finish]],Tasks[[#This Row],[_ShownFcstFinish]]),"")</f>
        <v/>
      </c>
      <c r="EV80" s="38" t="n">
        <f aca="false">IF(Tasks[[#This Row],[_IsLeaf]]=1,N(Tasks[[#This Row],[Story Points]]),0)</f>
        <v>0</v>
      </c>
      <c r="EW80" s="38" t="str">
        <f aca="false">IF(AND(Tasks[[#This Row],[_IsLeaf]]=1,CurrentSprint&lt;&gt;"",Tasks[[#This Row],[Sprint]]=CurrentSprint),Tasks[[#This Row],[_Row]],"")</f>
        <v/>
      </c>
    </row>
    <row r="81" customFormat="false" ht="15" hidden="false" customHeight="false" outlineLevel="0" collapsed="false">
      <c r="A81" s="51" t="str">
        <f aca="false">IF(Tasks[[#This Row],[Task Name]]="","",COUNTA(Tasks[[#Headers],[Task Name]]:Tasks[[#This Row],[Task Name]])-1)</f>
        <v/>
      </c>
      <c r="B81" s="52" t="n">
        <v>76</v>
      </c>
      <c r="C8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52"/>
      <c r="E81" s="53"/>
      <c r="F81" s="52"/>
      <c r="G81" s="52"/>
      <c r="H81" s="52"/>
      <c r="I81" s="52"/>
      <c r="J81" s="52"/>
      <c r="K81" s="52"/>
      <c r="L81" s="52"/>
      <c r="M81" s="52"/>
      <c r="N81" s="52"/>
      <c r="O81" s="52"/>
      <c r="P81" s="52"/>
      <c r="Q81" s="52"/>
      <c r="R81" s="52"/>
      <c r="S81" s="53"/>
      <c r="T81" s="102"/>
      <c r="U81" s="102"/>
      <c r="V81" s="7"/>
      <c r="W81" s="7"/>
      <c r="X81" s="53"/>
      <c r="Y81" s="31" t="str">
        <f aca="false">IF(Tasks[[#This Row],[Task Name]]="","",IF(Tasks[[#This Row],[_IsSummary]],MIN(INDEX(Tasks[_ShownFcstStart],Tasks[[#This Row],[_Row]]+1):INDEX(Tasks[_ShownFcstStart],Tasks[[#This Row],[_Row]]+Tasks[[#This Row],[_Descendants]])),Tasks[[#This Row],[_ShownFcstStart]]))</f>
        <v/>
      </c>
      <c r="Z81" s="31" t="str">
        <f aca="false">IF(Tasks[[#This Row],[Task Name]]="","",IF(Tasks[[#This Row],[_IsSummary]],MAX(INDEX(Tasks[_ShownFcstFinish],Tasks[[#This Row],[_Row]]+1):INDEX(Tasks[_ShownFcstFinish],Tasks[[#This Row],[_Row]]+Tasks[[#This Row],[_Descendants]])),Tasks[[#This Row],[_ShownFcstFinish]]))</f>
        <v/>
      </c>
      <c r="AA81" s="51" t="str">
        <f aca="false">IF(Tasks[[#This Row],[Task Name]]="","",IF(Tasks[[#This Row],[Progress]]&gt;=1,"Complete",IF(OR(N(Tasks[[#This Row],[Actual Start]])&gt;0,Tasks[[#This Row],[Progress]]&gt;0),IF(Tasks[[#This Row],[Finish Var]]&gt;0,"Behind","In Progress"),IF(Tasks[[#This Row],[Planned Start]]&lt;StatusDate,"Late Start","Not Started"))))</f>
        <v/>
      </c>
      <c r="AB81" s="51" t="str">
        <f aca="false">IF(Tasks[[#This Row],[Task Name]]="","",IF(IF(Tasks[[#This Row],[_IsSummary]],COUNTIF(INDEX(Tasks[_LeafCritical],Tasks[[#This Row],[_Row]]+1):INDEX(Tasks[_LeafCritical],Tasks[[#This Row],[_Row]]+Tasks[[#This Row],[_Descendants]]),TRUE())&gt;0,Tasks[[#This Row],[_LeafCritical]]),"Yes",""))</f>
        <v/>
      </c>
      <c r="AC8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1" s="51" t="str">
        <f aca="false">IF(Tasks[[#This Row],[Task Name]]="","",IF(Tasks[[#This Row],[_Level]]&lt;=OutlineShowLevel,"Yes","No"))</f>
        <v/>
      </c>
      <c r="AE81" s="7"/>
      <c r="AF81" s="52"/>
      <c r="AG81" s="53"/>
      <c r="AH81" s="7"/>
      <c r="AI8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1" s="31" t="str">
        <f aca="false">IF(Tasks[[#This Row],[Task Name]]="","",IF(N(Tasks[[#This Row],[Baseline Start]])&gt;0,Tasks[[#This Row],[Baseline Start]],Tasks[[#This Row],[_CalcStart]]))</f>
        <v/>
      </c>
      <c r="AK81" s="31" t="str">
        <f aca="false">IF(Tasks[[#This Row],[Task Name]]="","",IF(N(Tasks[[#This Row],[Baseline Finish]])&gt;0,Tasks[[#This Row],[Baseline Finish]],Tasks[[#This Row],[_CalcFinish]]))</f>
        <v/>
      </c>
      <c r="AL8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1" s="31" t="str">
        <f aca="false">IF(Tasks[[#This Row],[Task Name]]="","",IF(Tasks[[#This Row],[_IsSummary]],MIN(INDEX(Tasks[_LeafLateStart],Tasks[[#This Row],[_Row]]+1):INDEX(Tasks[_LeafLateStart],Tasks[[#This Row],[_Row]]+Tasks[[#This Row],[_Descendants]])),Tasks[[#This Row],[_LeafLateStart]]))</f>
        <v/>
      </c>
      <c r="AN81" s="31" t="str">
        <f aca="false">IF(Tasks[[#This Row],[Task Name]]="","",IF(Tasks[[#This Row],[_IsSummary]],MAX(INDEX(Tasks[_LeafLateFinish],Tasks[[#This Row],[_Row]]+1):INDEX(Tasks[_LeafLateFinish],Tasks[[#This Row],[_Row]]+Tasks[[#This Row],[_Descendants]])),Tasks[[#This Row],[_LeafLateFinish]]))</f>
        <v/>
      </c>
      <c r="AO81" s="51" t="str">
        <f aca="false">IF(Tasks[[#This Row],[Task Name]]="","",IF(Tasks[[#This Row],[_IsSummary]],MIN(INDEX(Tasks[_LeafTotalSlack],Tasks[[#This Row],[_Row]]+1):INDEX(Tasks[_LeafTotalSlack],Tasks[[#This Row],[_Row]]+Tasks[[#This Row],[_Descendants]])),Tasks[[#This Row],[_LeafTotalSlack]]))</f>
        <v/>
      </c>
      <c r="AP8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1" s="110" t="str">
        <f aca="false">IF(Tasks[[#This Row],[Task Name]]="","",IF(Tasks[[#This Row],[_IsSummary]],SUM(INDEX(Tasks[_LeafTotalWork],Tasks[[#This Row],[_Row]]+1):INDEX(Tasks[_LeafTotalWork],Tasks[[#This Row],[_Row]]+Tasks[[#This Row],[_Descendants]])),Tasks[[#This Row],[_LeafTotalWork]]))</f>
        <v/>
      </c>
      <c r="AV8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1" s="111" t="str">
        <f aca="false">IF(Tasks[[#This Row],[Task Name]]="","",IF(Tasks[[#This Row],[_IsSummary]],SUM(INDEX(Tasks[_LeafTotalCost],Tasks[[#This Row],[_Row]]+1):INDEX(Tasks[_LeafTotalCost],Tasks[[#This Row],[_Row]]+Tasks[[#This Row],[_Descendants]])),Tasks[[#This Row],[_LeafTotalCost]]))</f>
        <v/>
      </c>
      <c r="AY81" s="112"/>
      <c r="AZ8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1" s="52"/>
      <c r="BB81" s="98"/>
      <c r="BC81" s="51" t="str">
        <f aca="false">IF(OR(Tasks[[#This Row],[Task Name]]="",Tasks[[#This Row],[Baseline Duration]]=""),"",Tasks[[#This Row],[BL Source Duration]]-N(Tasks[[#This Row],[Baseline Duration]]))</f>
        <v/>
      </c>
      <c r="BD81" s="110" t="str">
        <f aca="false">IF(OR(Tasks[[#This Row],[Task Name]]="",Tasks[[#This Row],[Baseline Work]]=""),"",Tasks[[#This Row],[Work]]-N(Tasks[[#This Row],[Baseline Work]]))</f>
        <v/>
      </c>
      <c r="BE81" s="111" t="str">
        <f aca="false">IF(OR(Tasks[[#This Row],[Task Name]]="",Tasks[[#This Row],[Baseline Cost]]=""),"",Tasks[[#This Row],[Cost]]-N(Tasks[[#This Row],[Baseline Cost]]))</f>
        <v/>
      </c>
      <c r="BF81" s="31" t="str">
        <f aca="false">IF(Tasks[[#This Row],[Task Name]]="","",Tasks[[#This Row],[Forecast Start]])</f>
        <v/>
      </c>
      <c r="BG81" s="31" t="str">
        <f aca="false">IF(Tasks[[#This Row],[Task Name]]="","",Tasks[[#This Row],[Forecast Finish]])</f>
        <v/>
      </c>
      <c r="BH81" s="51" t="str">
        <f aca="false">IF(Tasks[[#This Row],[Task Name]]="","",IF(Tasks[[#This Row],[_IsSummary]],NETWORKDAYS.INTL(Tasks[[#This Row],[Forecast Start]],Tasks[[#This Row],[Forecast Finish]],WorkWeek,Holidays),N(Tasks[[#This Row],[Duration]])))</f>
        <v/>
      </c>
      <c r="BI81" s="110" t="str">
        <f aca="false">IF(Tasks[[#This Row],[Task Name]]="","",Tasks[[#This Row],[Work]])</f>
        <v/>
      </c>
      <c r="BJ81" s="111" t="str">
        <f aca="false">IF(Tasks[[#This Row],[Task Name]]="","",Tasks[[#This Row],[Cost]])</f>
        <v/>
      </c>
      <c r="BK81" s="7"/>
      <c r="BL81" s="7"/>
      <c r="BM81" s="52"/>
      <c r="BN81" s="113"/>
      <c r="BO81" s="112"/>
      <c r="BP81" s="111" t="str">
        <f aca="false">IF(Tasks[[#This Row],[Task Name]]="","",IF(Tasks[[#This Row],[_IsSummary]],SUM(INDEX(Tasks[_LeafEV],Tasks[[#This Row],[_Row]]+1):INDEX(Tasks[_LeafEV],Tasks[[#This Row],[_Row]]+Tasks[[#This Row],[_Descendants]])),Tasks[[#This Row],[_LeafEV]]))</f>
        <v/>
      </c>
      <c r="BQ81" s="111" t="str">
        <f aca="false">IF(Tasks[[#This Row],[Task Name]]="","",IF(Tasks[[#This Row],[_IsSummary]],SUM(INDEX(Tasks[_LeafBudget],Tasks[[#This Row],[_Row]]+1):INDEX(Tasks[_LeafBudget],Tasks[[#This Row],[_Row]]+Tasks[[#This Row],[_Descendants]])),Tasks[[#This Row],[_LeafBudget]]))</f>
        <v/>
      </c>
      <c r="BR81" s="111" t="str">
        <f aca="false">IF(Tasks[[#This Row],[Task Name]]="","",IF(Tasks[[#This Row],[_IsSummary]],SUM(INDEX(Tasks[_LeafPV],Tasks[[#This Row],[_Row]]+1):INDEX(Tasks[_LeafPV],Tasks[[#This Row],[_Row]]+Tasks[[#This Row],[_Descendants]])),Tasks[[#This Row],[_LeafPV]]))</f>
        <v/>
      </c>
      <c r="BS81" s="111" t="str">
        <f aca="false">IF(Tasks[[#This Row],[Task Name]]="","",IF(Tasks[[#This Row],[_IsSummary]],SUM(INDEX(Tasks[_LeafAC],Tasks[[#This Row],[_Row]]+1):INDEX(Tasks[_LeafAC],Tasks[[#This Row],[_Row]]+Tasks[[#This Row],[_Descendants]])),Tasks[[#This Row],[_LeafAC]]))</f>
        <v/>
      </c>
      <c r="BT81" s="38" t="str">
        <f aca="false">IF(Tasks[[#This Row],[Task Name]]="","",MAX(1,N(Tasks[[#This Row],[Level]])))</f>
        <v/>
      </c>
      <c r="BU81" s="38" t="n">
        <f aca="false">ROW()-ROW(Tasks[[#Headers],[ID]])</f>
        <v>76</v>
      </c>
      <c r="BV81" s="38" t="n">
        <f aca="false">IF(OR(Tasks[[#This Row],[Task Name]]="",Tasks[[#This Row],[_Level]]&lt;=1),0,IFERROR(LOOKUP(2,1/(Tasks[[#Headers],[_Level]]:Tasks[[#This Row],[_Level]]=Tasks[[#This Row],[_Level]]-1),ROW(Tasks[[#Headers],[_Level]]:Tasks[[#This Row],[_Level]])),0))</f>
        <v>0</v>
      </c>
      <c r="BW81" s="38" t="n">
        <f aca="false">IFERROR(N(INDEX(Tasks[_Level],Tasks[[#This Row],[_Row]]+1)),0)</f>
        <v>0</v>
      </c>
      <c r="BX81" s="114" t="b">
        <f aca="false">AND(Tasks[[#This Row],[Task Name]]&lt;&gt;"",Tasks[[#This Row],[_NextLevel]]&gt;Tasks[[#This Row],[_Level]])</f>
        <v>0</v>
      </c>
      <c r="BY81" s="38" t="n">
        <f aca="false">IF(Tasks[[#This Row],[_IsSummary]],COUNTIF(Tasks[WBS],Tasks[[#This Row],[WBS]]&amp;".*"),0)</f>
        <v>0</v>
      </c>
      <c r="BZ81" s="38" t="n">
        <f aca="false">IF(AND(Tasks[[#This Row],[Task Name]]&lt;&gt;"",NOT(Tasks[[#This Row],[_IsSummary]])),1,0)</f>
        <v>0</v>
      </c>
      <c r="CA81" s="38" t="n">
        <f aca="false">IF(N(Tasks[[#This Row],[Pred1 UID]])=0,0,IFERROR(MATCH(Tasks[[#This Row],[Pred1 UID]],Tasks[UID],0),-1))</f>
        <v>0</v>
      </c>
      <c r="CB81" s="38" t="n">
        <f aca="false">IF(N(Tasks[[#This Row],[Pred2 UID]])=0,0,IFERROR(MATCH(Tasks[[#This Row],[Pred2 UID]],Tasks[UID],0),-1))</f>
        <v>0</v>
      </c>
      <c r="CC81" s="38" t="n">
        <f aca="false">IF(N(Tasks[[#This Row],[Pred3 UID]])=0,0,IFERROR(MATCH(Tasks[[#This Row],[Pred3 UID]],Tasks[UID],0),-1))</f>
        <v>0</v>
      </c>
      <c r="CD81" s="38" t="n">
        <f aca="false">IF(N(Tasks[[#This Row],[Pred4 UID]])=0,0,IFERROR(MATCH(Tasks[[#This Row],[Pred4 UID]],Tasks[UID],0),-1))</f>
        <v>0</v>
      </c>
      <c r="CE8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1" s="115" t="n">
        <f aca="false">IF(OR(Tasks[[#This Row],[_ConstraintCode]]=2,Tasks[[#This Row],[_ConstraintCode]]=3,Tasks[[#This Row],[_ConstraintCode]]=4,Tasks[[#This Row],[_ConstraintCode]]=6),Tasks[[#This Row],[_ConstraintStart]],0)</f>
        <v>0</v>
      </c>
      <c r="CH81" s="115" t="n">
        <f aca="false">IF(OR(Tasks[[#This Row],[_ConstraintCode]]=2,Tasks[[#This Row],[_ConstraintCode]]=3,Tasks[[#This Row],[_ConstraintCode]]=5,Tasks[[#This Row],[_ConstraintCode]]=7),Tasks[[#This Row],[_ConstraintStart]],2958465)</f>
        <v>2958465</v>
      </c>
      <c r="CI8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1" s="115" t="str">
        <f aca="false">IF(NOT(Tasks[[#This Row],[_IsLeaf]]=1),"",IF(N(Tasks[[#This Row],[Duration]])&lt;=0,Tasks[[#This Row],[_LeafCalcStart]],WORKDAY.INTL(Tasks[[#This Row],[_LeafCalcStart]],Tasks[[#This Row],[Duration]]-1,WorkWeek,Holidays)))</f>
        <v/>
      </c>
      <c r="CK8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1" s="38" t="n">
        <f aca="false">IF(NOT(Tasks[[#This Row],[_IsLeaf]]=1),0,IF(N(Tasks[[#This Row],[Actual Finish]])&gt;0,1,MIN(1,N(Tasks[[#This Row],[% Complete]]))))</f>
        <v>0</v>
      </c>
      <c r="CN81" s="38" t="n">
        <f aca="false">IF(OR(NOT(Tasks[[#This Row],[_IsLeaf]]=1),Tasks[[#This Row],[Resource]]=""),0,N(Tasks[[#This Row],[Duration]])*HoursPerDay*IF(Tasks[[#This Row],[Units]]="",DefaultUnits,Tasks[[#This Row],[Units]]))</f>
        <v>0</v>
      </c>
      <c r="CO81" s="38" t="n">
        <f aca="false">IF(Tasks[[#This Row],[_LeafWork]]=0,0,Tasks[[#This Row],[_LeafWork]]*IFERROR(INDEX(res_Rate,MATCH(Tasks[[#This Row],[Resource]],res_Name,0)),0))</f>
        <v>0</v>
      </c>
      <c r="CP81" s="38" t="n">
        <f aca="false">Tasks[[#This Row],[_LeafWork]]+IF(Tasks[[#This Row],[_IsLeaf]]=1,SUMIFS(asg_Work,asg_TaskUID,Tasks[[#This Row],[UID]],asg_Valid,1),0)</f>
        <v>0</v>
      </c>
      <c r="CQ81" s="38" t="n">
        <f aca="false">Tasks[[#This Row],[_LeafCost]]+IF(Tasks[[#This Row],[_IsLeaf]]=1,SUMIFS(asg_Cost,asg_TaskUID,Tasks[[#This Row],[UID]],asg_Valid,1),0)</f>
        <v>0</v>
      </c>
      <c r="CR81" s="38" t="n">
        <f aca="false">IF(Tasks[[#This Row],[_LeafTotalCost]]=0,Tasks[[#This Row],[_LeafAC]],Tasks[[#This Row],[_LeafAC]]*Tasks[[#This Row],[_LeafCost]]/Tasks[[#This Row],[_LeafTotalCost]])</f>
        <v>0</v>
      </c>
      <c r="CS8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1" s="38" t="n">
        <f aca="false">IF(NOT(Tasks[[#This Row],[_IsLeaf]]=1),0,MAX(_xlfn.MAXIFS(Tasks[_Row],Tasks[Pred1 UID],Tasks[[#This Row],[UID]]),_xlfn.MAXIFS(Tasks[_Row],Tasks[Pred2 UID],Tasks[[#This Row],[UID]]),_xlfn.MAXIFS(Tasks[_Row],Tasks[Pred3 UID],Tasks[[#This Row],[UID]]),_xlfn.MAXIFS(Tasks[_Row],Tasks[Pred4 UID],Tasks[[#This Row],[UID]])))</f>
        <v>0</v>
      </c>
      <c r="DB8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1" s="115" t="str">
        <f aca="false">IF(NOT(Tasks[[#This Row],[_IsLeaf]]=1),"",IF(N(Tasks[[#This Row],[Duration]])&lt;=0,Tasks[[#This Row],[_LeafLateFinish]],WORKDAY.INTL(Tasks[[#This Row],[_LeafLateFinish]],-(Tasks[[#This Row],[Duration]]-1),WorkWeek,Holidays)))</f>
        <v/>
      </c>
      <c r="DE8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1" s="114" t="b">
        <f aca="false">AND(Tasks[[#This Row],[_IsLeaf]]=1,Tasks[[#This Row],[_LeafProgress]]&lt;1,N(Tasks[[#This Row],[_LeafTotalSlack]])&lt;=CriticalSlackDays)</f>
        <v>0</v>
      </c>
      <c r="DG81" s="38" t="n">
        <f aca="false">IF(AND(Tasks[[#This Row],[_IsLeaf]]=1,Tasks[[#This Row],[_ConstraintCode]]=1,Tasks[[#This Row],[Mode]]&lt;&gt;"Manual",N(Tasks[[#This Row],[Actual Start]])=0),MAX(0,N(Tasks[[#This Row],[Free Slack]])),0)</f>
        <v>0</v>
      </c>
      <c r="DH81" s="115" t="str">
        <f aca="false">IF(NOT(Tasks[[#This Row],[_IsLeaf]]=1),"",IF(Tasks[[#This Row],[_AlapShift]]=0,Tasks[[#This Row],[_LeafCalcStart]],WORKDAY.INTL(Tasks[[#This Row],[_LeafCalcStart]],Tasks[[#This Row],[_AlapShift]],WorkWeek,Holidays)))</f>
        <v/>
      </c>
      <c r="DI81" s="115" t="str">
        <f aca="false">IF(NOT(Tasks[[#This Row],[_IsLeaf]]=1),"",IF(Tasks[[#This Row],[_AlapShift]]=0,Tasks[[#This Row],[_LeafCalcFinish]],WORKDAY.INTL(Tasks[[#This Row],[_LeafCalcFinish]],Tasks[[#This Row],[_AlapShift]],WorkWeek,Holidays)))</f>
        <v/>
      </c>
      <c r="DJ81" s="115" t="str">
        <f aca="false">IF(NOT(Tasks[[#This Row],[_IsLeaf]]=1),"",IF(Tasks[[#This Row],[_AlapShift]]=0,Tasks[[#This Row],[_LeafFcstStart]],WORKDAY.INTL(Tasks[[#This Row],[_LeafFcstStart]],Tasks[[#This Row],[_AlapShift]],WorkWeek,Holidays)))</f>
        <v/>
      </c>
      <c r="DK81" s="115" t="str">
        <f aca="false">IF(NOT(Tasks[[#This Row],[_IsLeaf]]=1),"",IF(Tasks[[#This Row],[_AlapShift]]=0,Tasks[[#This Row],[_LeafFcstFinish]],WORKDAY.INTL(Tasks[[#This Row],[_LeafFcstFinish]],Tasks[[#This Row],[_AlapShift]],WorkWeek,Holidays)))</f>
        <v/>
      </c>
      <c r="DL81" s="115" t="str">
        <f aca="false">IF(Tasks[[#This Row],[Task Name]]="","",IF(Tasks[[#This Row],[_IsSummary]],MIN(INDEX(Tasks[_ShownCalcStart],Tasks[[#This Row],[_Row]]+1):INDEX(Tasks[_ShownCalcStart],Tasks[[#This Row],[_Row]]+Tasks[[#This Row],[_Descendants]])),Tasks[[#This Row],[_ShownCalcStart]]))</f>
        <v/>
      </c>
      <c r="DM81" s="115" t="str">
        <f aca="false">IF(Tasks[[#This Row],[Task Name]]="","",IF(Tasks[[#This Row],[_IsSummary]],MAX(INDEX(Tasks[_ShownCalcFinish],Tasks[[#This Row],[_Row]]+1):INDEX(Tasks[_ShownCalcFinish],Tasks[[#This Row],[_Row]]+Tasks[[#This Row],[_Descendants]])),Tasks[[#This Row],[_ShownCalcFinish]]))</f>
        <v/>
      </c>
      <c r="DN8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1" s="38" t="n">
        <f aca="false">IF(AND(Tasks[[#This Row],[_IsLeaf]]=1,Tasks[[#This Row],[_LeafTotalWork]]&gt;0),NETWORKDAYS.INTL(ProjectStart,Tasks[[#This Row],[_ShownFcstStart]],WorkWeek,Holidays),0)</f>
        <v>0</v>
      </c>
      <c r="EA81" s="38" t="n">
        <f aca="false">IF(AND(Tasks[[#This Row],[_IsLeaf]]=1,Tasks[[#This Row],[_LeafTotalWork]]&gt;0),MAX(Tasks[[#This Row],[_StartWorkday]],NETWORKDAYS.INTL(ProjectStart,Tasks[[#This Row],[_ShownFcstFinish]],WorkWeek,Holidays)),0)</f>
        <v>0</v>
      </c>
      <c r="EB81" s="38" t="n">
        <f aca="false">IF(AND(Tasks[[#This Row],[_IsLeaf]]=1,Tasks[[#This Row],[_LeafTotalWork]]&gt;0),Tasks[[#This Row],[_LeafWork]]/(Tasks[[#This Row],[_FinishWorkday]]-Tasks[[#This Row],[_StartWorkday]]+1),0)</f>
        <v>0</v>
      </c>
      <c r="EC81" s="38" t="n">
        <f aca="false">Tasks[[#This Row],[_WorkPerWorkday]]*(Tasks[[#This Row],[_StartWorkday]]-1)</f>
        <v>-0</v>
      </c>
      <c r="ED81" s="38" t="n">
        <f aca="false">IF(Tasks[[#This Row],[_IsLeaf]]=1,MAX(N(Tasks[[#This Row],[Duration]]),0.1),0)</f>
        <v>0</v>
      </c>
      <c r="EE81" s="38" t="n">
        <f aca="false">Tasks[[#This Row],[_WeightDur]]*Tasks[[#This Row],[_LeafProgress]]</f>
        <v>0</v>
      </c>
      <c r="EF8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1" s="38" t="str">
        <f aca="false">IF(AND(Tasks[[#This Row],[_IsLeaf]]=1,N(Tasks[[#This Row],[Duration]])=0,Tasks[[#This Row],[_LeafProgress]]&lt;1),Tasks[[#This Row],[_ShownFcstFinish]]+Tasks[[#This Row],[_Row]]/100000,"")</f>
        <v/>
      </c>
      <c r="EH8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1" s="38" t="n">
        <f aca="false">IF(NOT(Tasks[[#This Row],[_IsLeaf]]=1),0,IF(Tasks[[#This Row],[Baseline Cost]]="",Tasks[[#This Row],[_LeafTotalCost]],N(Tasks[[#This Row],[Baseline Cost]])))</f>
        <v>0</v>
      </c>
      <c r="EJ81" s="38" t="n">
        <f aca="false">Tasks[[#This Row],[_LeafBudget]]*Tasks[[#This Row],[_PlannedPct]]</f>
        <v>0</v>
      </c>
      <c r="EK81" s="38" t="n">
        <f aca="false">Tasks[[#This Row],[_LeafBudget]]*Tasks[[#This Row],[_LeafProgress]]</f>
        <v>0</v>
      </c>
      <c r="EL81" s="38" t="n">
        <f aca="false">IF(NOT(Tasks[[#This Row],[_IsLeaf]]=1),0,IF(Tasks[[#This Row],[Actual Cost]]="",Tasks[[#This Row],[_LeafTotalCost]]*Tasks[[#This Row],[_LeafProgress]],N(Tasks[[#This Row],[Actual Cost]])))</f>
        <v>0</v>
      </c>
      <c r="EM81" s="38" t="str">
        <f aca="false">IF(Tasks[[#This Row],[Task Name]]="","",LEFT(Tasks[[#This Row],[WBS]],FIND(".",Tasks[[#This Row],[WBS]]&amp;".")-1))</f>
        <v/>
      </c>
      <c r="EN81" s="38" t="str">
        <f aca="false">IF(AND(Tasks[[#This Row],[Task Name]]&lt;&gt;"",Tasks[[#This Row],[_Level]]=1),Tasks[[#This Row],[_Row]],"")</f>
        <v/>
      </c>
      <c r="EO81" s="38" t="str">
        <f aca="false">IF(AND(Tasks[[#This Row],[_IsLeaf]]=1,N(Tasks[[#This Row],[Duration]])=0),Tasks[[#This Row],[Planned Finish]]+Tasks[[#This Row],[_Row]]/100000,"")</f>
        <v/>
      </c>
      <c r="EP81" s="38" t="str">
        <f aca="false">IF(AND(Tasks[[#This Row],[_IsLeaf]]=1,Tasks[[#This Row],[_LeafProgress]]&lt;1,OR(N(Tasks[[#This Row],[Finish Var]])&gt;0,Tasks[[#This Row],[Status]]="Late Start")),MAX(0,Tasks[[#This Row],[Finish Var]])+1-Tasks[[#This Row],[_Row]]/1000000,"")</f>
        <v/>
      </c>
      <c r="EQ81" s="38" t="str">
        <f aca="false">IF(AND(Tasks[[#This Row],[_IsLeaf]]=1,N(Tasks[[#This Row],[Actual Start]])=0,Tasks[[#This Row],[_ShownFcstStart]]&gt;=StatusDate,Tasks[[#This Row],[_ShownFcstStart]]&lt;=LookaheadEnd),Tasks[[#This Row],[_ShownFcstStart]]+Tasks[[#This Row],[_Row]]/100000,"")</f>
        <v/>
      </c>
      <c r="ER81" s="38" t="str">
        <f aca="false">IF(AND(Tasks[[#This Row],[_IsLeaf]]=1,Tasks[[#This Row],[_LeafProgress]]&lt;1,Tasks[[#This Row],[_ShownFcstFinish]]&gt;=StatusDate,Tasks[[#This Row],[_ShownFcstFinish]]&lt;=LookaheadEnd),Tasks[[#This Row],[_ShownFcstFinish]]+Tasks[[#This Row],[_Row]]/100000,"")</f>
        <v/>
      </c>
      <c r="ES81" s="38" t="str">
        <f aca="false">IF(Tasks[[#This Row],[_LeafCritical]],Tasks[[#This Row],[_ShownFcstStart]]+Tasks[[#This Row],[_Row]]/100000,"")</f>
        <v/>
      </c>
      <c r="ET81" s="38" t="n">
        <f aca="false">Tasks[[#This Row],[_LeafWork]]*Tasks[[#This Row],[_LeafProgress]]</f>
        <v>0</v>
      </c>
      <c r="EU81" s="115" t="str">
        <f aca="false">IF(AND(Tasks[[#This Row],[_IsLeaf]]=1,Tasks[[#This Row],[_LeafProgress]]&gt;=1),IF(N(Tasks[[#This Row],[Actual Finish]])&gt;0,Tasks[[#This Row],[Actual Finish]],Tasks[[#This Row],[_ShownFcstFinish]]),"")</f>
        <v/>
      </c>
      <c r="EV81" s="38" t="n">
        <f aca="false">IF(Tasks[[#This Row],[_IsLeaf]]=1,N(Tasks[[#This Row],[Story Points]]),0)</f>
        <v>0</v>
      </c>
      <c r="EW81" s="38" t="str">
        <f aca="false">IF(AND(Tasks[[#This Row],[_IsLeaf]]=1,CurrentSprint&lt;&gt;"",Tasks[[#This Row],[Sprint]]=CurrentSprint),Tasks[[#This Row],[_Row]],"")</f>
        <v/>
      </c>
    </row>
    <row r="82" customFormat="false" ht="15" hidden="false" customHeight="false" outlineLevel="0" collapsed="false">
      <c r="A82" s="51" t="str">
        <f aca="false">IF(Tasks[[#This Row],[Task Name]]="","",COUNTA(Tasks[[#Headers],[Task Name]]:Tasks[[#This Row],[Task Name]])-1)</f>
        <v/>
      </c>
      <c r="B82" s="52" t="n">
        <v>77</v>
      </c>
      <c r="C8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52"/>
      <c r="E82" s="53"/>
      <c r="F82" s="52"/>
      <c r="G82" s="52"/>
      <c r="H82" s="52"/>
      <c r="I82" s="52"/>
      <c r="J82" s="52"/>
      <c r="K82" s="52"/>
      <c r="L82" s="52"/>
      <c r="M82" s="52"/>
      <c r="N82" s="52"/>
      <c r="O82" s="52"/>
      <c r="P82" s="52"/>
      <c r="Q82" s="52"/>
      <c r="R82" s="52"/>
      <c r="S82" s="53"/>
      <c r="T82" s="102"/>
      <c r="U82" s="102"/>
      <c r="V82" s="7"/>
      <c r="W82" s="7"/>
      <c r="X82" s="53"/>
      <c r="Y82" s="31" t="str">
        <f aca="false">IF(Tasks[[#This Row],[Task Name]]="","",IF(Tasks[[#This Row],[_IsSummary]],MIN(INDEX(Tasks[_ShownFcstStart],Tasks[[#This Row],[_Row]]+1):INDEX(Tasks[_ShownFcstStart],Tasks[[#This Row],[_Row]]+Tasks[[#This Row],[_Descendants]])),Tasks[[#This Row],[_ShownFcstStart]]))</f>
        <v/>
      </c>
      <c r="Z82" s="31" t="str">
        <f aca="false">IF(Tasks[[#This Row],[Task Name]]="","",IF(Tasks[[#This Row],[_IsSummary]],MAX(INDEX(Tasks[_ShownFcstFinish],Tasks[[#This Row],[_Row]]+1):INDEX(Tasks[_ShownFcstFinish],Tasks[[#This Row],[_Row]]+Tasks[[#This Row],[_Descendants]])),Tasks[[#This Row],[_ShownFcstFinish]]))</f>
        <v/>
      </c>
      <c r="AA82" s="51" t="str">
        <f aca="false">IF(Tasks[[#This Row],[Task Name]]="","",IF(Tasks[[#This Row],[Progress]]&gt;=1,"Complete",IF(OR(N(Tasks[[#This Row],[Actual Start]])&gt;0,Tasks[[#This Row],[Progress]]&gt;0),IF(Tasks[[#This Row],[Finish Var]]&gt;0,"Behind","In Progress"),IF(Tasks[[#This Row],[Planned Start]]&lt;StatusDate,"Late Start","Not Started"))))</f>
        <v/>
      </c>
      <c r="AB82" s="51" t="str">
        <f aca="false">IF(Tasks[[#This Row],[Task Name]]="","",IF(IF(Tasks[[#This Row],[_IsSummary]],COUNTIF(INDEX(Tasks[_LeafCritical],Tasks[[#This Row],[_Row]]+1):INDEX(Tasks[_LeafCritical],Tasks[[#This Row],[_Row]]+Tasks[[#This Row],[_Descendants]]),TRUE())&gt;0,Tasks[[#This Row],[_LeafCritical]]),"Yes",""))</f>
        <v/>
      </c>
      <c r="AC8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2" s="51" t="str">
        <f aca="false">IF(Tasks[[#This Row],[Task Name]]="","",IF(Tasks[[#This Row],[_Level]]&lt;=OutlineShowLevel,"Yes","No"))</f>
        <v/>
      </c>
      <c r="AE82" s="7"/>
      <c r="AF82" s="52"/>
      <c r="AG82" s="53"/>
      <c r="AH82" s="7"/>
      <c r="AI8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2" s="31" t="str">
        <f aca="false">IF(Tasks[[#This Row],[Task Name]]="","",IF(N(Tasks[[#This Row],[Baseline Start]])&gt;0,Tasks[[#This Row],[Baseline Start]],Tasks[[#This Row],[_CalcStart]]))</f>
        <v/>
      </c>
      <c r="AK82" s="31" t="str">
        <f aca="false">IF(Tasks[[#This Row],[Task Name]]="","",IF(N(Tasks[[#This Row],[Baseline Finish]])&gt;0,Tasks[[#This Row],[Baseline Finish]],Tasks[[#This Row],[_CalcFinish]]))</f>
        <v/>
      </c>
      <c r="AL8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2" s="31" t="str">
        <f aca="false">IF(Tasks[[#This Row],[Task Name]]="","",IF(Tasks[[#This Row],[_IsSummary]],MIN(INDEX(Tasks[_LeafLateStart],Tasks[[#This Row],[_Row]]+1):INDEX(Tasks[_LeafLateStart],Tasks[[#This Row],[_Row]]+Tasks[[#This Row],[_Descendants]])),Tasks[[#This Row],[_LeafLateStart]]))</f>
        <v/>
      </c>
      <c r="AN82" s="31" t="str">
        <f aca="false">IF(Tasks[[#This Row],[Task Name]]="","",IF(Tasks[[#This Row],[_IsSummary]],MAX(INDEX(Tasks[_LeafLateFinish],Tasks[[#This Row],[_Row]]+1):INDEX(Tasks[_LeafLateFinish],Tasks[[#This Row],[_Row]]+Tasks[[#This Row],[_Descendants]])),Tasks[[#This Row],[_LeafLateFinish]]))</f>
        <v/>
      </c>
      <c r="AO82" s="51" t="str">
        <f aca="false">IF(Tasks[[#This Row],[Task Name]]="","",IF(Tasks[[#This Row],[_IsSummary]],MIN(INDEX(Tasks[_LeafTotalSlack],Tasks[[#This Row],[_Row]]+1):INDEX(Tasks[_LeafTotalSlack],Tasks[[#This Row],[_Row]]+Tasks[[#This Row],[_Descendants]])),Tasks[[#This Row],[_LeafTotalSlack]]))</f>
        <v/>
      </c>
      <c r="AP8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2" s="110" t="str">
        <f aca="false">IF(Tasks[[#This Row],[Task Name]]="","",IF(Tasks[[#This Row],[_IsSummary]],SUM(INDEX(Tasks[_LeafTotalWork],Tasks[[#This Row],[_Row]]+1):INDEX(Tasks[_LeafTotalWork],Tasks[[#This Row],[_Row]]+Tasks[[#This Row],[_Descendants]])),Tasks[[#This Row],[_LeafTotalWork]]))</f>
        <v/>
      </c>
      <c r="AV8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2" s="111" t="str">
        <f aca="false">IF(Tasks[[#This Row],[Task Name]]="","",IF(Tasks[[#This Row],[_IsSummary]],SUM(INDEX(Tasks[_LeafTotalCost],Tasks[[#This Row],[_Row]]+1):INDEX(Tasks[_LeafTotalCost],Tasks[[#This Row],[_Row]]+Tasks[[#This Row],[_Descendants]])),Tasks[[#This Row],[_LeafTotalCost]]))</f>
        <v/>
      </c>
      <c r="AY82" s="112"/>
      <c r="AZ8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2" s="52"/>
      <c r="BB82" s="98"/>
      <c r="BC82" s="51" t="str">
        <f aca="false">IF(OR(Tasks[[#This Row],[Task Name]]="",Tasks[[#This Row],[Baseline Duration]]=""),"",Tasks[[#This Row],[BL Source Duration]]-N(Tasks[[#This Row],[Baseline Duration]]))</f>
        <v/>
      </c>
      <c r="BD82" s="110" t="str">
        <f aca="false">IF(OR(Tasks[[#This Row],[Task Name]]="",Tasks[[#This Row],[Baseline Work]]=""),"",Tasks[[#This Row],[Work]]-N(Tasks[[#This Row],[Baseline Work]]))</f>
        <v/>
      </c>
      <c r="BE82" s="111" t="str">
        <f aca="false">IF(OR(Tasks[[#This Row],[Task Name]]="",Tasks[[#This Row],[Baseline Cost]]=""),"",Tasks[[#This Row],[Cost]]-N(Tasks[[#This Row],[Baseline Cost]]))</f>
        <v/>
      </c>
      <c r="BF82" s="31" t="str">
        <f aca="false">IF(Tasks[[#This Row],[Task Name]]="","",Tasks[[#This Row],[Forecast Start]])</f>
        <v/>
      </c>
      <c r="BG82" s="31" t="str">
        <f aca="false">IF(Tasks[[#This Row],[Task Name]]="","",Tasks[[#This Row],[Forecast Finish]])</f>
        <v/>
      </c>
      <c r="BH82" s="51" t="str">
        <f aca="false">IF(Tasks[[#This Row],[Task Name]]="","",IF(Tasks[[#This Row],[_IsSummary]],NETWORKDAYS.INTL(Tasks[[#This Row],[Forecast Start]],Tasks[[#This Row],[Forecast Finish]],WorkWeek,Holidays),N(Tasks[[#This Row],[Duration]])))</f>
        <v/>
      </c>
      <c r="BI82" s="110" t="str">
        <f aca="false">IF(Tasks[[#This Row],[Task Name]]="","",Tasks[[#This Row],[Work]])</f>
        <v/>
      </c>
      <c r="BJ82" s="111" t="str">
        <f aca="false">IF(Tasks[[#This Row],[Task Name]]="","",Tasks[[#This Row],[Cost]])</f>
        <v/>
      </c>
      <c r="BK82" s="7"/>
      <c r="BL82" s="7"/>
      <c r="BM82" s="52"/>
      <c r="BN82" s="113"/>
      <c r="BO82" s="112"/>
      <c r="BP82" s="111" t="str">
        <f aca="false">IF(Tasks[[#This Row],[Task Name]]="","",IF(Tasks[[#This Row],[_IsSummary]],SUM(INDEX(Tasks[_LeafEV],Tasks[[#This Row],[_Row]]+1):INDEX(Tasks[_LeafEV],Tasks[[#This Row],[_Row]]+Tasks[[#This Row],[_Descendants]])),Tasks[[#This Row],[_LeafEV]]))</f>
        <v/>
      </c>
      <c r="BQ82" s="111" t="str">
        <f aca="false">IF(Tasks[[#This Row],[Task Name]]="","",IF(Tasks[[#This Row],[_IsSummary]],SUM(INDEX(Tasks[_LeafBudget],Tasks[[#This Row],[_Row]]+1):INDEX(Tasks[_LeafBudget],Tasks[[#This Row],[_Row]]+Tasks[[#This Row],[_Descendants]])),Tasks[[#This Row],[_LeafBudget]]))</f>
        <v/>
      </c>
      <c r="BR82" s="111" t="str">
        <f aca="false">IF(Tasks[[#This Row],[Task Name]]="","",IF(Tasks[[#This Row],[_IsSummary]],SUM(INDEX(Tasks[_LeafPV],Tasks[[#This Row],[_Row]]+1):INDEX(Tasks[_LeafPV],Tasks[[#This Row],[_Row]]+Tasks[[#This Row],[_Descendants]])),Tasks[[#This Row],[_LeafPV]]))</f>
        <v/>
      </c>
      <c r="BS82" s="111" t="str">
        <f aca="false">IF(Tasks[[#This Row],[Task Name]]="","",IF(Tasks[[#This Row],[_IsSummary]],SUM(INDEX(Tasks[_LeafAC],Tasks[[#This Row],[_Row]]+1):INDEX(Tasks[_LeafAC],Tasks[[#This Row],[_Row]]+Tasks[[#This Row],[_Descendants]])),Tasks[[#This Row],[_LeafAC]]))</f>
        <v/>
      </c>
      <c r="BT82" s="38" t="str">
        <f aca="false">IF(Tasks[[#This Row],[Task Name]]="","",MAX(1,N(Tasks[[#This Row],[Level]])))</f>
        <v/>
      </c>
      <c r="BU82" s="38" t="n">
        <f aca="false">ROW()-ROW(Tasks[[#Headers],[ID]])</f>
        <v>77</v>
      </c>
      <c r="BV82" s="38" t="n">
        <f aca="false">IF(OR(Tasks[[#This Row],[Task Name]]="",Tasks[[#This Row],[_Level]]&lt;=1),0,IFERROR(LOOKUP(2,1/(Tasks[[#Headers],[_Level]]:Tasks[[#This Row],[_Level]]=Tasks[[#This Row],[_Level]]-1),ROW(Tasks[[#Headers],[_Level]]:Tasks[[#This Row],[_Level]])),0))</f>
        <v>0</v>
      </c>
      <c r="BW82" s="38" t="n">
        <f aca="false">IFERROR(N(INDEX(Tasks[_Level],Tasks[[#This Row],[_Row]]+1)),0)</f>
        <v>0</v>
      </c>
      <c r="BX82" s="114" t="b">
        <f aca="false">AND(Tasks[[#This Row],[Task Name]]&lt;&gt;"",Tasks[[#This Row],[_NextLevel]]&gt;Tasks[[#This Row],[_Level]])</f>
        <v>0</v>
      </c>
      <c r="BY82" s="38" t="n">
        <f aca="false">IF(Tasks[[#This Row],[_IsSummary]],COUNTIF(Tasks[WBS],Tasks[[#This Row],[WBS]]&amp;".*"),0)</f>
        <v>0</v>
      </c>
      <c r="BZ82" s="38" t="n">
        <f aca="false">IF(AND(Tasks[[#This Row],[Task Name]]&lt;&gt;"",NOT(Tasks[[#This Row],[_IsSummary]])),1,0)</f>
        <v>0</v>
      </c>
      <c r="CA82" s="38" t="n">
        <f aca="false">IF(N(Tasks[[#This Row],[Pred1 UID]])=0,0,IFERROR(MATCH(Tasks[[#This Row],[Pred1 UID]],Tasks[UID],0),-1))</f>
        <v>0</v>
      </c>
      <c r="CB82" s="38" t="n">
        <f aca="false">IF(N(Tasks[[#This Row],[Pred2 UID]])=0,0,IFERROR(MATCH(Tasks[[#This Row],[Pred2 UID]],Tasks[UID],0),-1))</f>
        <v>0</v>
      </c>
      <c r="CC82" s="38" t="n">
        <f aca="false">IF(N(Tasks[[#This Row],[Pred3 UID]])=0,0,IFERROR(MATCH(Tasks[[#This Row],[Pred3 UID]],Tasks[UID],0),-1))</f>
        <v>0</v>
      </c>
      <c r="CD82" s="38" t="n">
        <f aca="false">IF(N(Tasks[[#This Row],[Pred4 UID]])=0,0,IFERROR(MATCH(Tasks[[#This Row],[Pred4 UID]],Tasks[UID],0),-1))</f>
        <v>0</v>
      </c>
      <c r="CE8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2" s="115" t="n">
        <f aca="false">IF(OR(Tasks[[#This Row],[_ConstraintCode]]=2,Tasks[[#This Row],[_ConstraintCode]]=3,Tasks[[#This Row],[_ConstraintCode]]=4,Tasks[[#This Row],[_ConstraintCode]]=6),Tasks[[#This Row],[_ConstraintStart]],0)</f>
        <v>0</v>
      </c>
      <c r="CH82" s="115" t="n">
        <f aca="false">IF(OR(Tasks[[#This Row],[_ConstraintCode]]=2,Tasks[[#This Row],[_ConstraintCode]]=3,Tasks[[#This Row],[_ConstraintCode]]=5,Tasks[[#This Row],[_ConstraintCode]]=7),Tasks[[#This Row],[_ConstraintStart]],2958465)</f>
        <v>2958465</v>
      </c>
      <c r="CI8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2" s="115" t="str">
        <f aca="false">IF(NOT(Tasks[[#This Row],[_IsLeaf]]=1),"",IF(N(Tasks[[#This Row],[Duration]])&lt;=0,Tasks[[#This Row],[_LeafCalcStart]],WORKDAY.INTL(Tasks[[#This Row],[_LeafCalcStart]],Tasks[[#This Row],[Duration]]-1,WorkWeek,Holidays)))</f>
        <v/>
      </c>
      <c r="CK8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2" s="38" t="n">
        <f aca="false">IF(NOT(Tasks[[#This Row],[_IsLeaf]]=1),0,IF(N(Tasks[[#This Row],[Actual Finish]])&gt;0,1,MIN(1,N(Tasks[[#This Row],[% Complete]]))))</f>
        <v>0</v>
      </c>
      <c r="CN82" s="38" t="n">
        <f aca="false">IF(OR(NOT(Tasks[[#This Row],[_IsLeaf]]=1),Tasks[[#This Row],[Resource]]=""),0,N(Tasks[[#This Row],[Duration]])*HoursPerDay*IF(Tasks[[#This Row],[Units]]="",DefaultUnits,Tasks[[#This Row],[Units]]))</f>
        <v>0</v>
      </c>
      <c r="CO82" s="38" t="n">
        <f aca="false">IF(Tasks[[#This Row],[_LeafWork]]=0,0,Tasks[[#This Row],[_LeafWork]]*IFERROR(INDEX(res_Rate,MATCH(Tasks[[#This Row],[Resource]],res_Name,0)),0))</f>
        <v>0</v>
      </c>
      <c r="CP82" s="38" t="n">
        <f aca="false">Tasks[[#This Row],[_LeafWork]]+IF(Tasks[[#This Row],[_IsLeaf]]=1,SUMIFS(asg_Work,asg_TaskUID,Tasks[[#This Row],[UID]],asg_Valid,1),0)</f>
        <v>0</v>
      </c>
      <c r="CQ82" s="38" t="n">
        <f aca="false">Tasks[[#This Row],[_LeafCost]]+IF(Tasks[[#This Row],[_IsLeaf]]=1,SUMIFS(asg_Cost,asg_TaskUID,Tasks[[#This Row],[UID]],asg_Valid,1),0)</f>
        <v>0</v>
      </c>
      <c r="CR82" s="38" t="n">
        <f aca="false">IF(Tasks[[#This Row],[_LeafTotalCost]]=0,Tasks[[#This Row],[_LeafAC]],Tasks[[#This Row],[_LeafAC]]*Tasks[[#This Row],[_LeafCost]]/Tasks[[#This Row],[_LeafTotalCost]])</f>
        <v>0</v>
      </c>
      <c r="CS8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2" s="38" t="n">
        <f aca="false">IF(NOT(Tasks[[#This Row],[_IsLeaf]]=1),0,MAX(_xlfn.MAXIFS(Tasks[_Row],Tasks[Pred1 UID],Tasks[[#This Row],[UID]]),_xlfn.MAXIFS(Tasks[_Row],Tasks[Pred2 UID],Tasks[[#This Row],[UID]]),_xlfn.MAXIFS(Tasks[_Row],Tasks[Pred3 UID],Tasks[[#This Row],[UID]]),_xlfn.MAXIFS(Tasks[_Row],Tasks[Pred4 UID],Tasks[[#This Row],[UID]])))</f>
        <v>0</v>
      </c>
      <c r="DB8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2" s="115" t="str">
        <f aca="false">IF(NOT(Tasks[[#This Row],[_IsLeaf]]=1),"",IF(N(Tasks[[#This Row],[Duration]])&lt;=0,Tasks[[#This Row],[_LeafLateFinish]],WORKDAY.INTL(Tasks[[#This Row],[_LeafLateFinish]],-(Tasks[[#This Row],[Duration]]-1),WorkWeek,Holidays)))</f>
        <v/>
      </c>
      <c r="DE8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2" s="114" t="b">
        <f aca="false">AND(Tasks[[#This Row],[_IsLeaf]]=1,Tasks[[#This Row],[_LeafProgress]]&lt;1,N(Tasks[[#This Row],[_LeafTotalSlack]])&lt;=CriticalSlackDays)</f>
        <v>0</v>
      </c>
      <c r="DG82" s="38" t="n">
        <f aca="false">IF(AND(Tasks[[#This Row],[_IsLeaf]]=1,Tasks[[#This Row],[_ConstraintCode]]=1,Tasks[[#This Row],[Mode]]&lt;&gt;"Manual",N(Tasks[[#This Row],[Actual Start]])=0),MAX(0,N(Tasks[[#This Row],[Free Slack]])),0)</f>
        <v>0</v>
      </c>
      <c r="DH82" s="115" t="str">
        <f aca="false">IF(NOT(Tasks[[#This Row],[_IsLeaf]]=1),"",IF(Tasks[[#This Row],[_AlapShift]]=0,Tasks[[#This Row],[_LeafCalcStart]],WORKDAY.INTL(Tasks[[#This Row],[_LeafCalcStart]],Tasks[[#This Row],[_AlapShift]],WorkWeek,Holidays)))</f>
        <v/>
      </c>
      <c r="DI82" s="115" t="str">
        <f aca="false">IF(NOT(Tasks[[#This Row],[_IsLeaf]]=1),"",IF(Tasks[[#This Row],[_AlapShift]]=0,Tasks[[#This Row],[_LeafCalcFinish]],WORKDAY.INTL(Tasks[[#This Row],[_LeafCalcFinish]],Tasks[[#This Row],[_AlapShift]],WorkWeek,Holidays)))</f>
        <v/>
      </c>
      <c r="DJ82" s="115" t="str">
        <f aca="false">IF(NOT(Tasks[[#This Row],[_IsLeaf]]=1),"",IF(Tasks[[#This Row],[_AlapShift]]=0,Tasks[[#This Row],[_LeafFcstStart]],WORKDAY.INTL(Tasks[[#This Row],[_LeafFcstStart]],Tasks[[#This Row],[_AlapShift]],WorkWeek,Holidays)))</f>
        <v/>
      </c>
      <c r="DK82" s="115" t="str">
        <f aca="false">IF(NOT(Tasks[[#This Row],[_IsLeaf]]=1),"",IF(Tasks[[#This Row],[_AlapShift]]=0,Tasks[[#This Row],[_LeafFcstFinish]],WORKDAY.INTL(Tasks[[#This Row],[_LeafFcstFinish]],Tasks[[#This Row],[_AlapShift]],WorkWeek,Holidays)))</f>
        <v/>
      </c>
      <c r="DL82" s="115" t="str">
        <f aca="false">IF(Tasks[[#This Row],[Task Name]]="","",IF(Tasks[[#This Row],[_IsSummary]],MIN(INDEX(Tasks[_ShownCalcStart],Tasks[[#This Row],[_Row]]+1):INDEX(Tasks[_ShownCalcStart],Tasks[[#This Row],[_Row]]+Tasks[[#This Row],[_Descendants]])),Tasks[[#This Row],[_ShownCalcStart]]))</f>
        <v/>
      </c>
      <c r="DM82" s="115" t="str">
        <f aca="false">IF(Tasks[[#This Row],[Task Name]]="","",IF(Tasks[[#This Row],[_IsSummary]],MAX(INDEX(Tasks[_ShownCalcFinish],Tasks[[#This Row],[_Row]]+1):INDEX(Tasks[_ShownCalcFinish],Tasks[[#This Row],[_Row]]+Tasks[[#This Row],[_Descendants]])),Tasks[[#This Row],[_ShownCalcFinish]]))</f>
        <v/>
      </c>
      <c r="DN8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2" s="38" t="n">
        <f aca="false">IF(AND(Tasks[[#This Row],[_IsLeaf]]=1,Tasks[[#This Row],[_LeafTotalWork]]&gt;0),NETWORKDAYS.INTL(ProjectStart,Tasks[[#This Row],[_ShownFcstStart]],WorkWeek,Holidays),0)</f>
        <v>0</v>
      </c>
      <c r="EA82" s="38" t="n">
        <f aca="false">IF(AND(Tasks[[#This Row],[_IsLeaf]]=1,Tasks[[#This Row],[_LeafTotalWork]]&gt;0),MAX(Tasks[[#This Row],[_StartWorkday]],NETWORKDAYS.INTL(ProjectStart,Tasks[[#This Row],[_ShownFcstFinish]],WorkWeek,Holidays)),0)</f>
        <v>0</v>
      </c>
      <c r="EB82" s="38" t="n">
        <f aca="false">IF(AND(Tasks[[#This Row],[_IsLeaf]]=1,Tasks[[#This Row],[_LeafTotalWork]]&gt;0),Tasks[[#This Row],[_LeafWork]]/(Tasks[[#This Row],[_FinishWorkday]]-Tasks[[#This Row],[_StartWorkday]]+1),0)</f>
        <v>0</v>
      </c>
      <c r="EC82" s="38" t="n">
        <f aca="false">Tasks[[#This Row],[_WorkPerWorkday]]*(Tasks[[#This Row],[_StartWorkday]]-1)</f>
        <v>-0</v>
      </c>
      <c r="ED82" s="38" t="n">
        <f aca="false">IF(Tasks[[#This Row],[_IsLeaf]]=1,MAX(N(Tasks[[#This Row],[Duration]]),0.1),0)</f>
        <v>0</v>
      </c>
      <c r="EE82" s="38" t="n">
        <f aca="false">Tasks[[#This Row],[_WeightDur]]*Tasks[[#This Row],[_LeafProgress]]</f>
        <v>0</v>
      </c>
      <c r="EF8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2" s="38" t="str">
        <f aca="false">IF(AND(Tasks[[#This Row],[_IsLeaf]]=1,N(Tasks[[#This Row],[Duration]])=0,Tasks[[#This Row],[_LeafProgress]]&lt;1),Tasks[[#This Row],[_ShownFcstFinish]]+Tasks[[#This Row],[_Row]]/100000,"")</f>
        <v/>
      </c>
      <c r="EH8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2" s="38" t="n">
        <f aca="false">IF(NOT(Tasks[[#This Row],[_IsLeaf]]=1),0,IF(Tasks[[#This Row],[Baseline Cost]]="",Tasks[[#This Row],[_LeafTotalCost]],N(Tasks[[#This Row],[Baseline Cost]])))</f>
        <v>0</v>
      </c>
      <c r="EJ82" s="38" t="n">
        <f aca="false">Tasks[[#This Row],[_LeafBudget]]*Tasks[[#This Row],[_PlannedPct]]</f>
        <v>0</v>
      </c>
      <c r="EK82" s="38" t="n">
        <f aca="false">Tasks[[#This Row],[_LeafBudget]]*Tasks[[#This Row],[_LeafProgress]]</f>
        <v>0</v>
      </c>
      <c r="EL82" s="38" t="n">
        <f aca="false">IF(NOT(Tasks[[#This Row],[_IsLeaf]]=1),0,IF(Tasks[[#This Row],[Actual Cost]]="",Tasks[[#This Row],[_LeafTotalCost]]*Tasks[[#This Row],[_LeafProgress]],N(Tasks[[#This Row],[Actual Cost]])))</f>
        <v>0</v>
      </c>
      <c r="EM82" s="38" t="str">
        <f aca="false">IF(Tasks[[#This Row],[Task Name]]="","",LEFT(Tasks[[#This Row],[WBS]],FIND(".",Tasks[[#This Row],[WBS]]&amp;".")-1))</f>
        <v/>
      </c>
      <c r="EN82" s="38" t="str">
        <f aca="false">IF(AND(Tasks[[#This Row],[Task Name]]&lt;&gt;"",Tasks[[#This Row],[_Level]]=1),Tasks[[#This Row],[_Row]],"")</f>
        <v/>
      </c>
      <c r="EO82" s="38" t="str">
        <f aca="false">IF(AND(Tasks[[#This Row],[_IsLeaf]]=1,N(Tasks[[#This Row],[Duration]])=0),Tasks[[#This Row],[Planned Finish]]+Tasks[[#This Row],[_Row]]/100000,"")</f>
        <v/>
      </c>
      <c r="EP82" s="38" t="str">
        <f aca="false">IF(AND(Tasks[[#This Row],[_IsLeaf]]=1,Tasks[[#This Row],[_LeafProgress]]&lt;1,OR(N(Tasks[[#This Row],[Finish Var]])&gt;0,Tasks[[#This Row],[Status]]="Late Start")),MAX(0,Tasks[[#This Row],[Finish Var]])+1-Tasks[[#This Row],[_Row]]/1000000,"")</f>
        <v/>
      </c>
      <c r="EQ82" s="38" t="str">
        <f aca="false">IF(AND(Tasks[[#This Row],[_IsLeaf]]=1,N(Tasks[[#This Row],[Actual Start]])=0,Tasks[[#This Row],[_ShownFcstStart]]&gt;=StatusDate,Tasks[[#This Row],[_ShownFcstStart]]&lt;=LookaheadEnd),Tasks[[#This Row],[_ShownFcstStart]]+Tasks[[#This Row],[_Row]]/100000,"")</f>
        <v/>
      </c>
      <c r="ER82" s="38" t="str">
        <f aca="false">IF(AND(Tasks[[#This Row],[_IsLeaf]]=1,Tasks[[#This Row],[_LeafProgress]]&lt;1,Tasks[[#This Row],[_ShownFcstFinish]]&gt;=StatusDate,Tasks[[#This Row],[_ShownFcstFinish]]&lt;=LookaheadEnd),Tasks[[#This Row],[_ShownFcstFinish]]+Tasks[[#This Row],[_Row]]/100000,"")</f>
        <v/>
      </c>
      <c r="ES82" s="38" t="str">
        <f aca="false">IF(Tasks[[#This Row],[_LeafCritical]],Tasks[[#This Row],[_ShownFcstStart]]+Tasks[[#This Row],[_Row]]/100000,"")</f>
        <v/>
      </c>
      <c r="ET82" s="38" t="n">
        <f aca="false">Tasks[[#This Row],[_LeafWork]]*Tasks[[#This Row],[_LeafProgress]]</f>
        <v>0</v>
      </c>
      <c r="EU82" s="115" t="str">
        <f aca="false">IF(AND(Tasks[[#This Row],[_IsLeaf]]=1,Tasks[[#This Row],[_LeafProgress]]&gt;=1),IF(N(Tasks[[#This Row],[Actual Finish]])&gt;0,Tasks[[#This Row],[Actual Finish]],Tasks[[#This Row],[_ShownFcstFinish]]),"")</f>
        <v/>
      </c>
      <c r="EV82" s="38" t="n">
        <f aca="false">IF(Tasks[[#This Row],[_IsLeaf]]=1,N(Tasks[[#This Row],[Story Points]]),0)</f>
        <v>0</v>
      </c>
      <c r="EW82" s="38" t="str">
        <f aca="false">IF(AND(Tasks[[#This Row],[_IsLeaf]]=1,CurrentSprint&lt;&gt;"",Tasks[[#This Row],[Sprint]]=CurrentSprint),Tasks[[#This Row],[_Row]],"")</f>
        <v/>
      </c>
    </row>
    <row r="83" customFormat="false" ht="15" hidden="false" customHeight="false" outlineLevel="0" collapsed="false">
      <c r="A83" s="51" t="str">
        <f aca="false">IF(Tasks[[#This Row],[Task Name]]="","",COUNTA(Tasks[[#Headers],[Task Name]]:Tasks[[#This Row],[Task Name]])-1)</f>
        <v/>
      </c>
      <c r="B83" s="52" t="n">
        <v>78</v>
      </c>
      <c r="C8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52"/>
      <c r="E83" s="53"/>
      <c r="F83" s="52"/>
      <c r="G83" s="52"/>
      <c r="H83" s="52"/>
      <c r="I83" s="52"/>
      <c r="J83" s="52"/>
      <c r="K83" s="52"/>
      <c r="L83" s="52"/>
      <c r="M83" s="52"/>
      <c r="N83" s="52"/>
      <c r="O83" s="52"/>
      <c r="P83" s="52"/>
      <c r="Q83" s="52"/>
      <c r="R83" s="52"/>
      <c r="S83" s="53"/>
      <c r="T83" s="102"/>
      <c r="U83" s="102"/>
      <c r="V83" s="7"/>
      <c r="W83" s="7"/>
      <c r="X83" s="53"/>
      <c r="Y83" s="31" t="str">
        <f aca="false">IF(Tasks[[#This Row],[Task Name]]="","",IF(Tasks[[#This Row],[_IsSummary]],MIN(INDEX(Tasks[_ShownFcstStart],Tasks[[#This Row],[_Row]]+1):INDEX(Tasks[_ShownFcstStart],Tasks[[#This Row],[_Row]]+Tasks[[#This Row],[_Descendants]])),Tasks[[#This Row],[_ShownFcstStart]]))</f>
        <v/>
      </c>
      <c r="Z83" s="31" t="str">
        <f aca="false">IF(Tasks[[#This Row],[Task Name]]="","",IF(Tasks[[#This Row],[_IsSummary]],MAX(INDEX(Tasks[_ShownFcstFinish],Tasks[[#This Row],[_Row]]+1):INDEX(Tasks[_ShownFcstFinish],Tasks[[#This Row],[_Row]]+Tasks[[#This Row],[_Descendants]])),Tasks[[#This Row],[_ShownFcstFinish]]))</f>
        <v/>
      </c>
      <c r="AA83" s="51" t="str">
        <f aca="false">IF(Tasks[[#This Row],[Task Name]]="","",IF(Tasks[[#This Row],[Progress]]&gt;=1,"Complete",IF(OR(N(Tasks[[#This Row],[Actual Start]])&gt;0,Tasks[[#This Row],[Progress]]&gt;0),IF(Tasks[[#This Row],[Finish Var]]&gt;0,"Behind","In Progress"),IF(Tasks[[#This Row],[Planned Start]]&lt;StatusDate,"Late Start","Not Started"))))</f>
        <v/>
      </c>
      <c r="AB83" s="51" t="str">
        <f aca="false">IF(Tasks[[#This Row],[Task Name]]="","",IF(IF(Tasks[[#This Row],[_IsSummary]],COUNTIF(INDEX(Tasks[_LeafCritical],Tasks[[#This Row],[_Row]]+1):INDEX(Tasks[_LeafCritical],Tasks[[#This Row],[_Row]]+Tasks[[#This Row],[_Descendants]]),TRUE())&gt;0,Tasks[[#This Row],[_LeafCritical]]),"Yes",""))</f>
        <v/>
      </c>
      <c r="AC8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3" s="51" t="str">
        <f aca="false">IF(Tasks[[#This Row],[Task Name]]="","",IF(Tasks[[#This Row],[_Level]]&lt;=OutlineShowLevel,"Yes","No"))</f>
        <v/>
      </c>
      <c r="AE83" s="7"/>
      <c r="AF83" s="52"/>
      <c r="AG83" s="53"/>
      <c r="AH83" s="7"/>
      <c r="AI8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3" s="31" t="str">
        <f aca="false">IF(Tasks[[#This Row],[Task Name]]="","",IF(N(Tasks[[#This Row],[Baseline Start]])&gt;0,Tasks[[#This Row],[Baseline Start]],Tasks[[#This Row],[_CalcStart]]))</f>
        <v/>
      </c>
      <c r="AK83" s="31" t="str">
        <f aca="false">IF(Tasks[[#This Row],[Task Name]]="","",IF(N(Tasks[[#This Row],[Baseline Finish]])&gt;0,Tasks[[#This Row],[Baseline Finish]],Tasks[[#This Row],[_CalcFinish]]))</f>
        <v/>
      </c>
      <c r="AL8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3" s="31" t="str">
        <f aca="false">IF(Tasks[[#This Row],[Task Name]]="","",IF(Tasks[[#This Row],[_IsSummary]],MIN(INDEX(Tasks[_LeafLateStart],Tasks[[#This Row],[_Row]]+1):INDEX(Tasks[_LeafLateStart],Tasks[[#This Row],[_Row]]+Tasks[[#This Row],[_Descendants]])),Tasks[[#This Row],[_LeafLateStart]]))</f>
        <v/>
      </c>
      <c r="AN83" s="31" t="str">
        <f aca="false">IF(Tasks[[#This Row],[Task Name]]="","",IF(Tasks[[#This Row],[_IsSummary]],MAX(INDEX(Tasks[_LeafLateFinish],Tasks[[#This Row],[_Row]]+1):INDEX(Tasks[_LeafLateFinish],Tasks[[#This Row],[_Row]]+Tasks[[#This Row],[_Descendants]])),Tasks[[#This Row],[_LeafLateFinish]]))</f>
        <v/>
      </c>
      <c r="AO83" s="51" t="str">
        <f aca="false">IF(Tasks[[#This Row],[Task Name]]="","",IF(Tasks[[#This Row],[_IsSummary]],MIN(INDEX(Tasks[_LeafTotalSlack],Tasks[[#This Row],[_Row]]+1):INDEX(Tasks[_LeafTotalSlack],Tasks[[#This Row],[_Row]]+Tasks[[#This Row],[_Descendants]])),Tasks[[#This Row],[_LeafTotalSlack]]))</f>
        <v/>
      </c>
      <c r="AP8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3" s="110" t="str">
        <f aca="false">IF(Tasks[[#This Row],[Task Name]]="","",IF(Tasks[[#This Row],[_IsSummary]],SUM(INDEX(Tasks[_LeafTotalWork],Tasks[[#This Row],[_Row]]+1):INDEX(Tasks[_LeafTotalWork],Tasks[[#This Row],[_Row]]+Tasks[[#This Row],[_Descendants]])),Tasks[[#This Row],[_LeafTotalWork]]))</f>
        <v/>
      </c>
      <c r="AV8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3" s="111" t="str">
        <f aca="false">IF(Tasks[[#This Row],[Task Name]]="","",IF(Tasks[[#This Row],[_IsSummary]],SUM(INDEX(Tasks[_LeafTotalCost],Tasks[[#This Row],[_Row]]+1):INDEX(Tasks[_LeafTotalCost],Tasks[[#This Row],[_Row]]+Tasks[[#This Row],[_Descendants]])),Tasks[[#This Row],[_LeafTotalCost]]))</f>
        <v/>
      </c>
      <c r="AY83" s="112"/>
      <c r="AZ8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3" s="52"/>
      <c r="BB83" s="98"/>
      <c r="BC83" s="51" t="str">
        <f aca="false">IF(OR(Tasks[[#This Row],[Task Name]]="",Tasks[[#This Row],[Baseline Duration]]=""),"",Tasks[[#This Row],[BL Source Duration]]-N(Tasks[[#This Row],[Baseline Duration]]))</f>
        <v/>
      </c>
      <c r="BD83" s="110" t="str">
        <f aca="false">IF(OR(Tasks[[#This Row],[Task Name]]="",Tasks[[#This Row],[Baseline Work]]=""),"",Tasks[[#This Row],[Work]]-N(Tasks[[#This Row],[Baseline Work]]))</f>
        <v/>
      </c>
      <c r="BE83" s="111" t="str">
        <f aca="false">IF(OR(Tasks[[#This Row],[Task Name]]="",Tasks[[#This Row],[Baseline Cost]]=""),"",Tasks[[#This Row],[Cost]]-N(Tasks[[#This Row],[Baseline Cost]]))</f>
        <v/>
      </c>
      <c r="BF83" s="31" t="str">
        <f aca="false">IF(Tasks[[#This Row],[Task Name]]="","",Tasks[[#This Row],[Forecast Start]])</f>
        <v/>
      </c>
      <c r="BG83" s="31" t="str">
        <f aca="false">IF(Tasks[[#This Row],[Task Name]]="","",Tasks[[#This Row],[Forecast Finish]])</f>
        <v/>
      </c>
      <c r="BH83" s="51" t="str">
        <f aca="false">IF(Tasks[[#This Row],[Task Name]]="","",IF(Tasks[[#This Row],[_IsSummary]],NETWORKDAYS.INTL(Tasks[[#This Row],[Forecast Start]],Tasks[[#This Row],[Forecast Finish]],WorkWeek,Holidays),N(Tasks[[#This Row],[Duration]])))</f>
        <v/>
      </c>
      <c r="BI83" s="110" t="str">
        <f aca="false">IF(Tasks[[#This Row],[Task Name]]="","",Tasks[[#This Row],[Work]])</f>
        <v/>
      </c>
      <c r="BJ83" s="111" t="str">
        <f aca="false">IF(Tasks[[#This Row],[Task Name]]="","",Tasks[[#This Row],[Cost]])</f>
        <v/>
      </c>
      <c r="BK83" s="7"/>
      <c r="BL83" s="7"/>
      <c r="BM83" s="52"/>
      <c r="BN83" s="113"/>
      <c r="BO83" s="112"/>
      <c r="BP83" s="111" t="str">
        <f aca="false">IF(Tasks[[#This Row],[Task Name]]="","",IF(Tasks[[#This Row],[_IsSummary]],SUM(INDEX(Tasks[_LeafEV],Tasks[[#This Row],[_Row]]+1):INDEX(Tasks[_LeafEV],Tasks[[#This Row],[_Row]]+Tasks[[#This Row],[_Descendants]])),Tasks[[#This Row],[_LeafEV]]))</f>
        <v/>
      </c>
      <c r="BQ83" s="111" t="str">
        <f aca="false">IF(Tasks[[#This Row],[Task Name]]="","",IF(Tasks[[#This Row],[_IsSummary]],SUM(INDEX(Tasks[_LeafBudget],Tasks[[#This Row],[_Row]]+1):INDEX(Tasks[_LeafBudget],Tasks[[#This Row],[_Row]]+Tasks[[#This Row],[_Descendants]])),Tasks[[#This Row],[_LeafBudget]]))</f>
        <v/>
      </c>
      <c r="BR83" s="111" t="str">
        <f aca="false">IF(Tasks[[#This Row],[Task Name]]="","",IF(Tasks[[#This Row],[_IsSummary]],SUM(INDEX(Tasks[_LeafPV],Tasks[[#This Row],[_Row]]+1):INDEX(Tasks[_LeafPV],Tasks[[#This Row],[_Row]]+Tasks[[#This Row],[_Descendants]])),Tasks[[#This Row],[_LeafPV]]))</f>
        <v/>
      </c>
      <c r="BS83" s="111" t="str">
        <f aca="false">IF(Tasks[[#This Row],[Task Name]]="","",IF(Tasks[[#This Row],[_IsSummary]],SUM(INDEX(Tasks[_LeafAC],Tasks[[#This Row],[_Row]]+1):INDEX(Tasks[_LeafAC],Tasks[[#This Row],[_Row]]+Tasks[[#This Row],[_Descendants]])),Tasks[[#This Row],[_LeafAC]]))</f>
        <v/>
      </c>
      <c r="BT83" s="38" t="str">
        <f aca="false">IF(Tasks[[#This Row],[Task Name]]="","",MAX(1,N(Tasks[[#This Row],[Level]])))</f>
        <v/>
      </c>
      <c r="BU83" s="38" t="n">
        <f aca="false">ROW()-ROW(Tasks[[#Headers],[ID]])</f>
        <v>78</v>
      </c>
      <c r="BV83" s="38" t="n">
        <f aca="false">IF(OR(Tasks[[#This Row],[Task Name]]="",Tasks[[#This Row],[_Level]]&lt;=1),0,IFERROR(LOOKUP(2,1/(Tasks[[#Headers],[_Level]]:Tasks[[#This Row],[_Level]]=Tasks[[#This Row],[_Level]]-1),ROW(Tasks[[#Headers],[_Level]]:Tasks[[#This Row],[_Level]])),0))</f>
        <v>0</v>
      </c>
      <c r="BW83" s="38" t="n">
        <f aca="false">IFERROR(N(INDEX(Tasks[_Level],Tasks[[#This Row],[_Row]]+1)),0)</f>
        <v>0</v>
      </c>
      <c r="BX83" s="114" t="b">
        <f aca="false">AND(Tasks[[#This Row],[Task Name]]&lt;&gt;"",Tasks[[#This Row],[_NextLevel]]&gt;Tasks[[#This Row],[_Level]])</f>
        <v>0</v>
      </c>
      <c r="BY83" s="38" t="n">
        <f aca="false">IF(Tasks[[#This Row],[_IsSummary]],COUNTIF(Tasks[WBS],Tasks[[#This Row],[WBS]]&amp;".*"),0)</f>
        <v>0</v>
      </c>
      <c r="BZ83" s="38" t="n">
        <f aca="false">IF(AND(Tasks[[#This Row],[Task Name]]&lt;&gt;"",NOT(Tasks[[#This Row],[_IsSummary]])),1,0)</f>
        <v>0</v>
      </c>
      <c r="CA83" s="38" t="n">
        <f aca="false">IF(N(Tasks[[#This Row],[Pred1 UID]])=0,0,IFERROR(MATCH(Tasks[[#This Row],[Pred1 UID]],Tasks[UID],0),-1))</f>
        <v>0</v>
      </c>
      <c r="CB83" s="38" t="n">
        <f aca="false">IF(N(Tasks[[#This Row],[Pred2 UID]])=0,0,IFERROR(MATCH(Tasks[[#This Row],[Pred2 UID]],Tasks[UID],0),-1))</f>
        <v>0</v>
      </c>
      <c r="CC83" s="38" t="n">
        <f aca="false">IF(N(Tasks[[#This Row],[Pred3 UID]])=0,0,IFERROR(MATCH(Tasks[[#This Row],[Pred3 UID]],Tasks[UID],0),-1))</f>
        <v>0</v>
      </c>
      <c r="CD83" s="38" t="n">
        <f aca="false">IF(N(Tasks[[#This Row],[Pred4 UID]])=0,0,IFERROR(MATCH(Tasks[[#This Row],[Pred4 UID]],Tasks[UID],0),-1))</f>
        <v>0</v>
      </c>
      <c r="CE8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3" s="115" t="n">
        <f aca="false">IF(OR(Tasks[[#This Row],[_ConstraintCode]]=2,Tasks[[#This Row],[_ConstraintCode]]=3,Tasks[[#This Row],[_ConstraintCode]]=4,Tasks[[#This Row],[_ConstraintCode]]=6),Tasks[[#This Row],[_ConstraintStart]],0)</f>
        <v>0</v>
      </c>
      <c r="CH83" s="115" t="n">
        <f aca="false">IF(OR(Tasks[[#This Row],[_ConstraintCode]]=2,Tasks[[#This Row],[_ConstraintCode]]=3,Tasks[[#This Row],[_ConstraintCode]]=5,Tasks[[#This Row],[_ConstraintCode]]=7),Tasks[[#This Row],[_ConstraintStart]],2958465)</f>
        <v>2958465</v>
      </c>
      <c r="CI8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3" s="115" t="str">
        <f aca="false">IF(NOT(Tasks[[#This Row],[_IsLeaf]]=1),"",IF(N(Tasks[[#This Row],[Duration]])&lt;=0,Tasks[[#This Row],[_LeafCalcStart]],WORKDAY.INTL(Tasks[[#This Row],[_LeafCalcStart]],Tasks[[#This Row],[Duration]]-1,WorkWeek,Holidays)))</f>
        <v/>
      </c>
      <c r="CK8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3" s="38" t="n">
        <f aca="false">IF(NOT(Tasks[[#This Row],[_IsLeaf]]=1),0,IF(N(Tasks[[#This Row],[Actual Finish]])&gt;0,1,MIN(1,N(Tasks[[#This Row],[% Complete]]))))</f>
        <v>0</v>
      </c>
      <c r="CN83" s="38" t="n">
        <f aca="false">IF(OR(NOT(Tasks[[#This Row],[_IsLeaf]]=1),Tasks[[#This Row],[Resource]]=""),0,N(Tasks[[#This Row],[Duration]])*HoursPerDay*IF(Tasks[[#This Row],[Units]]="",DefaultUnits,Tasks[[#This Row],[Units]]))</f>
        <v>0</v>
      </c>
      <c r="CO83" s="38" t="n">
        <f aca="false">IF(Tasks[[#This Row],[_LeafWork]]=0,0,Tasks[[#This Row],[_LeafWork]]*IFERROR(INDEX(res_Rate,MATCH(Tasks[[#This Row],[Resource]],res_Name,0)),0))</f>
        <v>0</v>
      </c>
      <c r="CP83" s="38" t="n">
        <f aca="false">Tasks[[#This Row],[_LeafWork]]+IF(Tasks[[#This Row],[_IsLeaf]]=1,SUMIFS(asg_Work,asg_TaskUID,Tasks[[#This Row],[UID]],asg_Valid,1),0)</f>
        <v>0</v>
      </c>
      <c r="CQ83" s="38" t="n">
        <f aca="false">Tasks[[#This Row],[_LeafCost]]+IF(Tasks[[#This Row],[_IsLeaf]]=1,SUMIFS(asg_Cost,asg_TaskUID,Tasks[[#This Row],[UID]],asg_Valid,1),0)</f>
        <v>0</v>
      </c>
      <c r="CR83" s="38" t="n">
        <f aca="false">IF(Tasks[[#This Row],[_LeafTotalCost]]=0,Tasks[[#This Row],[_LeafAC]],Tasks[[#This Row],[_LeafAC]]*Tasks[[#This Row],[_LeafCost]]/Tasks[[#This Row],[_LeafTotalCost]])</f>
        <v>0</v>
      </c>
      <c r="CS8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3" s="38" t="n">
        <f aca="false">IF(NOT(Tasks[[#This Row],[_IsLeaf]]=1),0,MAX(_xlfn.MAXIFS(Tasks[_Row],Tasks[Pred1 UID],Tasks[[#This Row],[UID]]),_xlfn.MAXIFS(Tasks[_Row],Tasks[Pred2 UID],Tasks[[#This Row],[UID]]),_xlfn.MAXIFS(Tasks[_Row],Tasks[Pred3 UID],Tasks[[#This Row],[UID]]),_xlfn.MAXIFS(Tasks[_Row],Tasks[Pred4 UID],Tasks[[#This Row],[UID]])))</f>
        <v>0</v>
      </c>
      <c r="DB8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3" s="115" t="str">
        <f aca="false">IF(NOT(Tasks[[#This Row],[_IsLeaf]]=1),"",IF(N(Tasks[[#This Row],[Duration]])&lt;=0,Tasks[[#This Row],[_LeafLateFinish]],WORKDAY.INTL(Tasks[[#This Row],[_LeafLateFinish]],-(Tasks[[#This Row],[Duration]]-1),WorkWeek,Holidays)))</f>
        <v/>
      </c>
      <c r="DE8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3" s="114" t="b">
        <f aca="false">AND(Tasks[[#This Row],[_IsLeaf]]=1,Tasks[[#This Row],[_LeafProgress]]&lt;1,N(Tasks[[#This Row],[_LeafTotalSlack]])&lt;=CriticalSlackDays)</f>
        <v>0</v>
      </c>
      <c r="DG83" s="38" t="n">
        <f aca="false">IF(AND(Tasks[[#This Row],[_IsLeaf]]=1,Tasks[[#This Row],[_ConstraintCode]]=1,Tasks[[#This Row],[Mode]]&lt;&gt;"Manual",N(Tasks[[#This Row],[Actual Start]])=0),MAX(0,N(Tasks[[#This Row],[Free Slack]])),0)</f>
        <v>0</v>
      </c>
      <c r="DH83" s="115" t="str">
        <f aca="false">IF(NOT(Tasks[[#This Row],[_IsLeaf]]=1),"",IF(Tasks[[#This Row],[_AlapShift]]=0,Tasks[[#This Row],[_LeafCalcStart]],WORKDAY.INTL(Tasks[[#This Row],[_LeafCalcStart]],Tasks[[#This Row],[_AlapShift]],WorkWeek,Holidays)))</f>
        <v/>
      </c>
      <c r="DI83" s="115" t="str">
        <f aca="false">IF(NOT(Tasks[[#This Row],[_IsLeaf]]=1),"",IF(Tasks[[#This Row],[_AlapShift]]=0,Tasks[[#This Row],[_LeafCalcFinish]],WORKDAY.INTL(Tasks[[#This Row],[_LeafCalcFinish]],Tasks[[#This Row],[_AlapShift]],WorkWeek,Holidays)))</f>
        <v/>
      </c>
      <c r="DJ83" s="115" t="str">
        <f aca="false">IF(NOT(Tasks[[#This Row],[_IsLeaf]]=1),"",IF(Tasks[[#This Row],[_AlapShift]]=0,Tasks[[#This Row],[_LeafFcstStart]],WORKDAY.INTL(Tasks[[#This Row],[_LeafFcstStart]],Tasks[[#This Row],[_AlapShift]],WorkWeek,Holidays)))</f>
        <v/>
      </c>
      <c r="DK83" s="115" t="str">
        <f aca="false">IF(NOT(Tasks[[#This Row],[_IsLeaf]]=1),"",IF(Tasks[[#This Row],[_AlapShift]]=0,Tasks[[#This Row],[_LeafFcstFinish]],WORKDAY.INTL(Tasks[[#This Row],[_LeafFcstFinish]],Tasks[[#This Row],[_AlapShift]],WorkWeek,Holidays)))</f>
        <v/>
      </c>
      <c r="DL83" s="115" t="str">
        <f aca="false">IF(Tasks[[#This Row],[Task Name]]="","",IF(Tasks[[#This Row],[_IsSummary]],MIN(INDEX(Tasks[_ShownCalcStart],Tasks[[#This Row],[_Row]]+1):INDEX(Tasks[_ShownCalcStart],Tasks[[#This Row],[_Row]]+Tasks[[#This Row],[_Descendants]])),Tasks[[#This Row],[_ShownCalcStart]]))</f>
        <v/>
      </c>
      <c r="DM83" s="115" t="str">
        <f aca="false">IF(Tasks[[#This Row],[Task Name]]="","",IF(Tasks[[#This Row],[_IsSummary]],MAX(INDEX(Tasks[_ShownCalcFinish],Tasks[[#This Row],[_Row]]+1):INDEX(Tasks[_ShownCalcFinish],Tasks[[#This Row],[_Row]]+Tasks[[#This Row],[_Descendants]])),Tasks[[#This Row],[_ShownCalcFinish]]))</f>
        <v/>
      </c>
      <c r="DN8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3" s="38" t="n">
        <f aca="false">IF(AND(Tasks[[#This Row],[_IsLeaf]]=1,Tasks[[#This Row],[_LeafTotalWork]]&gt;0),NETWORKDAYS.INTL(ProjectStart,Tasks[[#This Row],[_ShownFcstStart]],WorkWeek,Holidays),0)</f>
        <v>0</v>
      </c>
      <c r="EA83" s="38" t="n">
        <f aca="false">IF(AND(Tasks[[#This Row],[_IsLeaf]]=1,Tasks[[#This Row],[_LeafTotalWork]]&gt;0),MAX(Tasks[[#This Row],[_StartWorkday]],NETWORKDAYS.INTL(ProjectStart,Tasks[[#This Row],[_ShownFcstFinish]],WorkWeek,Holidays)),0)</f>
        <v>0</v>
      </c>
      <c r="EB83" s="38" t="n">
        <f aca="false">IF(AND(Tasks[[#This Row],[_IsLeaf]]=1,Tasks[[#This Row],[_LeafTotalWork]]&gt;0),Tasks[[#This Row],[_LeafWork]]/(Tasks[[#This Row],[_FinishWorkday]]-Tasks[[#This Row],[_StartWorkday]]+1),0)</f>
        <v>0</v>
      </c>
      <c r="EC83" s="38" t="n">
        <f aca="false">Tasks[[#This Row],[_WorkPerWorkday]]*(Tasks[[#This Row],[_StartWorkday]]-1)</f>
        <v>-0</v>
      </c>
      <c r="ED83" s="38" t="n">
        <f aca="false">IF(Tasks[[#This Row],[_IsLeaf]]=1,MAX(N(Tasks[[#This Row],[Duration]]),0.1),0)</f>
        <v>0</v>
      </c>
      <c r="EE83" s="38" t="n">
        <f aca="false">Tasks[[#This Row],[_WeightDur]]*Tasks[[#This Row],[_LeafProgress]]</f>
        <v>0</v>
      </c>
      <c r="EF8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3" s="38" t="str">
        <f aca="false">IF(AND(Tasks[[#This Row],[_IsLeaf]]=1,N(Tasks[[#This Row],[Duration]])=0,Tasks[[#This Row],[_LeafProgress]]&lt;1),Tasks[[#This Row],[_ShownFcstFinish]]+Tasks[[#This Row],[_Row]]/100000,"")</f>
        <v/>
      </c>
      <c r="EH8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3" s="38" t="n">
        <f aca="false">IF(NOT(Tasks[[#This Row],[_IsLeaf]]=1),0,IF(Tasks[[#This Row],[Baseline Cost]]="",Tasks[[#This Row],[_LeafTotalCost]],N(Tasks[[#This Row],[Baseline Cost]])))</f>
        <v>0</v>
      </c>
      <c r="EJ83" s="38" t="n">
        <f aca="false">Tasks[[#This Row],[_LeafBudget]]*Tasks[[#This Row],[_PlannedPct]]</f>
        <v>0</v>
      </c>
      <c r="EK83" s="38" t="n">
        <f aca="false">Tasks[[#This Row],[_LeafBudget]]*Tasks[[#This Row],[_LeafProgress]]</f>
        <v>0</v>
      </c>
      <c r="EL83" s="38" t="n">
        <f aca="false">IF(NOT(Tasks[[#This Row],[_IsLeaf]]=1),0,IF(Tasks[[#This Row],[Actual Cost]]="",Tasks[[#This Row],[_LeafTotalCost]]*Tasks[[#This Row],[_LeafProgress]],N(Tasks[[#This Row],[Actual Cost]])))</f>
        <v>0</v>
      </c>
      <c r="EM83" s="38" t="str">
        <f aca="false">IF(Tasks[[#This Row],[Task Name]]="","",LEFT(Tasks[[#This Row],[WBS]],FIND(".",Tasks[[#This Row],[WBS]]&amp;".")-1))</f>
        <v/>
      </c>
      <c r="EN83" s="38" t="str">
        <f aca="false">IF(AND(Tasks[[#This Row],[Task Name]]&lt;&gt;"",Tasks[[#This Row],[_Level]]=1),Tasks[[#This Row],[_Row]],"")</f>
        <v/>
      </c>
      <c r="EO83" s="38" t="str">
        <f aca="false">IF(AND(Tasks[[#This Row],[_IsLeaf]]=1,N(Tasks[[#This Row],[Duration]])=0),Tasks[[#This Row],[Planned Finish]]+Tasks[[#This Row],[_Row]]/100000,"")</f>
        <v/>
      </c>
      <c r="EP83" s="38" t="str">
        <f aca="false">IF(AND(Tasks[[#This Row],[_IsLeaf]]=1,Tasks[[#This Row],[_LeafProgress]]&lt;1,OR(N(Tasks[[#This Row],[Finish Var]])&gt;0,Tasks[[#This Row],[Status]]="Late Start")),MAX(0,Tasks[[#This Row],[Finish Var]])+1-Tasks[[#This Row],[_Row]]/1000000,"")</f>
        <v/>
      </c>
      <c r="EQ83" s="38" t="str">
        <f aca="false">IF(AND(Tasks[[#This Row],[_IsLeaf]]=1,N(Tasks[[#This Row],[Actual Start]])=0,Tasks[[#This Row],[_ShownFcstStart]]&gt;=StatusDate,Tasks[[#This Row],[_ShownFcstStart]]&lt;=LookaheadEnd),Tasks[[#This Row],[_ShownFcstStart]]+Tasks[[#This Row],[_Row]]/100000,"")</f>
        <v/>
      </c>
      <c r="ER83" s="38" t="str">
        <f aca="false">IF(AND(Tasks[[#This Row],[_IsLeaf]]=1,Tasks[[#This Row],[_LeafProgress]]&lt;1,Tasks[[#This Row],[_ShownFcstFinish]]&gt;=StatusDate,Tasks[[#This Row],[_ShownFcstFinish]]&lt;=LookaheadEnd),Tasks[[#This Row],[_ShownFcstFinish]]+Tasks[[#This Row],[_Row]]/100000,"")</f>
        <v/>
      </c>
      <c r="ES83" s="38" t="str">
        <f aca="false">IF(Tasks[[#This Row],[_LeafCritical]],Tasks[[#This Row],[_ShownFcstStart]]+Tasks[[#This Row],[_Row]]/100000,"")</f>
        <v/>
      </c>
      <c r="ET83" s="38" t="n">
        <f aca="false">Tasks[[#This Row],[_LeafWork]]*Tasks[[#This Row],[_LeafProgress]]</f>
        <v>0</v>
      </c>
      <c r="EU83" s="115" t="str">
        <f aca="false">IF(AND(Tasks[[#This Row],[_IsLeaf]]=1,Tasks[[#This Row],[_LeafProgress]]&gt;=1),IF(N(Tasks[[#This Row],[Actual Finish]])&gt;0,Tasks[[#This Row],[Actual Finish]],Tasks[[#This Row],[_ShownFcstFinish]]),"")</f>
        <v/>
      </c>
      <c r="EV83" s="38" t="n">
        <f aca="false">IF(Tasks[[#This Row],[_IsLeaf]]=1,N(Tasks[[#This Row],[Story Points]]),0)</f>
        <v>0</v>
      </c>
      <c r="EW83" s="38" t="str">
        <f aca="false">IF(AND(Tasks[[#This Row],[_IsLeaf]]=1,CurrentSprint&lt;&gt;"",Tasks[[#This Row],[Sprint]]=CurrentSprint),Tasks[[#This Row],[_Row]],"")</f>
        <v/>
      </c>
    </row>
    <row r="84" customFormat="false" ht="15" hidden="false" customHeight="false" outlineLevel="0" collapsed="false">
      <c r="A84" s="51" t="str">
        <f aca="false">IF(Tasks[[#This Row],[Task Name]]="","",COUNTA(Tasks[[#Headers],[Task Name]]:Tasks[[#This Row],[Task Name]])-1)</f>
        <v/>
      </c>
      <c r="B84" s="52" t="n">
        <v>79</v>
      </c>
      <c r="C8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52"/>
      <c r="E84" s="53"/>
      <c r="F84" s="52"/>
      <c r="G84" s="52"/>
      <c r="H84" s="52"/>
      <c r="I84" s="52"/>
      <c r="J84" s="52"/>
      <c r="K84" s="52"/>
      <c r="L84" s="52"/>
      <c r="M84" s="52"/>
      <c r="N84" s="52"/>
      <c r="O84" s="52"/>
      <c r="P84" s="52"/>
      <c r="Q84" s="52"/>
      <c r="R84" s="52"/>
      <c r="S84" s="53"/>
      <c r="T84" s="102"/>
      <c r="U84" s="102"/>
      <c r="V84" s="7"/>
      <c r="W84" s="7"/>
      <c r="X84" s="53"/>
      <c r="Y84" s="31" t="str">
        <f aca="false">IF(Tasks[[#This Row],[Task Name]]="","",IF(Tasks[[#This Row],[_IsSummary]],MIN(INDEX(Tasks[_ShownFcstStart],Tasks[[#This Row],[_Row]]+1):INDEX(Tasks[_ShownFcstStart],Tasks[[#This Row],[_Row]]+Tasks[[#This Row],[_Descendants]])),Tasks[[#This Row],[_ShownFcstStart]]))</f>
        <v/>
      </c>
      <c r="Z84" s="31" t="str">
        <f aca="false">IF(Tasks[[#This Row],[Task Name]]="","",IF(Tasks[[#This Row],[_IsSummary]],MAX(INDEX(Tasks[_ShownFcstFinish],Tasks[[#This Row],[_Row]]+1):INDEX(Tasks[_ShownFcstFinish],Tasks[[#This Row],[_Row]]+Tasks[[#This Row],[_Descendants]])),Tasks[[#This Row],[_ShownFcstFinish]]))</f>
        <v/>
      </c>
      <c r="AA84" s="51" t="str">
        <f aca="false">IF(Tasks[[#This Row],[Task Name]]="","",IF(Tasks[[#This Row],[Progress]]&gt;=1,"Complete",IF(OR(N(Tasks[[#This Row],[Actual Start]])&gt;0,Tasks[[#This Row],[Progress]]&gt;0),IF(Tasks[[#This Row],[Finish Var]]&gt;0,"Behind","In Progress"),IF(Tasks[[#This Row],[Planned Start]]&lt;StatusDate,"Late Start","Not Started"))))</f>
        <v/>
      </c>
      <c r="AB84" s="51" t="str">
        <f aca="false">IF(Tasks[[#This Row],[Task Name]]="","",IF(IF(Tasks[[#This Row],[_IsSummary]],COUNTIF(INDEX(Tasks[_LeafCritical],Tasks[[#This Row],[_Row]]+1):INDEX(Tasks[_LeafCritical],Tasks[[#This Row],[_Row]]+Tasks[[#This Row],[_Descendants]]),TRUE())&gt;0,Tasks[[#This Row],[_LeafCritical]]),"Yes",""))</f>
        <v/>
      </c>
      <c r="AC8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4" s="51" t="str">
        <f aca="false">IF(Tasks[[#This Row],[Task Name]]="","",IF(Tasks[[#This Row],[_Level]]&lt;=OutlineShowLevel,"Yes","No"))</f>
        <v/>
      </c>
      <c r="AE84" s="7"/>
      <c r="AF84" s="52"/>
      <c r="AG84" s="53"/>
      <c r="AH84" s="7"/>
      <c r="AI8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4" s="31" t="str">
        <f aca="false">IF(Tasks[[#This Row],[Task Name]]="","",IF(N(Tasks[[#This Row],[Baseline Start]])&gt;0,Tasks[[#This Row],[Baseline Start]],Tasks[[#This Row],[_CalcStart]]))</f>
        <v/>
      </c>
      <c r="AK84" s="31" t="str">
        <f aca="false">IF(Tasks[[#This Row],[Task Name]]="","",IF(N(Tasks[[#This Row],[Baseline Finish]])&gt;0,Tasks[[#This Row],[Baseline Finish]],Tasks[[#This Row],[_CalcFinish]]))</f>
        <v/>
      </c>
      <c r="AL8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4" s="31" t="str">
        <f aca="false">IF(Tasks[[#This Row],[Task Name]]="","",IF(Tasks[[#This Row],[_IsSummary]],MIN(INDEX(Tasks[_LeafLateStart],Tasks[[#This Row],[_Row]]+1):INDEX(Tasks[_LeafLateStart],Tasks[[#This Row],[_Row]]+Tasks[[#This Row],[_Descendants]])),Tasks[[#This Row],[_LeafLateStart]]))</f>
        <v/>
      </c>
      <c r="AN84" s="31" t="str">
        <f aca="false">IF(Tasks[[#This Row],[Task Name]]="","",IF(Tasks[[#This Row],[_IsSummary]],MAX(INDEX(Tasks[_LeafLateFinish],Tasks[[#This Row],[_Row]]+1):INDEX(Tasks[_LeafLateFinish],Tasks[[#This Row],[_Row]]+Tasks[[#This Row],[_Descendants]])),Tasks[[#This Row],[_LeafLateFinish]]))</f>
        <v/>
      </c>
      <c r="AO84" s="51" t="str">
        <f aca="false">IF(Tasks[[#This Row],[Task Name]]="","",IF(Tasks[[#This Row],[_IsSummary]],MIN(INDEX(Tasks[_LeafTotalSlack],Tasks[[#This Row],[_Row]]+1):INDEX(Tasks[_LeafTotalSlack],Tasks[[#This Row],[_Row]]+Tasks[[#This Row],[_Descendants]])),Tasks[[#This Row],[_LeafTotalSlack]]))</f>
        <v/>
      </c>
      <c r="AP8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4" s="110" t="str">
        <f aca="false">IF(Tasks[[#This Row],[Task Name]]="","",IF(Tasks[[#This Row],[_IsSummary]],SUM(INDEX(Tasks[_LeafTotalWork],Tasks[[#This Row],[_Row]]+1):INDEX(Tasks[_LeafTotalWork],Tasks[[#This Row],[_Row]]+Tasks[[#This Row],[_Descendants]])),Tasks[[#This Row],[_LeafTotalWork]]))</f>
        <v/>
      </c>
      <c r="AV8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4" s="111" t="str">
        <f aca="false">IF(Tasks[[#This Row],[Task Name]]="","",IF(Tasks[[#This Row],[_IsSummary]],SUM(INDEX(Tasks[_LeafTotalCost],Tasks[[#This Row],[_Row]]+1):INDEX(Tasks[_LeafTotalCost],Tasks[[#This Row],[_Row]]+Tasks[[#This Row],[_Descendants]])),Tasks[[#This Row],[_LeafTotalCost]]))</f>
        <v/>
      </c>
      <c r="AY84" s="112"/>
      <c r="AZ8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4" s="52"/>
      <c r="BB84" s="98"/>
      <c r="BC84" s="51" t="str">
        <f aca="false">IF(OR(Tasks[[#This Row],[Task Name]]="",Tasks[[#This Row],[Baseline Duration]]=""),"",Tasks[[#This Row],[BL Source Duration]]-N(Tasks[[#This Row],[Baseline Duration]]))</f>
        <v/>
      </c>
      <c r="BD84" s="110" t="str">
        <f aca="false">IF(OR(Tasks[[#This Row],[Task Name]]="",Tasks[[#This Row],[Baseline Work]]=""),"",Tasks[[#This Row],[Work]]-N(Tasks[[#This Row],[Baseline Work]]))</f>
        <v/>
      </c>
      <c r="BE84" s="111" t="str">
        <f aca="false">IF(OR(Tasks[[#This Row],[Task Name]]="",Tasks[[#This Row],[Baseline Cost]]=""),"",Tasks[[#This Row],[Cost]]-N(Tasks[[#This Row],[Baseline Cost]]))</f>
        <v/>
      </c>
      <c r="BF84" s="31" t="str">
        <f aca="false">IF(Tasks[[#This Row],[Task Name]]="","",Tasks[[#This Row],[Forecast Start]])</f>
        <v/>
      </c>
      <c r="BG84" s="31" t="str">
        <f aca="false">IF(Tasks[[#This Row],[Task Name]]="","",Tasks[[#This Row],[Forecast Finish]])</f>
        <v/>
      </c>
      <c r="BH84" s="51" t="str">
        <f aca="false">IF(Tasks[[#This Row],[Task Name]]="","",IF(Tasks[[#This Row],[_IsSummary]],NETWORKDAYS.INTL(Tasks[[#This Row],[Forecast Start]],Tasks[[#This Row],[Forecast Finish]],WorkWeek,Holidays),N(Tasks[[#This Row],[Duration]])))</f>
        <v/>
      </c>
      <c r="BI84" s="110" t="str">
        <f aca="false">IF(Tasks[[#This Row],[Task Name]]="","",Tasks[[#This Row],[Work]])</f>
        <v/>
      </c>
      <c r="BJ84" s="111" t="str">
        <f aca="false">IF(Tasks[[#This Row],[Task Name]]="","",Tasks[[#This Row],[Cost]])</f>
        <v/>
      </c>
      <c r="BK84" s="7"/>
      <c r="BL84" s="7"/>
      <c r="BM84" s="52"/>
      <c r="BN84" s="113"/>
      <c r="BO84" s="112"/>
      <c r="BP84" s="111" t="str">
        <f aca="false">IF(Tasks[[#This Row],[Task Name]]="","",IF(Tasks[[#This Row],[_IsSummary]],SUM(INDEX(Tasks[_LeafEV],Tasks[[#This Row],[_Row]]+1):INDEX(Tasks[_LeafEV],Tasks[[#This Row],[_Row]]+Tasks[[#This Row],[_Descendants]])),Tasks[[#This Row],[_LeafEV]]))</f>
        <v/>
      </c>
      <c r="BQ84" s="111" t="str">
        <f aca="false">IF(Tasks[[#This Row],[Task Name]]="","",IF(Tasks[[#This Row],[_IsSummary]],SUM(INDEX(Tasks[_LeafBudget],Tasks[[#This Row],[_Row]]+1):INDEX(Tasks[_LeafBudget],Tasks[[#This Row],[_Row]]+Tasks[[#This Row],[_Descendants]])),Tasks[[#This Row],[_LeafBudget]]))</f>
        <v/>
      </c>
      <c r="BR84" s="111" t="str">
        <f aca="false">IF(Tasks[[#This Row],[Task Name]]="","",IF(Tasks[[#This Row],[_IsSummary]],SUM(INDEX(Tasks[_LeafPV],Tasks[[#This Row],[_Row]]+1):INDEX(Tasks[_LeafPV],Tasks[[#This Row],[_Row]]+Tasks[[#This Row],[_Descendants]])),Tasks[[#This Row],[_LeafPV]]))</f>
        <v/>
      </c>
      <c r="BS84" s="111" t="str">
        <f aca="false">IF(Tasks[[#This Row],[Task Name]]="","",IF(Tasks[[#This Row],[_IsSummary]],SUM(INDEX(Tasks[_LeafAC],Tasks[[#This Row],[_Row]]+1):INDEX(Tasks[_LeafAC],Tasks[[#This Row],[_Row]]+Tasks[[#This Row],[_Descendants]])),Tasks[[#This Row],[_LeafAC]]))</f>
        <v/>
      </c>
      <c r="BT84" s="38" t="str">
        <f aca="false">IF(Tasks[[#This Row],[Task Name]]="","",MAX(1,N(Tasks[[#This Row],[Level]])))</f>
        <v/>
      </c>
      <c r="BU84" s="38" t="n">
        <f aca="false">ROW()-ROW(Tasks[[#Headers],[ID]])</f>
        <v>79</v>
      </c>
      <c r="BV84" s="38" t="n">
        <f aca="false">IF(OR(Tasks[[#This Row],[Task Name]]="",Tasks[[#This Row],[_Level]]&lt;=1),0,IFERROR(LOOKUP(2,1/(Tasks[[#Headers],[_Level]]:Tasks[[#This Row],[_Level]]=Tasks[[#This Row],[_Level]]-1),ROW(Tasks[[#Headers],[_Level]]:Tasks[[#This Row],[_Level]])),0))</f>
        <v>0</v>
      </c>
      <c r="BW84" s="38" t="n">
        <f aca="false">IFERROR(N(INDEX(Tasks[_Level],Tasks[[#This Row],[_Row]]+1)),0)</f>
        <v>0</v>
      </c>
      <c r="BX84" s="114" t="b">
        <f aca="false">AND(Tasks[[#This Row],[Task Name]]&lt;&gt;"",Tasks[[#This Row],[_NextLevel]]&gt;Tasks[[#This Row],[_Level]])</f>
        <v>0</v>
      </c>
      <c r="BY84" s="38" t="n">
        <f aca="false">IF(Tasks[[#This Row],[_IsSummary]],COUNTIF(Tasks[WBS],Tasks[[#This Row],[WBS]]&amp;".*"),0)</f>
        <v>0</v>
      </c>
      <c r="BZ84" s="38" t="n">
        <f aca="false">IF(AND(Tasks[[#This Row],[Task Name]]&lt;&gt;"",NOT(Tasks[[#This Row],[_IsSummary]])),1,0)</f>
        <v>0</v>
      </c>
      <c r="CA84" s="38" t="n">
        <f aca="false">IF(N(Tasks[[#This Row],[Pred1 UID]])=0,0,IFERROR(MATCH(Tasks[[#This Row],[Pred1 UID]],Tasks[UID],0),-1))</f>
        <v>0</v>
      </c>
      <c r="CB84" s="38" t="n">
        <f aca="false">IF(N(Tasks[[#This Row],[Pred2 UID]])=0,0,IFERROR(MATCH(Tasks[[#This Row],[Pred2 UID]],Tasks[UID],0),-1))</f>
        <v>0</v>
      </c>
      <c r="CC84" s="38" t="n">
        <f aca="false">IF(N(Tasks[[#This Row],[Pred3 UID]])=0,0,IFERROR(MATCH(Tasks[[#This Row],[Pred3 UID]],Tasks[UID],0),-1))</f>
        <v>0</v>
      </c>
      <c r="CD84" s="38" t="n">
        <f aca="false">IF(N(Tasks[[#This Row],[Pred4 UID]])=0,0,IFERROR(MATCH(Tasks[[#This Row],[Pred4 UID]],Tasks[UID],0),-1))</f>
        <v>0</v>
      </c>
      <c r="CE8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4" s="115" t="n">
        <f aca="false">IF(OR(Tasks[[#This Row],[_ConstraintCode]]=2,Tasks[[#This Row],[_ConstraintCode]]=3,Tasks[[#This Row],[_ConstraintCode]]=4,Tasks[[#This Row],[_ConstraintCode]]=6),Tasks[[#This Row],[_ConstraintStart]],0)</f>
        <v>0</v>
      </c>
      <c r="CH84" s="115" t="n">
        <f aca="false">IF(OR(Tasks[[#This Row],[_ConstraintCode]]=2,Tasks[[#This Row],[_ConstraintCode]]=3,Tasks[[#This Row],[_ConstraintCode]]=5,Tasks[[#This Row],[_ConstraintCode]]=7),Tasks[[#This Row],[_ConstraintStart]],2958465)</f>
        <v>2958465</v>
      </c>
      <c r="CI8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4" s="115" t="str">
        <f aca="false">IF(NOT(Tasks[[#This Row],[_IsLeaf]]=1),"",IF(N(Tasks[[#This Row],[Duration]])&lt;=0,Tasks[[#This Row],[_LeafCalcStart]],WORKDAY.INTL(Tasks[[#This Row],[_LeafCalcStart]],Tasks[[#This Row],[Duration]]-1,WorkWeek,Holidays)))</f>
        <v/>
      </c>
      <c r="CK8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4" s="38" t="n">
        <f aca="false">IF(NOT(Tasks[[#This Row],[_IsLeaf]]=1),0,IF(N(Tasks[[#This Row],[Actual Finish]])&gt;0,1,MIN(1,N(Tasks[[#This Row],[% Complete]]))))</f>
        <v>0</v>
      </c>
      <c r="CN84" s="38" t="n">
        <f aca="false">IF(OR(NOT(Tasks[[#This Row],[_IsLeaf]]=1),Tasks[[#This Row],[Resource]]=""),0,N(Tasks[[#This Row],[Duration]])*HoursPerDay*IF(Tasks[[#This Row],[Units]]="",DefaultUnits,Tasks[[#This Row],[Units]]))</f>
        <v>0</v>
      </c>
      <c r="CO84" s="38" t="n">
        <f aca="false">IF(Tasks[[#This Row],[_LeafWork]]=0,0,Tasks[[#This Row],[_LeafWork]]*IFERROR(INDEX(res_Rate,MATCH(Tasks[[#This Row],[Resource]],res_Name,0)),0))</f>
        <v>0</v>
      </c>
      <c r="CP84" s="38" t="n">
        <f aca="false">Tasks[[#This Row],[_LeafWork]]+IF(Tasks[[#This Row],[_IsLeaf]]=1,SUMIFS(asg_Work,asg_TaskUID,Tasks[[#This Row],[UID]],asg_Valid,1),0)</f>
        <v>0</v>
      </c>
      <c r="CQ84" s="38" t="n">
        <f aca="false">Tasks[[#This Row],[_LeafCost]]+IF(Tasks[[#This Row],[_IsLeaf]]=1,SUMIFS(asg_Cost,asg_TaskUID,Tasks[[#This Row],[UID]],asg_Valid,1),0)</f>
        <v>0</v>
      </c>
      <c r="CR84" s="38" t="n">
        <f aca="false">IF(Tasks[[#This Row],[_LeafTotalCost]]=0,Tasks[[#This Row],[_LeafAC]],Tasks[[#This Row],[_LeafAC]]*Tasks[[#This Row],[_LeafCost]]/Tasks[[#This Row],[_LeafTotalCost]])</f>
        <v>0</v>
      </c>
      <c r="CS8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4" s="38" t="n">
        <f aca="false">IF(NOT(Tasks[[#This Row],[_IsLeaf]]=1),0,MAX(_xlfn.MAXIFS(Tasks[_Row],Tasks[Pred1 UID],Tasks[[#This Row],[UID]]),_xlfn.MAXIFS(Tasks[_Row],Tasks[Pred2 UID],Tasks[[#This Row],[UID]]),_xlfn.MAXIFS(Tasks[_Row],Tasks[Pred3 UID],Tasks[[#This Row],[UID]]),_xlfn.MAXIFS(Tasks[_Row],Tasks[Pred4 UID],Tasks[[#This Row],[UID]])))</f>
        <v>0</v>
      </c>
      <c r="DB8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4" s="115" t="str">
        <f aca="false">IF(NOT(Tasks[[#This Row],[_IsLeaf]]=1),"",IF(N(Tasks[[#This Row],[Duration]])&lt;=0,Tasks[[#This Row],[_LeafLateFinish]],WORKDAY.INTL(Tasks[[#This Row],[_LeafLateFinish]],-(Tasks[[#This Row],[Duration]]-1),WorkWeek,Holidays)))</f>
        <v/>
      </c>
      <c r="DE8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4" s="114" t="b">
        <f aca="false">AND(Tasks[[#This Row],[_IsLeaf]]=1,Tasks[[#This Row],[_LeafProgress]]&lt;1,N(Tasks[[#This Row],[_LeafTotalSlack]])&lt;=CriticalSlackDays)</f>
        <v>0</v>
      </c>
      <c r="DG84" s="38" t="n">
        <f aca="false">IF(AND(Tasks[[#This Row],[_IsLeaf]]=1,Tasks[[#This Row],[_ConstraintCode]]=1,Tasks[[#This Row],[Mode]]&lt;&gt;"Manual",N(Tasks[[#This Row],[Actual Start]])=0),MAX(0,N(Tasks[[#This Row],[Free Slack]])),0)</f>
        <v>0</v>
      </c>
      <c r="DH84" s="115" t="str">
        <f aca="false">IF(NOT(Tasks[[#This Row],[_IsLeaf]]=1),"",IF(Tasks[[#This Row],[_AlapShift]]=0,Tasks[[#This Row],[_LeafCalcStart]],WORKDAY.INTL(Tasks[[#This Row],[_LeafCalcStart]],Tasks[[#This Row],[_AlapShift]],WorkWeek,Holidays)))</f>
        <v/>
      </c>
      <c r="DI84" s="115" t="str">
        <f aca="false">IF(NOT(Tasks[[#This Row],[_IsLeaf]]=1),"",IF(Tasks[[#This Row],[_AlapShift]]=0,Tasks[[#This Row],[_LeafCalcFinish]],WORKDAY.INTL(Tasks[[#This Row],[_LeafCalcFinish]],Tasks[[#This Row],[_AlapShift]],WorkWeek,Holidays)))</f>
        <v/>
      </c>
      <c r="DJ84" s="115" t="str">
        <f aca="false">IF(NOT(Tasks[[#This Row],[_IsLeaf]]=1),"",IF(Tasks[[#This Row],[_AlapShift]]=0,Tasks[[#This Row],[_LeafFcstStart]],WORKDAY.INTL(Tasks[[#This Row],[_LeafFcstStart]],Tasks[[#This Row],[_AlapShift]],WorkWeek,Holidays)))</f>
        <v/>
      </c>
      <c r="DK84" s="115" t="str">
        <f aca="false">IF(NOT(Tasks[[#This Row],[_IsLeaf]]=1),"",IF(Tasks[[#This Row],[_AlapShift]]=0,Tasks[[#This Row],[_LeafFcstFinish]],WORKDAY.INTL(Tasks[[#This Row],[_LeafFcstFinish]],Tasks[[#This Row],[_AlapShift]],WorkWeek,Holidays)))</f>
        <v/>
      </c>
      <c r="DL84" s="115" t="str">
        <f aca="false">IF(Tasks[[#This Row],[Task Name]]="","",IF(Tasks[[#This Row],[_IsSummary]],MIN(INDEX(Tasks[_ShownCalcStart],Tasks[[#This Row],[_Row]]+1):INDEX(Tasks[_ShownCalcStart],Tasks[[#This Row],[_Row]]+Tasks[[#This Row],[_Descendants]])),Tasks[[#This Row],[_ShownCalcStart]]))</f>
        <v/>
      </c>
      <c r="DM84" s="115" t="str">
        <f aca="false">IF(Tasks[[#This Row],[Task Name]]="","",IF(Tasks[[#This Row],[_IsSummary]],MAX(INDEX(Tasks[_ShownCalcFinish],Tasks[[#This Row],[_Row]]+1):INDEX(Tasks[_ShownCalcFinish],Tasks[[#This Row],[_Row]]+Tasks[[#This Row],[_Descendants]])),Tasks[[#This Row],[_ShownCalcFinish]]))</f>
        <v/>
      </c>
      <c r="DN8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4" s="38" t="n">
        <f aca="false">IF(AND(Tasks[[#This Row],[_IsLeaf]]=1,Tasks[[#This Row],[_LeafTotalWork]]&gt;0),NETWORKDAYS.INTL(ProjectStart,Tasks[[#This Row],[_ShownFcstStart]],WorkWeek,Holidays),0)</f>
        <v>0</v>
      </c>
      <c r="EA84" s="38" t="n">
        <f aca="false">IF(AND(Tasks[[#This Row],[_IsLeaf]]=1,Tasks[[#This Row],[_LeafTotalWork]]&gt;0),MAX(Tasks[[#This Row],[_StartWorkday]],NETWORKDAYS.INTL(ProjectStart,Tasks[[#This Row],[_ShownFcstFinish]],WorkWeek,Holidays)),0)</f>
        <v>0</v>
      </c>
      <c r="EB84" s="38" t="n">
        <f aca="false">IF(AND(Tasks[[#This Row],[_IsLeaf]]=1,Tasks[[#This Row],[_LeafTotalWork]]&gt;0),Tasks[[#This Row],[_LeafWork]]/(Tasks[[#This Row],[_FinishWorkday]]-Tasks[[#This Row],[_StartWorkday]]+1),0)</f>
        <v>0</v>
      </c>
      <c r="EC84" s="38" t="n">
        <f aca="false">Tasks[[#This Row],[_WorkPerWorkday]]*(Tasks[[#This Row],[_StartWorkday]]-1)</f>
        <v>-0</v>
      </c>
      <c r="ED84" s="38" t="n">
        <f aca="false">IF(Tasks[[#This Row],[_IsLeaf]]=1,MAX(N(Tasks[[#This Row],[Duration]]),0.1),0)</f>
        <v>0</v>
      </c>
      <c r="EE84" s="38" t="n">
        <f aca="false">Tasks[[#This Row],[_WeightDur]]*Tasks[[#This Row],[_LeafProgress]]</f>
        <v>0</v>
      </c>
      <c r="EF8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4" s="38" t="str">
        <f aca="false">IF(AND(Tasks[[#This Row],[_IsLeaf]]=1,N(Tasks[[#This Row],[Duration]])=0,Tasks[[#This Row],[_LeafProgress]]&lt;1),Tasks[[#This Row],[_ShownFcstFinish]]+Tasks[[#This Row],[_Row]]/100000,"")</f>
        <v/>
      </c>
      <c r="EH8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4" s="38" t="n">
        <f aca="false">IF(NOT(Tasks[[#This Row],[_IsLeaf]]=1),0,IF(Tasks[[#This Row],[Baseline Cost]]="",Tasks[[#This Row],[_LeafTotalCost]],N(Tasks[[#This Row],[Baseline Cost]])))</f>
        <v>0</v>
      </c>
      <c r="EJ84" s="38" t="n">
        <f aca="false">Tasks[[#This Row],[_LeafBudget]]*Tasks[[#This Row],[_PlannedPct]]</f>
        <v>0</v>
      </c>
      <c r="EK84" s="38" t="n">
        <f aca="false">Tasks[[#This Row],[_LeafBudget]]*Tasks[[#This Row],[_LeafProgress]]</f>
        <v>0</v>
      </c>
      <c r="EL84" s="38" t="n">
        <f aca="false">IF(NOT(Tasks[[#This Row],[_IsLeaf]]=1),0,IF(Tasks[[#This Row],[Actual Cost]]="",Tasks[[#This Row],[_LeafTotalCost]]*Tasks[[#This Row],[_LeafProgress]],N(Tasks[[#This Row],[Actual Cost]])))</f>
        <v>0</v>
      </c>
      <c r="EM84" s="38" t="str">
        <f aca="false">IF(Tasks[[#This Row],[Task Name]]="","",LEFT(Tasks[[#This Row],[WBS]],FIND(".",Tasks[[#This Row],[WBS]]&amp;".")-1))</f>
        <v/>
      </c>
      <c r="EN84" s="38" t="str">
        <f aca="false">IF(AND(Tasks[[#This Row],[Task Name]]&lt;&gt;"",Tasks[[#This Row],[_Level]]=1),Tasks[[#This Row],[_Row]],"")</f>
        <v/>
      </c>
      <c r="EO84" s="38" t="str">
        <f aca="false">IF(AND(Tasks[[#This Row],[_IsLeaf]]=1,N(Tasks[[#This Row],[Duration]])=0),Tasks[[#This Row],[Planned Finish]]+Tasks[[#This Row],[_Row]]/100000,"")</f>
        <v/>
      </c>
      <c r="EP84" s="38" t="str">
        <f aca="false">IF(AND(Tasks[[#This Row],[_IsLeaf]]=1,Tasks[[#This Row],[_LeafProgress]]&lt;1,OR(N(Tasks[[#This Row],[Finish Var]])&gt;0,Tasks[[#This Row],[Status]]="Late Start")),MAX(0,Tasks[[#This Row],[Finish Var]])+1-Tasks[[#This Row],[_Row]]/1000000,"")</f>
        <v/>
      </c>
      <c r="EQ84" s="38" t="str">
        <f aca="false">IF(AND(Tasks[[#This Row],[_IsLeaf]]=1,N(Tasks[[#This Row],[Actual Start]])=0,Tasks[[#This Row],[_ShownFcstStart]]&gt;=StatusDate,Tasks[[#This Row],[_ShownFcstStart]]&lt;=LookaheadEnd),Tasks[[#This Row],[_ShownFcstStart]]+Tasks[[#This Row],[_Row]]/100000,"")</f>
        <v/>
      </c>
      <c r="ER84" s="38" t="str">
        <f aca="false">IF(AND(Tasks[[#This Row],[_IsLeaf]]=1,Tasks[[#This Row],[_LeafProgress]]&lt;1,Tasks[[#This Row],[_ShownFcstFinish]]&gt;=StatusDate,Tasks[[#This Row],[_ShownFcstFinish]]&lt;=LookaheadEnd),Tasks[[#This Row],[_ShownFcstFinish]]+Tasks[[#This Row],[_Row]]/100000,"")</f>
        <v/>
      </c>
      <c r="ES84" s="38" t="str">
        <f aca="false">IF(Tasks[[#This Row],[_LeafCritical]],Tasks[[#This Row],[_ShownFcstStart]]+Tasks[[#This Row],[_Row]]/100000,"")</f>
        <v/>
      </c>
      <c r="ET84" s="38" t="n">
        <f aca="false">Tasks[[#This Row],[_LeafWork]]*Tasks[[#This Row],[_LeafProgress]]</f>
        <v>0</v>
      </c>
      <c r="EU84" s="115" t="str">
        <f aca="false">IF(AND(Tasks[[#This Row],[_IsLeaf]]=1,Tasks[[#This Row],[_LeafProgress]]&gt;=1),IF(N(Tasks[[#This Row],[Actual Finish]])&gt;0,Tasks[[#This Row],[Actual Finish]],Tasks[[#This Row],[_ShownFcstFinish]]),"")</f>
        <v/>
      </c>
      <c r="EV84" s="38" t="n">
        <f aca="false">IF(Tasks[[#This Row],[_IsLeaf]]=1,N(Tasks[[#This Row],[Story Points]]),0)</f>
        <v>0</v>
      </c>
      <c r="EW84" s="38" t="str">
        <f aca="false">IF(AND(Tasks[[#This Row],[_IsLeaf]]=1,CurrentSprint&lt;&gt;"",Tasks[[#This Row],[Sprint]]=CurrentSprint),Tasks[[#This Row],[_Row]],"")</f>
        <v/>
      </c>
    </row>
    <row r="85" customFormat="false" ht="15" hidden="false" customHeight="false" outlineLevel="0" collapsed="false">
      <c r="A85" s="51" t="str">
        <f aca="false">IF(Tasks[[#This Row],[Task Name]]="","",COUNTA(Tasks[[#Headers],[Task Name]]:Tasks[[#This Row],[Task Name]])-1)</f>
        <v/>
      </c>
      <c r="B85" s="52" t="n">
        <v>80</v>
      </c>
      <c r="C8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52"/>
      <c r="E85" s="53"/>
      <c r="F85" s="52"/>
      <c r="G85" s="52"/>
      <c r="H85" s="52"/>
      <c r="I85" s="52"/>
      <c r="J85" s="52"/>
      <c r="K85" s="52"/>
      <c r="L85" s="52"/>
      <c r="M85" s="52"/>
      <c r="N85" s="52"/>
      <c r="O85" s="52"/>
      <c r="P85" s="52"/>
      <c r="Q85" s="52"/>
      <c r="R85" s="52"/>
      <c r="S85" s="53"/>
      <c r="T85" s="102"/>
      <c r="U85" s="102"/>
      <c r="V85" s="7"/>
      <c r="W85" s="7"/>
      <c r="X85" s="53"/>
      <c r="Y85" s="31" t="str">
        <f aca="false">IF(Tasks[[#This Row],[Task Name]]="","",IF(Tasks[[#This Row],[_IsSummary]],MIN(INDEX(Tasks[_ShownFcstStart],Tasks[[#This Row],[_Row]]+1):INDEX(Tasks[_ShownFcstStart],Tasks[[#This Row],[_Row]]+Tasks[[#This Row],[_Descendants]])),Tasks[[#This Row],[_ShownFcstStart]]))</f>
        <v/>
      </c>
      <c r="Z85" s="31" t="str">
        <f aca="false">IF(Tasks[[#This Row],[Task Name]]="","",IF(Tasks[[#This Row],[_IsSummary]],MAX(INDEX(Tasks[_ShownFcstFinish],Tasks[[#This Row],[_Row]]+1):INDEX(Tasks[_ShownFcstFinish],Tasks[[#This Row],[_Row]]+Tasks[[#This Row],[_Descendants]])),Tasks[[#This Row],[_ShownFcstFinish]]))</f>
        <v/>
      </c>
      <c r="AA85" s="51" t="str">
        <f aca="false">IF(Tasks[[#This Row],[Task Name]]="","",IF(Tasks[[#This Row],[Progress]]&gt;=1,"Complete",IF(OR(N(Tasks[[#This Row],[Actual Start]])&gt;0,Tasks[[#This Row],[Progress]]&gt;0),IF(Tasks[[#This Row],[Finish Var]]&gt;0,"Behind","In Progress"),IF(Tasks[[#This Row],[Planned Start]]&lt;StatusDate,"Late Start","Not Started"))))</f>
        <v/>
      </c>
      <c r="AB85" s="51" t="str">
        <f aca="false">IF(Tasks[[#This Row],[Task Name]]="","",IF(IF(Tasks[[#This Row],[_IsSummary]],COUNTIF(INDEX(Tasks[_LeafCritical],Tasks[[#This Row],[_Row]]+1):INDEX(Tasks[_LeafCritical],Tasks[[#This Row],[_Row]]+Tasks[[#This Row],[_Descendants]]),TRUE())&gt;0,Tasks[[#This Row],[_LeafCritical]]),"Yes",""))</f>
        <v/>
      </c>
      <c r="AC8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5" s="51" t="str">
        <f aca="false">IF(Tasks[[#This Row],[Task Name]]="","",IF(Tasks[[#This Row],[_Level]]&lt;=OutlineShowLevel,"Yes","No"))</f>
        <v/>
      </c>
      <c r="AE85" s="7"/>
      <c r="AF85" s="52"/>
      <c r="AG85" s="53"/>
      <c r="AH85" s="7"/>
      <c r="AI8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5" s="31" t="str">
        <f aca="false">IF(Tasks[[#This Row],[Task Name]]="","",IF(N(Tasks[[#This Row],[Baseline Start]])&gt;0,Tasks[[#This Row],[Baseline Start]],Tasks[[#This Row],[_CalcStart]]))</f>
        <v/>
      </c>
      <c r="AK85" s="31" t="str">
        <f aca="false">IF(Tasks[[#This Row],[Task Name]]="","",IF(N(Tasks[[#This Row],[Baseline Finish]])&gt;0,Tasks[[#This Row],[Baseline Finish]],Tasks[[#This Row],[_CalcFinish]]))</f>
        <v/>
      </c>
      <c r="AL8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5" s="31" t="str">
        <f aca="false">IF(Tasks[[#This Row],[Task Name]]="","",IF(Tasks[[#This Row],[_IsSummary]],MIN(INDEX(Tasks[_LeafLateStart],Tasks[[#This Row],[_Row]]+1):INDEX(Tasks[_LeafLateStart],Tasks[[#This Row],[_Row]]+Tasks[[#This Row],[_Descendants]])),Tasks[[#This Row],[_LeafLateStart]]))</f>
        <v/>
      </c>
      <c r="AN85" s="31" t="str">
        <f aca="false">IF(Tasks[[#This Row],[Task Name]]="","",IF(Tasks[[#This Row],[_IsSummary]],MAX(INDEX(Tasks[_LeafLateFinish],Tasks[[#This Row],[_Row]]+1):INDEX(Tasks[_LeafLateFinish],Tasks[[#This Row],[_Row]]+Tasks[[#This Row],[_Descendants]])),Tasks[[#This Row],[_LeafLateFinish]]))</f>
        <v/>
      </c>
      <c r="AO85" s="51" t="str">
        <f aca="false">IF(Tasks[[#This Row],[Task Name]]="","",IF(Tasks[[#This Row],[_IsSummary]],MIN(INDEX(Tasks[_LeafTotalSlack],Tasks[[#This Row],[_Row]]+1):INDEX(Tasks[_LeafTotalSlack],Tasks[[#This Row],[_Row]]+Tasks[[#This Row],[_Descendants]])),Tasks[[#This Row],[_LeafTotalSlack]]))</f>
        <v/>
      </c>
      <c r="AP8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5" s="110" t="str">
        <f aca="false">IF(Tasks[[#This Row],[Task Name]]="","",IF(Tasks[[#This Row],[_IsSummary]],SUM(INDEX(Tasks[_LeafTotalWork],Tasks[[#This Row],[_Row]]+1):INDEX(Tasks[_LeafTotalWork],Tasks[[#This Row],[_Row]]+Tasks[[#This Row],[_Descendants]])),Tasks[[#This Row],[_LeafTotalWork]]))</f>
        <v/>
      </c>
      <c r="AV8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5" s="111" t="str">
        <f aca="false">IF(Tasks[[#This Row],[Task Name]]="","",IF(Tasks[[#This Row],[_IsSummary]],SUM(INDEX(Tasks[_LeafTotalCost],Tasks[[#This Row],[_Row]]+1):INDEX(Tasks[_LeafTotalCost],Tasks[[#This Row],[_Row]]+Tasks[[#This Row],[_Descendants]])),Tasks[[#This Row],[_LeafTotalCost]]))</f>
        <v/>
      </c>
      <c r="AY85" s="112"/>
      <c r="AZ8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5" s="52"/>
      <c r="BB85" s="98"/>
      <c r="BC85" s="51" t="str">
        <f aca="false">IF(OR(Tasks[[#This Row],[Task Name]]="",Tasks[[#This Row],[Baseline Duration]]=""),"",Tasks[[#This Row],[BL Source Duration]]-N(Tasks[[#This Row],[Baseline Duration]]))</f>
        <v/>
      </c>
      <c r="BD85" s="110" t="str">
        <f aca="false">IF(OR(Tasks[[#This Row],[Task Name]]="",Tasks[[#This Row],[Baseline Work]]=""),"",Tasks[[#This Row],[Work]]-N(Tasks[[#This Row],[Baseline Work]]))</f>
        <v/>
      </c>
      <c r="BE85" s="111" t="str">
        <f aca="false">IF(OR(Tasks[[#This Row],[Task Name]]="",Tasks[[#This Row],[Baseline Cost]]=""),"",Tasks[[#This Row],[Cost]]-N(Tasks[[#This Row],[Baseline Cost]]))</f>
        <v/>
      </c>
      <c r="BF85" s="31" t="str">
        <f aca="false">IF(Tasks[[#This Row],[Task Name]]="","",Tasks[[#This Row],[Forecast Start]])</f>
        <v/>
      </c>
      <c r="BG85" s="31" t="str">
        <f aca="false">IF(Tasks[[#This Row],[Task Name]]="","",Tasks[[#This Row],[Forecast Finish]])</f>
        <v/>
      </c>
      <c r="BH85" s="51" t="str">
        <f aca="false">IF(Tasks[[#This Row],[Task Name]]="","",IF(Tasks[[#This Row],[_IsSummary]],NETWORKDAYS.INTL(Tasks[[#This Row],[Forecast Start]],Tasks[[#This Row],[Forecast Finish]],WorkWeek,Holidays),N(Tasks[[#This Row],[Duration]])))</f>
        <v/>
      </c>
      <c r="BI85" s="110" t="str">
        <f aca="false">IF(Tasks[[#This Row],[Task Name]]="","",Tasks[[#This Row],[Work]])</f>
        <v/>
      </c>
      <c r="BJ85" s="111" t="str">
        <f aca="false">IF(Tasks[[#This Row],[Task Name]]="","",Tasks[[#This Row],[Cost]])</f>
        <v/>
      </c>
      <c r="BK85" s="7"/>
      <c r="BL85" s="7"/>
      <c r="BM85" s="52"/>
      <c r="BN85" s="113"/>
      <c r="BO85" s="112"/>
      <c r="BP85" s="111" t="str">
        <f aca="false">IF(Tasks[[#This Row],[Task Name]]="","",IF(Tasks[[#This Row],[_IsSummary]],SUM(INDEX(Tasks[_LeafEV],Tasks[[#This Row],[_Row]]+1):INDEX(Tasks[_LeafEV],Tasks[[#This Row],[_Row]]+Tasks[[#This Row],[_Descendants]])),Tasks[[#This Row],[_LeafEV]]))</f>
        <v/>
      </c>
      <c r="BQ85" s="111" t="str">
        <f aca="false">IF(Tasks[[#This Row],[Task Name]]="","",IF(Tasks[[#This Row],[_IsSummary]],SUM(INDEX(Tasks[_LeafBudget],Tasks[[#This Row],[_Row]]+1):INDEX(Tasks[_LeafBudget],Tasks[[#This Row],[_Row]]+Tasks[[#This Row],[_Descendants]])),Tasks[[#This Row],[_LeafBudget]]))</f>
        <v/>
      </c>
      <c r="BR85" s="111" t="str">
        <f aca="false">IF(Tasks[[#This Row],[Task Name]]="","",IF(Tasks[[#This Row],[_IsSummary]],SUM(INDEX(Tasks[_LeafPV],Tasks[[#This Row],[_Row]]+1):INDEX(Tasks[_LeafPV],Tasks[[#This Row],[_Row]]+Tasks[[#This Row],[_Descendants]])),Tasks[[#This Row],[_LeafPV]]))</f>
        <v/>
      </c>
      <c r="BS85" s="111" t="str">
        <f aca="false">IF(Tasks[[#This Row],[Task Name]]="","",IF(Tasks[[#This Row],[_IsSummary]],SUM(INDEX(Tasks[_LeafAC],Tasks[[#This Row],[_Row]]+1):INDEX(Tasks[_LeafAC],Tasks[[#This Row],[_Row]]+Tasks[[#This Row],[_Descendants]])),Tasks[[#This Row],[_LeafAC]]))</f>
        <v/>
      </c>
      <c r="BT85" s="38" t="str">
        <f aca="false">IF(Tasks[[#This Row],[Task Name]]="","",MAX(1,N(Tasks[[#This Row],[Level]])))</f>
        <v/>
      </c>
      <c r="BU85" s="38" t="n">
        <f aca="false">ROW()-ROW(Tasks[[#Headers],[ID]])</f>
        <v>80</v>
      </c>
      <c r="BV85" s="38" t="n">
        <f aca="false">IF(OR(Tasks[[#This Row],[Task Name]]="",Tasks[[#This Row],[_Level]]&lt;=1),0,IFERROR(LOOKUP(2,1/(Tasks[[#Headers],[_Level]]:Tasks[[#This Row],[_Level]]=Tasks[[#This Row],[_Level]]-1),ROW(Tasks[[#Headers],[_Level]]:Tasks[[#This Row],[_Level]])),0))</f>
        <v>0</v>
      </c>
      <c r="BW85" s="38" t="n">
        <f aca="false">IFERROR(N(INDEX(Tasks[_Level],Tasks[[#This Row],[_Row]]+1)),0)</f>
        <v>0</v>
      </c>
      <c r="BX85" s="114" t="b">
        <f aca="false">AND(Tasks[[#This Row],[Task Name]]&lt;&gt;"",Tasks[[#This Row],[_NextLevel]]&gt;Tasks[[#This Row],[_Level]])</f>
        <v>0</v>
      </c>
      <c r="BY85" s="38" t="n">
        <f aca="false">IF(Tasks[[#This Row],[_IsSummary]],COUNTIF(Tasks[WBS],Tasks[[#This Row],[WBS]]&amp;".*"),0)</f>
        <v>0</v>
      </c>
      <c r="BZ85" s="38" t="n">
        <f aca="false">IF(AND(Tasks[[#This Row],[Task Name]]&lt;&gt;"",NOT(Tasks[[#This Row],[_IsSummary]])),1,0)</f>
        <v>0</v>
      </c>
      <c r="CA85" s="38" t="n">
        <f aca="false">IF(N(Tasks[[#This Row],[Pred1 UID]])=0,0,IFERROR(MATCH(Tasks[[#This Row],[Pred1 UID]],Tasks[UID],0),-1))</f>
        <v>0</v>
      </c>
      <c r="CB85" s="38" t="n">
        <f aca="false">IF(N(Tasks[[#This Row],[Pred2 UID]])=0,0,IFERROR(MATCH(Tasks[[#This Row],[Pred2 UID]],Tasks[UID],0),-1))</f>
        <v>0</v>
      </c>
      <c r="CC85" s="38" t="n">
        <f aca="false">IF(N(Tasks[[#This Row],[Pred3 UID]])=0,0,IFERROR(MATCH(Tasks[[#This Row],[Pred3 UID]],Tasks[UID],0),-1))</f>
        <v>0</v>
      </c>
      <c r="CD85" s="38" t="n">
        <f aca="false">IF(N(Tasks[[#This Row],[Pred4 UID]])=0,0,IFERROR(MATCH(Tasks[[#This Row],[Pred4 UID]],Tasks[UID],0),-1))</f>
        <v>0</v>
      </c>
      <c r="CE8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5" s="115" t="n">
        <f aca="false">IF(OR(Tasks[[#This Row],[_ConstraintCode]]=2,Tasks[[#This Row],[_ConstraintCode]]=3,Tasks[[#This Row],[_ConstraintCode]]=4,Tasks[[#This Row],[_ConstraintCode]]=6),Tasks[[#This Row],[_ConstraintStart]],0)</f>
        <v>0</v>
      </c>
      <c r="CH85" s="115" t="n">
        <f aca="false">IF(OR(Tasks[[#This Row],[_ConstraintCode]]=2,Tasks[[#This Row],[_ConstraintCode]]=3,Tasks[[#This Row],[_ConstraintCode]]=5,Tasks[[#This Row],[_ConstraintCode]]=7),Tasks[[#This Row],[_ConstraintStart]],2958465)</f>
        <v>2958465</v>
      </c>
      <c r="CI8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5" s="115" t="str">
        <f aca="false">IF(NOT(Tasks[[#This Row],[_IsLeaf]]=1),"",IF(N(Tasks[[#This Row],[Duration]])&lt;=0,Tasks[[#This Row],[_LeafCalcStart]],WORKDAY.INTL(Tasks[[#This Row],[_LeafCalcStart]],Tasks[[#This Row],[Duration]]-1,WorkWeek,Holidays)))</f>
        <v/>
      </c>
      <c r="CK8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5" s="38" t="n">
        <f aca="false">IF(NOT(Tasks[[#This Row],[_IsLeaf]]=1),0,IF(N(Tasks[[#This Row],[Actual Finish]])&gt;0,1,MIN(1,N(Tasks[[#This Row],[% Complete]]))))</f>
        <v>0</v>
      </c>
      <c r="CN85" s="38" t="n">
        <f aca="false">IF(OR(NOT(Tasks[[#This Row],[_IsLeaf]]=1),Tasks[[#This Row],[Resource]]=""),0,N(Tasks[[#This Row],[Duration]])*HoursPerDay*IF(Tasks[[#This Row],[Units]]="",DefaultUnits,Tasks[[#This Row],[Units]]))</f>
        <v>0</v>
      </c>
      <c r="CO85" s="38" t="n">
        <f aca="false">IF(Tasks[[#This Row],[_LeafWork]]=0,0,Tasks[[#This Row],[_LeafWork]]*IFERROR(INDEX(res_Rate,MATCH(Tasks[[#This Row],[Resource]],res_Name,0)),0))</f>
        <v>0</v>
      </c>
      <c r="CP85" s="38" t="n">
        <f aca="false">Tasks[[#This Row],[_LeafWork]]+IF(Tasks[[#This Row],[_IsLeaf]]=1,SUMIFS(asg_Work,asg_TaskUID,Tasks[[#This Row],[UID]],asg_Valid,1),0)</f>
        <v>0</v>
      </c>
      <c r="CQ85" s="38" t="n">
        <f aca="false">Tasks[[#This Row],[_LeafCost]]+IF(Tasks[[#This Row],[_IsLeaf]]=1,SUMIFS(asg_Cost,asg_TaskUID,Tasks[[#This Row],[UID]],asg_Valid,1),0)</f>
        <v>0</v>
      </c>
      <c r="CR85" s="38" t="n">
        <f aca="false">IF(Tasks[[#This Row],[_LeafTotalCost]]=0,Tasks[[#This Row],[_LeafAC]],Tasks[[#This Row],[_LeafAC]]*Tasks[[#This Row],[_LeafCost]]/Tasks[[#This Row],[_LeafTotalCost]])</f>
        <v>0</v>
      </c>
      <c r="CS8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5" s="38" t="n">
        <f aca="false">IF(NOT(Tasks[[#This Row],[_IsLeaf]]=1),0,MAX(_xlfn.MAXIFS(Tasks[_Row],Tasks[Pred1 UID],Tasks[[#This Row],[UID]]),_xlfn.MAXIFS(Tasks[_Row],Tasks[Pred2 UID],Tasks[[#This Row],[UID]]),_xlfn.MAXIFS(Tasks[_Row],Tasks[Pred3 UID],Tasks[[#This Row],[UID]]),_xlfn.MAXIFS(Tasks[_Row],Tasks[Pred4 UID],Tasks[[#This Row],[UID]])))</f>
        <v>0</v>
      </c>
      <c r="DB8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5" s="115" t="str">
        <f aca="false">IF(NOT(Tasks[[#This Row],[_IsLeaf]]=1),"",IF(N(Tasks[[#This Row],[Duration]])&lt;=0,Tasks[[#This Row],[_LeafLateFinish]],WORKDAY.INTL(Tasks[[#This Row],[_LeafLateFinish]],-(Tasks[[#This Row],[Duration]]-1),WorkWeek,Holidays)))</f>
        <v/>
      </c>
      <c r="DE8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5" s="114" t="b">
        <f aca="false">AND(Tasks[[#This Row],[_IsLeaf]]=1,Tasks[[#This Row],[_LeafProgress]]&lt;1,N(Tasks[[#This Row],[_LeafTotalSlack]])&lt;=CriticalSlackDays)</f>
        <v>0</v>
      </c>
      <c r="DG85" s="38" t="n">
        <f aca="false">IF(AND(Tasks[[#This Row],[_IsLeaf]]=1,Tasks[[#This Row],[_ConstraintCode]]=1,Tasks[[#This Row],[Mode]]&lt;&gt;"Manual",N(Tasks[[#This Row],[Actual Start]])=0),MAX(0,N(Tasks[[#This Row],[Free Slack]])),0)</f>
        <v>0</v>
      </c>
      <c r="DH85" s="115" t="str">
        <f aca="false">IF(NOT(Tasks[[#This Row],[_IsLeaf]]=1),"",IF(Tasks[[#This Row],[_AlapShift]]=0,Tasks[[#This Row],[_LeafCalcStart]],WORKDAY.INTL(Tasks[[#This Row],[_LeafCalcStart]],Tasks[[#This Row],[_AlapShift]],WorkWeek,Holidays)))</f>
        <v/>
      </c>
      <c r="DI85" s="115" t="str">
        <f aca="false">IF(NOT(Tasks[[#This Row],[_IsLeaf]]=1),"",IF(Tasks[[#This Row],[_AlapShift]]=0,Tasks[[#This Row],[_LeafCalcFinish]],WORKDAY.INTL(Tasks[[#This Row],[_LeafCalcFinish]],Tasks[[#This Row],[_AlapShift]],WorkWeek,Holidays)))</f>
        <v/>
      </c>
      <c r="DJ85" s="115" t="str">
        <f aca="false">IF(NOT(Tasks[[#This Row],[_IsLeaf]]=1),"",IF(Tasks[[#This Row],[_AlapShift]]=0,Tasks[[#This Row],[_LeafFcstStart]],WORKDAY.INTL(Tasks[[#This Row],[_LeafFcstStart]],Tasks[[#This Row],[_AlapShift]],WorkWeek,Holidays)))</f>
        <v/>
      </c>
      <c r="DK85" s="115" t="str">
        <f aca="false">IF(NOT(Tasks[[#This Row],[_IsLeaf]]=1),"",IF(Tasks[[#This Row],[_AlapShift]]=0,Tasks[[#This Row],[_LeafFcstFinish]],WORKDAY.INTL(Tasks[[#This Row],[_LeafFcstFinish]],Tasks[[#This Row],[_AlapShift]],WorkWeek,Holidays)))</f>
        <v/>
      </c>
      <c r="DL85" s="115" t="str">
        <f aca="false">IF(Tasks[[#This Row],[Task Name]]="","",IF(Tasks[[#This Row],[_IsSummary]],MIN(INDEX(Tasks[_ShownCalcStart],Tasks[[#This Row],[_Row]]+1):INDEX(Tasks[_ShownCalcStart],Tasks[[#This Row],[_Row]]+Tasks[[#This Row],[_Descendants]])),Tasks[[#This Row],[_ShownCalcStart]]))</f>
        <v/>
      </c>
      <c r="DM85" s="115" t="str">
        <f aca="false">IF(Tasks[[#This Row],[Task Name]]="","",IF(Tasks[[#This Row],[_IsSummary]],MAX(INDEX(Tasks[_ShownCalcFinish],Tasks[[#This Row],[_Row]]+1):INDEX(Tasks[_ShownCalcFinish],Tasks[[#This Row],[_Row]]+Tasks[[#This Row],[_Descendants]])),Tasks[[#This Row],[_ShownCalcFinish]]))</f>
        <v/>
      </c>
      <c r="DN8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5" s="38" t="n">
        <f aca="false">IF(AND(Tasks[[#This Row],[_IsLeaf]]=1,Tasks[[#This Row],[_LeafTotalWork]]&gt;0),NETWORKDAYS.INTL(ProjectStart,Tasks[[#This Row],[_ShownFcstStart]],WorkWeek,Holidays),0)</f>
        <v>0</v>
      </c>
      <c r="EA85" s="38" t="n">
        <f aca="false">IF(AND(Tasks[[#This Row],[_IsLeaf]]=1,Tasks[[#This Row],[_LeafTotalWork]]&gt;0),MAX(Tasks[[#This Row],[_StartWorkday]],NETWORKDAYS.INTL(ProjectStart,Tasks[[#This Row],[_ShownFcstFinish]],WorkWeek,Holidays)),0)</f>
        <v>0</v>
      </c>
      <c r="EB85" s="38" t="n">
        <f aca="false">IF(AND(Tasks[[#This Row],[_IsLeaf]]=1,Tasks[[#This Row],[_LeafTotalWork]]&gt;0),Tasks[[#This Row],[_LeafWork]]/(Tasks[[#This Row],[_FinishWorkday]]-Tasks[[#This Row],[_StartWorkday]]+1),0)</f>
        <v>0</v>
      </c>
      <c r="EC85" s="38" t="n">
        <f aca="false">Tasks[[#This Row],[_WorkPerWorkday]]*(Tasks[[#This Row],[_StartWorkday]]-1)</f>
        <v>-0</v>
      </c>
      <c r="ED85" s="38" t="n">
        <f aca="false">IF(Tasks[[#This Row],[_IsLeaf]]=1,MAX(N(Tasks[[#This Row],[Duration]]),0.1),0)</f>
        <v>0</v>
      </c>
      <c r="EE85" s="38" t="n">
        <f aca="false">Tasks[[#This Row],[_WeightDur]]*Tasks[[#This Row],[_LeafProgress]]</f>
        <v>0</v>
      </c>
      <c r="EF8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5" s="38" t="str">
        <f aca="false">IF(AND(Tasks[[#This Row],[_IsLeaf]]=1,N(Tasks[[#This Row],[Duration]])=0,Tasks[[#This Row],[_LeafProgress]]&lt;1),Tasks[[#This Row],[_ShownFcstFinish]]+Tasks[[#This Row],[_Row]]/100000,"")</f>
        <v/>
      </c>
      <c r="EH8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5" s="38" t="n">
        <f aca="false">IF(NOT(Tasks[[#This Row],[_IsLeaf]]=1),0,IF(Tasks[[#This Row],[Baseline Cost]]="",Tasks[[#This Row],[_LeafTotalCost]],N(Tasks[[#This Row],[Baseline Cost]])))</f>
        <v>0</v>
      </c>
      <c r="EJ85" s="38" t="n">
        <f aca="false">Tasks[[#This Row],[_LeafBudget]]*Tasks[[#This Row],[_PlannedPct]]</f>
        <v>0</v>
      </c>
      <c r="EK85" s="38" t="n">
        <f aca="false">Tasks[[#This Row],[_LeafBudget]]*Tasks[[#This Row],[_LeafProgress]]</f>
        <v>0</v>
      </c>
      <c r="EL85" s="38" t="n">
        <f aca="false">IF(NOT(Tasks[[#This Row],[_IsLeaf]]=1),0,IF(Tasks[[#This Row],[Actual Cost]]="",Tasks[[#This Row],[_LeafTotalCost]]*Tasks[[#This Row],[_LeafProgress]],N(Tasks[[#This Row],[Actual Cost]])))</f>
        <v>0</v>
      </c>
      <c r="EM85" s="38" t="str">
        <f aca="false">IF(Tasks[[#This Row],[Task Name]]="","",LEFT(Tasks[[#This Row],[WBS]],FIND(".",Tasks[[#This Row],[WBS]]&amp;".")-1))</f>
        <v/>
      </c>
      <c r="EN85" s="38" t="str">
        <f aca="false">IF(AND(Tasks[[#This Row],[Task Name]]&lt;&gt;"",Tasks[[#This Row],[_Level]]=1),Tasks[[#This Row],[_Row]],"")</f>
        <v/>
      </c>
      <c r="EO85" s="38" t="str">
        <f aca="false">IF(AND(Tasks[[#This Row],[_IsLeaf]]=1,N(Tasks[[#This Row],[Duration]])=0),Tasks[[#This Row],[Planned Finish]]+Tasks[[#This Row],[_Row]]/100000,"")</f>
        <v/>
      </c>
      <c r="EP85" s="38" t="str">
        <f aca="false">IF(AND(Tasks[[#This Row],[_IsLeaf]]=1,Tasks[[#This Row],[_LeafProgress]]&lt;1,OR(N(Tasks[[#This Row],[Finish Var]])&gt;0,Tasks[[#This Row],[Status]]="Late Start")),MAX(0,Tasks[[#This Row],[Finish Var]])+1-Tasks[[#This Row],[_Row]]/1000000,"")</f>
        <v/>
      </c>
      <c r="EQ85" s="38" t="str">
        <f aca="false">IF(AND(Tasks[[#This Row],[_IsLeaf]]=1,N(Tasks[[#This Row],[Actual Start]])=0,Tasks[[#This Row],[_ShownFcstStart]]&gt;=StatusDate,Tasks[[#This Row],[_ShownFcstStart]]&lt;=LookaheadEnd),Tasks[[#This Row],[_ShownFcstStart]]+Tasks[[#This Row],[_Row]]/100000,"")</f>
        <v/>
      </c>
      <c r="ER85" s="38" t="str">
        <f aca="false">IF(AND(Tasks[[#This Row],[_IsLeaf]]=1,Tasks[[#This Row],[_LeafProgress]]&lt;1,Tasks[[#This Row],[_ShownFcstFinish]]&gt;=StatusDate,Tasks[[#This Row],[_ShownFcstFinish]]&lt;=LookaheadEnd),Tasks[[#This Row],[_ShownFcstFinish]]+Tasks[[#This Row],[_Row]]/100000,"")</f>
        <v/>
      </c>
      <c r="ES85" s="38" t="str">
        <f aca="false">IF(Tasks[[#This Row],[_LeafCritical]],Tasks[[#This Row],[_ShownFcstStart]]+Tasks[[#This Row],[_Row]]/100000,"")</f>
        <v/>
      </c>
      <c r="ET85" s="38" t="n">
        <f aca="false">Tasks[[#This Row],[_LeafWork]]*Tasks[[#This Row],[_LeafProgress]]</f>
        <v>0</v>
      </c>
      <c r="EU85" s="115" t="str">
        <f aca="false">IF(AND(Tasks[[#This Row],[_IsLeaf]]=1,Tasks[[#This Row],[_LeafProgress]]&gt;=1),IF(N(Tasks[[#This Row],[Actual Finish]])&gt;0,Tasks[[#This Row],[Actual Finish]],Tasks[[#This Row],[_ShownFcstFinish]]),"")</f>
        <v/>
      </c>
      <c r="EV85" s="38" t="n">
        <f aca="false">IF(Tasks[[#This Row],[_IsLeaf]]=1,N(Tasks[[#This Row],[Story Points]]),0)</f>
        <v>0</v>
      </c>
      <c r="EW85" s="38" t="str">
        <f aca="false">IF(AND(Tasks[[#This Row],[_IsLeaf]]=1,CurrentSprint&lt;&gt;"",Tasks[[#This Row],[Sprint]]=CurrentSprint),Tasks[[#This Row],[_Row]],"")</f>
        <v/>
      </c>
    </row>
    <row r="86" customFormat="false" ht="15" hidden="false" customHeight="false" outlineLevel="0" collapsed="false">
      <c r="A86" s="51" t="str">
        <f aca="false">IF(Tasks[[#This Row],[Task Name]]="","",COUNTA(Tasks[[#Headers],[Task Name]]:Tasks[[#This Row],[Task Name]])-1)</f>
        <v/>
      </c>
      <c r="B86" s="52" t="n">
        <v>81</v>
      </c>
      <c r="C8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52"/>
      <c r="E86" s="53"/>
      <c r="F86" s="52"/>
      <c r="G86" s="52"/>
      <c r="H86" s="52"/>
      <c r="I86" s="52"/>
      <c r="J86" s="52"/>
      <c r="K86" s="52"/>
      <c r="L86" s="52"/>
      <c r="M86" s="52"/>
      <c r="N86" s="52"/>
      <c r="O86" s="52"/>
      <c r="P86" s="52"/>
      <c r="Q86" s="52"/>
      <c r="R86" s="52"/>
      <c r="S86" s="53"/>
      <c r="T86" s="102"/>
      <c r="U86" s="102"/>
      <c r="V86" s="7"/>
      <c r="W86" s="7"/>
      <c r="X86" s="53"/>
      <c r="Y86" s="31" t="str">
        <f aca="false">IF(Tasks[[#This Row],[Task Name]]="","",IF(Tasks[[#This Row],[_IsSummary]],MIN(INDEX(Tasks[_ShownFcstStart],Tasks[[#This Row],[_Row]]+1):INDEX(Tasks[_ShownFcstStart],Tasks[[#This Row],[_Row]]+Tasks[[#This Row],[_Descendants]])),Tasks[[#This Row],[_ShownFcstStart]]))</f>
        <v/>
      </c>
      <c r="Z86" s="31" t="str">
        <f aca="false">IF(Tasks[[#This Row],[Task Name]]="","",IF(Tasks[[#This Row],[_IsSummary]],MAX(INDEX(Tasks[_ShownFcstFinish],Tasks[[#This Row],[_Row]]+1):INDEX(Tasks[_ShownFcstFinish],Tasks[[#This Row],[_Row]]+Tasks[[#This Row],[_Descendants]])),Tasks[[#This Row],[_ShownFcstFinish]]))</f>
        <v/>
      </c>
      <c r="AA86" s="51" t="str">
        <f aca="false">IF(Tasks[[#This Row],[Task Name]]="","",IF(Tasks[[#This Row],[Progress]]&gt;=1,"Complete",IF(OR(N(Tasks[[#This Row],[Actual Start]])&gt;0,Tasks[[#This Row],[Progress]]&gt;0),IF(Tasks[[#This Row],[Finish Var]]&gt;0,"Behind","In Progress"),IF(Tasks[[#This Row],[Planned Start]]&lt;StatusDate,"Late Start","Not Started"))))</f>
        <v/>
      </c>
      <c r="AB86" s="51" t="str">
        <f aca="false">IF(Tasks[[#This Row],[Task Name]]="","",IF(IF(Tasks[[#This Row],[_IsSummary]],COUNTIF(INDEX(Tasks[_LeafCritical],Tasks[[#This Row],[_Row]]+1):INDEX(Tasks[_LeafCritical],Tasks[[#This Row],[_Row]]+Tasks[[#This Row],[_Descendants]]),TRUE())&gt;0,Tasks[[#This Row],[_LeafCritical]]),"Yes",""))</f>
        <v/>
      </c>
      <c r="AC8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6" s="51" t="str">
        <f aca="false">IF(Tasks[[#This Row],[Task Name]]="","",IF(Tasks[[#This Row],[_Level]]&lt;=OutlineShowLevel,"Yes","No"))</f>
        <v/>
      </c>
      <c r="AE86" s="7"/>
      <c r="AF86" s="52"/>
      <c r="AG86" s="53"/>
      <c r="AH86" s="7"/>
      <c r="AI8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6" s="31" t="str">
        <f aca="false">IF(Tasks[[#This Row],[Task Name]]="","",IF(N(Tasks[[#This Row],[Baseline Start]])&gt;0,Tasks[[#This Row],[Baseline Start]],Tasks[[#This Row],[_CalcStart]]))</f>
        <v/>
      </c>
      <c r="AK86" s="31" t="str">
        <f aca="false">IF(Tasks[[#This Row],[Task Name]]="","",IF(N(Tasks[[#This Row],[Baseline Finish]])&gt;0,Tasks[[#This Row],[Baseline Finish]],Tasks[[#This Row],[_CalcFinish]]))</f>
        <v/>
      </c>
      <c r="AL8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6" s="31" t="str">
        <f aca="false">IF(Tasks[[#This Row],[Task Name]]="","",IF(Tasks[[#This Row],[_IsSummary]],MIN(INDEX(Tasks[_LeafLateStart],Tasks[[#This Row],[_Row]]+1):INDEX(Tasks[_LeafLateStart],Tasks[[#This Row],[_Row]]+Tasks[[#This Row],[_Descendants]])),Tasks[[#This Row],[_LeafLateStart]]))</f>
        <v/>
      </c>
      <c r="AN86" s="31" t="str">
        <f aca="false">IF(Tasks[[#This Row],[Task Name]]="","",IF(Tasks[[#This Row],[_IsSummary]],MAX(INDEX(Tasks[_LeafLateFinish],Tasks[[#This Row],[_Row]]+1):INDEX(Tasks[_LeafLateFinish],Tasks[[#This Row],[_Row]]+Tasks[[#This Row],[_Descendants]])),Tasks[[#This Row],[_LeafLateFinish]]))</f>
        <v/>
      </c>
      <c r="AO86" s="51" t="str">
        <f aca="false">IF(Tasks[[#This Row],[Task Name]]="","",IF(Tasks[[#This Row],[_IsSummary]],MIN(INDEX(Tasks[_LeafTotalSlack],Tasks[[#This Row],[_Row]]+1):INDEX(Tasks[_LeafTotalSlack],Tasks[[#This Row],[_Row]]+Tasks[[#This Row],[_Descendants]])),Tasks[[#This Row],[_LeafTotalSlack]]))</f>
        <v/>
      </c>
      <c r="AP8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6" s="110" t="str">
        <f aca="false">IF(Tasks[[#This Row],[Task Name]]="","",IF(Tasks[[#This Row],[_IsSummary]],SUM(INDEX(Tasks[_LeafTotalWork],Tasks[[#This Row],[_Row]]+1):INDEX(Tasks[_LeafTotalWork],Tasks[[#This Row],[_Row]]+Tasks[[#This Row],[_Descendants]])),Tasks[[#This Row],[_LeafTotalWork]]))</f>
        <v/>
      </c>
      <c r="AV8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6" s="111" t="str">
        <f aca="false">IF(Tasks[[#This Row],[Task Name]]="","",IF(Tasks[[#This Row],[_IsSummary]],SUM(INDEX(Tasks[_LeafTotalCost],Tasks[[#This Row],[_Row]]+1):INDEX(Tasks[_LeafTotalCost],Tasks[[#This Row],[_Row]]+Tasks[[#This Row],[_Descendants]])),Tasks[[#This Row],[_LeafTotalCost]]))</f>
        <v/>
      </c>
      <c r="AY86" s="112"/>
      <c r="AZ8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6" s="52"/>
      <c r="BB86" s="98"/>
      <c r="BC86" s="51" t="str">
        <f aca="false">IF(OR(Tasks[[#This Row],[Task Name]]="",Tasks[[#This Row],[Baseline Duration]]=""),"",Tasks[[#This Row],[BL Source Duration]]-N(Tasks[[#This Row],[Baseline Duration]]))</f>
        <v/>
      </c>
      <c r="BD86" s="110" t="str">
        <f aca="false">IF(OR(Tasks[[#This Row],[Task Name]]="",Tasks[[#This Row],[Baseline Work]]=""),"",Tasks[[#This Row],[Work]]-N(Tasks[[#This Row],[Baseline Work]]))</f>
        <v/>
      </c>
      <c r="BE86" s="111" t="str">
        <f aca="false">IF(OR(Tasks[[#This Row],[Task Name]]="",Tasks[[#This Row],[Baseline Cost]]=""),"",Tasks[[#This Row],[Cost]]-N(Tasks[[#This Row],[Baseline Cost]]))</f>
        <v/>
      </c>
      <c r="BF86" s="31" t="str">
        <f aca="false">IF(Tasks[[#This Row],[Task Name]]="","",Tasks[[#This Row],[Forecast Start]])</f>
        <v/>
      </c>
      <c r="BG86" s="31" t="str">
        <f aca="false">IF(Tasks[[#This Row],[Task Name]]="","",Tasks[[#This Row],[Forecast Finish]])</f>
        <v/>
      </c>
      <c r="BH86" s="51" t="str">
        <f aca="false">IF(Tasks[[#This Row],[Task Name]]="","",IF(Tasks[[#This Row],[_IsSummary]],NETWORKDAYS.INTL(Tasks[[#This Row],[Forecast Start]],Tasks[[#This Row],[Forecast Finish]],WorkWeek,Holidays),N(Tasks[[#This Row],[Duration]])))</f>
        <v/>
      </c>
      <c r="BI86" s="110" t="str">
        <f aca="false">IF(Tasks[[#This Row],[Task Name]]="","",Tasks[[#This Row],[Work]])</f>
        <v/>
      </c>
      <c r="BJ86" s="111" t="str">
        <f aca="false">IF(Tasks[[#This Row],[Task Name]]="","",Tasks[[#This Row],[Cost]])</f>
        <v/>
      </c>
      <c r="BK86" s="7"/>
      <c r="BL86" s="7"/>
      <c r="BM86" s="52"/>
      <c r="BN86" s="113"/>
      <c r="BO86" s="112"/>
      <c r="BP86" s="111" t="str">
        <f aca="false">IF(Tasks[[#This Row],[Task Name]]="","",IF(Tasks[[#This Row],[_IsSummary]],SUM(INDEX(Tasks[_LeafEV],Tasks[[#This Row],[_Row]]+1):INDEX(Tasks[_LeafEV],Tasks[[#This Row],[_Row]]+Tasks[[#This Row],[_Descendants]])),Tasks[[#This Row],[_LeafEV]]))</f>
        <v/>
      </c>
      <c r="BQ86" s="111" t="str">
        <f aca="false">IF(Tasks[[#This Row],[Task Name]]="","",IF(Tasks[[#This Row],[_IsSummary]],SUM(INDEX(Tasks[_LeafBudget],Tasks[[#This Row],[_Row]]+1):INDEX(Tasks[_LeafBudget],Tasks[[#This Row],[_Row]]+Tasks[[#This Row],[_Descendants]])),Tasks[[#This Row],[_LeafBudget]]))</f>
        <v/>
      </c>
      <c r="BR86" s="111" t="str">
        <f aca="false">IF(Tasks[[#This Row],[Task Name]]="","",IF(Tasks[[#This Row],[_IsSummary]],SUM(INDEX(Tasks[_LeafPV],Tasks[[#This Row],[_Row]]+1):INDEX(Tasks[_LeafPV],Tasks[[#This Row],[_Row]]+Tasks[[#This Row],[_Descendants]])),Tasks[[#This Row],[_LeafPV]]))</f>
        <v/>
      </c>
      <c r="BS86" s="111" t="str">
        <f aca="false">IF(Tasks[[#This Row],[Task Name]]="","",IF(Tasks[[#This Row],[_IsSummary]],SUM(INDEX(Tasks[_LeafAC],Tasks[[#This Row],[_Row]]+1):INDEX(Tasks[_LeafAC],Tasks[[#This Row],[_Row]]+Tasks[[#This Row],[_Descendants]])),Tasks[[#This Row],[_LeafAC]]))</f>
        <v/>
      </c>
      <c r="BT86" s="38" t="str">
        <f aca="false">IF(Tasks[[#This Row],[Task Name]]="","",MAX(1,N(Tasks[[#This Row],[Level]])))</f>
        <v/>
      </c>
      <c r="BU86" s="38" t="n">
        <f aca="false">ROW()-ROW(Tasks[[#Headers],[ID]])</f>
        <v>81</v>
      </c>
      <c r="BV86" s="38" t="n">
        <f aca="false">IF(OR(Tasks[[#This Row],[Task Name]]="",Tasks[[#This Row],[_Level]]&lt;=1),0,IFERROR(LOOKUP(2,1/(Tasks[[#Headers],[_Level]]:Tasks[[#This Row],[_Level]]=Tasks[[#This Row],[_Level]]-1),ROW(Tasks[[#Headers],[_Level]]:Tasks[[#This Row],[_Level]])),0))</f>
        <v>0</v>
      </c>
      <c r="BW86" s="38" t="n">
        <f aca="false">IFERROR(N(INDEX(Tasks[_Level],Tasks[[#This Row],[_Row]]+1)),0)</f>
        <v>0</v>
      </c>
      <c r="BX86" s="114" t="b">
        <f aca="false">AND(Tasks[[#This Row],[Task Name]]&lt;&gt;"",Tasks[[#This Row],[_NextLevel]]&gt;Tasks[[#This Row],[_Level]])</f>
        <v>0</v>
      </c>
      <c r="BY86" s="38" t="n">
        <f aca="false">IF(Tasks[[#This Row],[_IsSummary]],COUNTIF(Tasks[WBS],Tasks[[#This Row],[WBS]]&amp;".*"),0)</f>
        <v>0</v>
      </c>
      <c r="BZ86" s="38" t="n">
        <f aca="false">IF(AND(Tasks[[#This Row],[Task Name]]&lt;&gt;"",NOT(Tasks[[#This Row],[_IsSummary]])),1,0)</f>
        <v>0</v>
      </c>
      <c r="CA86" s="38" t="n">
        <f aca="false">IF(N(Tasks[[#This Row],[Pred1 UID]])=0,0,IFERROR(MATCH(Tasks[[#This Row],[Pred1 UID]],Tasks[UID],0),-1))</f>
        <v>0</v>
      </c>
      <c r="CB86" s="38" t="n">
        <f aca="false">IF(N(Tasks[[#This Row],[Pred2 UID]])=0,0,IFERROR(MATCH(Tasks[[#This Row],[Pred2 UID]],Tasks[UID],0),-1))</f>
        <v>0</v>
      </c>
      <c r="CC86" s="38" t="n">
        <f aca="false">IF(N(Tasks[[#This Row],[Pred3 UID]])=0,0,IFERROR(MATCH(Tasks[[#This Row],[Pred3 UID]],Tasks[UID],0),-1))</f>
        <v>0</v>
      </c>
      <c r="CD86" s="38" t="n">
        <f aca="false">IF(N(Tasks[[#This Row],[Pred4 UID]])=0,0,IFERROR(MATCH(Tasks[[#This Row],[Pred4 UID]],Tasks[UID],0),-1))</f>
        <v>0</v>
      </c>
      <c r="CE8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6" s="115" t="n">
        <f aca="false">IF(OR(Tasks[[#This Row],[_ConstraintCode]]=2,Tasks[[#This Row],[_ConstraintCode]]=3,Tasks[[#This Row],[_ConstraintCode]]=4,Tasks[[#This Row],[_ConstraintCode]]=6),Tasks[[#This Row],[_ConstraintStart]],0)</f>
        <v>0</v>
      </c>
      <c r="CH86" s="115" t="n">
        <f aca="false">IF(OR(Tasks[[#This Row],[_ConstraintCode]]=2,Tasks[[#This Row],[_ConstraintCode]]=3,Tasks[[#This Row],[_ConstraintCode]]=5,Tasks[[#This Row],[_ConstraintCode]]=7),Tasks[[#This Row],[_ConstraintStart]],2958465)</f>
        <v>2958465</v>
      </c>
      <c r="CI8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6" s="115" t="str">
        <f aca="false">IF(NOT(Tasks[[#This Row],[_IsLeaf]]=1),"",IF(N(Tasks[[#This Row],[Duration]])&lt;=0,Tasks[[#This Row],[_LeafCalcStart]],WORKDAY.INTL(Tasks[[#This Row],[_LeafCalcStart]],Tasks[[#This Row],[Duration]]-1,WorkWeek,Holidays)))</f>
        <v/>
      </c>
      <c r="CK8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6" s="38" t="n">
        <f aca="false">IF(NOT(Tasks[[#This Row],[_IsLeaf]]=1),0,IF(N(Tasks[[#This Row],[Actual Finish]])&gt;0,1,MIN(1,N(Tasks[[#This Row],[% Complete]]))))</f>
        <v>0</v>
      </c>
      <c r="CN86" s="38" t="n">
        <f aca="false">IF(OR(NOT(Tasks[[#This Row],[_IsLeaf]]=1),Tasks[[#This Row],[Resource]]=""),0,N(Tasks[[#This Row],[Duration]])*HoursPerDay*IF(Tasks[[#This Row],[Units]]="",DefaultUnits,Tasks[[#This Row],[Units]]))</f>
        <v>0</v>
      </c>
      <c r="CO86" s="38" t="n">
        <f aca="false">IF(Tasks[[#This Row],[_LeafWork]]=0,0,Tasks[[#This Row],[_LeafWork]]*IFERROR(INDEX(res_Rate,MATCH(Tasks[[#This Row],[Resource]],res_Name,0)),0))</f>
        <v>0</v>
      </c>
      <c r="CP86" s="38" t="n">
        <f aca="false">Tasks[[#This Row],[_LeafWork]]+IF(Tasks[[#This Row],[_IsLeaf]]=1,SUMIFS(asg_Work,asg_TaskUID,Tasks[[#This Row],[UID]],asg_Valid,1),0)</f>
        <v>0</v>
      </c>
      <c r="CQ86" s="38" t="n">
        <f aca="false">Tasks[[#This Row],[_LeafCost]]+IF(Tasks[[#This Row],[_IsLeaf]]=1,SUMIFS(asg_Cost,asg_TaskUID,Tasks[[#This Row],[UID]],asg_Valid,1),0)</f>
        <v>0</v>
      </c>
      <c r="CR86" s="38" t="n">
        <f aca="false">IF(Tasks[[#This Row],[_LeafTotalCost]]=0,Tasks[[#This Row],[_LeafAC]],Tasks[[#This Row],[_LeafAC]]*Tasks[[#This Row],[_LeafCost]]/Tasks[[#This Row],[_LeafTotalCost]])</f>
        <v>0</v>
      </c>
      <c r="CS8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6" s="38" t="n">
        <f aca="false">IF(NOT(Tasks[[#This Row],[_IsLeaf]]=1),0,MAX(_xlfn.MAXIFS(Tasks[_Row],Tasks[Pred1 UID],Tasks[[#This Row],[UID]]),_xlfn.MAXIFS(Tasks[_Row],Tasks[Pred2 UID],Tasks[[#This Row],[UID]]),_xlfn.MAXIFS(Tasks[_Row],Tasks[Pred3 UID],Tasks[[#This Row],[UID]]),_xlfn.MAXIFS(Tasks[_Row],Tasks[Pred4 UID],Tasks[[#This Row],[UID]])))</f>
        <v>0</v>
      </c>
      <c r="DB8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6" s="115" t="str">
        <f aca="false">IF(NOT(Tasks[[#This Row],[_IsLeaf]]=1),"",IF(N(Tasks[[#This Row],[Duration]])&lt;=0,Tasks[[#This Row],[_LeafLateFinish]],WORKDAY.INTL(Tasks[[#This Row],[_LeafLateFinish]],-(Tasks[[#This Row],[Duration]]-1),WorkWeek,Holidays)))</f>
        <v/>
      </c>
      <c r="DE8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6" s="114" t="b">
        <f aca="false">AND(Tasks[[#This Row],[_IsLeaf]]=1,Tasks[[#This Row],[_LeafProgress]]&lt;1,N(Tasks[[#This Row],[_LeafTotalSlack]])&lt;=CriticalSlackDays)</f>
        <v>0</v>
      </c>
      <c r="DG86" s="38" t="n">
        <f aca="false">IF(AND(Tasks[[#This Row],[_IsLeaf]]=1,Tasks[[#This Row],[_ConstraintCode]]=1,Tasks[[#This Row],[Mode]]&lt;&gt;"Manual",N(Tasks[[#This Row],[Actual Start]])=0),MAX(0,N(Tasks[[#This Row],[Free Slack]])),0)</f>
        <v>0</v>
      </c>
      <c r="DH86" s="115" t="str">
        <f aca="false">IF(NOT(Tasks[[#This Row],[_IsLeaf]]=1),"",IF(Tasks[[#This Row],[_AlapShift]]=0,Tasks[[#This Row],[_LeafCalcStart]],WORKDAY.INTL(Tasks[[#This Row],[_LeafCalcStart]],Tasks[[#This Row],[_AlapShift]],WorkWeek,Holidays)))</f>
        <v/>
      </c>
      <c r="DI86" s="115" t="str">
        <f aca="false">IF(NOT(Tasks[[#This Row],[_IsLeaf]]=1),"",IF(Tasks[[#This Row],[_AlapShift]]=0,Tasks[[#This Row],[_LeafCalcFinish]],WORKDAY.INTL(Tasks[[#This Row],[_LeafCalcFinish]],Tasks[[#This Row],[_AlapShift]],WorkWeek,Holidays)))</f>
        <v/>
      </c>
      <c r="DJ86" s="115" t="str">
        <f aca="false">IF(NOT(Tasks[[#This Row],[_IsLeaf]]=1),"",IF(Tasks[[#This Row],[_AlapShift]]=0,Tasks[[#This Row],[_LeafFcstStart]],WORKDAY.INTL(Tasks[[#This Row],[_LeafFcstStart]],Tasks[[#This Row],[_AlapShift]],WorkWeek,Holidays)))</f>
        <v/>
      </c>
      <c r="DK86" s="115" t="str">
        <f aca="false">IF(NOT(Tasks[[#This Row],[_IsLeaf]]=1),"",IF(Tasks[[#This Row],[_AlapShift]]=0,Tasks[[#This Row],[_LeafFcstFinish]],WORKDAY.INTL(Tasks[[#This Row],[_LeafFcstFinish]],Tasks[[#This Row],[_AlapShift]],WorkWeek,Holidays)))</f>
        <v/>
      </c>
      <c r="DL86" s="115" t="str">
        <f aca="false">IF(Tasks[[#This Row],[Task Name]]="","",IF(Tasks[[#This Row],[_IsSummary]],MIN(INDEX(Tasks[_ShownCalcStart],Tasks[[#This Row],[_Row]]+1):INDEX(Tasks[_ShownCalcStart],Tasks[[#This Row],[_Row]]+Tasks[[#This Row],[_Descendants]])),Tasks[[#This Row],[_ShownCalcStart]]))</f>
        <v/>
      </c>
      <c r="DM86" s="115" t="str">
        <f aca="false">IF(Tasks[[#This Row],[Task Name]]="","",IF(Tasks[[#This Row],[_IsSummary]],MAX(INDEX(Tasks[_ShownCalcFinish],Tasks[[#This Row],[_Row]]+1):INDEX(Tasks[_ShownCalcFinish],Tasks[[#This Row],[_Row]]+Tasks[[#This Row],[_Descendants]])),Tasks[[#This Row],[_ShownCalcFinish]]))</f>
        <v/>
      </c>
      <c r="DN8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6" s="38" t="n">
        <f aca="false">IF(AND(Tasks[[#This Row],[_IsLeaf]]=1,Tasks[[#This Row],[_LeafTotalWork]]&gt;0),NETWORKDAYS.INTL(ProjectStart,Tasks[[#This Row],[_ShownFcstStart]],WorkWeek,Holidays),0)</f>
        <v>0</v>
      </c>
      <c r="EA86" s="38" t="n">
        <f aca="false">IF(AND(Tasks[[#This Row],[_IsLeaf]]=1,Tasks[[#This Row],[_LeafTotalWork]]&gt;0),MAX(Tasks[[#This Row],[_StartWorkday]],NETWORKDAYS.INTL(ProjectStart,Tasks[[#This Row],[_ShownFcstFinish]],WorkWeek,Holidays)),0)</f>
        <v>0</v>
      </c>
      <c r="EB86" s="38" t="n">
        <f aca="false">IF(AND(Tasks[[#This Row],[_IsLeaf]]=1,Tasks[[#This Row],[_LeafTotalWork]]&gt;0),Tasks[[#This Row],[_LeafWork]]/(Tasks[[#This Row],[_FinishWorkday]]-Tasks[[#This Row],[_StartWorkday]]+1),0)</f>
        <v>0</v>
      </c>
      <c r="EC86" s="38" t="n">
        <f aca="false">Tasks[[#This Row],[_WorkPerWorkday]]*(Tasks[[#This Row],[_StartWorkday]]-1)</f>
        <v>-0</v>
      </c>
      <c r="ED86" s="38" t="n">
        <f aca="false">IF(Tasks[[#This Row],[_IsLeaf]]=1,MAX(N(Tasks[[#This Row],[Duration]]),0.1),0)</f>
        <v>0</v>
      </c>
      <c r="EE86" s="38" t="n">
        <f aca="false">Tasks[[#This Row],[_WeightDur]]*Tasks[[#This Row],[_LeafProgress]]</f>
        <v>0</v>
      </c>
      <c r="EF8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6" s="38" t="str">
        <f aca="false">IF(AND(Tasks[[#This Row],[_IsLeaf]]=1,N(Tasks[[#This Row],[Duration]])=0,Tasks[[#This Row],[_LeafProgress]]&lt;1),Tasks[[#This Row],[_ShownFcstFinish]]+Tasks[[#This Row],[_Row]]/100000,"")</f>
        <v/>
      </c>
      <c r="EH8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6" s="38" t="n">
        <f aca="false">IF(NOT(Tasks[[#This Row],[_IsLeaf]]=1),0,IF(Tasks[[#This Row],[Baseline Cost]]="",Tasks[[#This Row],[_LeafTotalCost]],N(Tasks[[#This Row],[Baseline Cost]])))</f>
        <v>0</v>
      </c>
      <c r="EJ86" s="38" t="n">
        <f aca="false">Tasks[[#This Row],[_LeafBudget]]*Tasks[[#This Row],[_PlannedPct]]</f>
        <v>0</v>
      </c>
      <c r="EK86" s="38" t="n">
        <f aca="false">Tasks[[#This Row],[_LeafBudget]]*Tasks[[#This Row],[_LeafProgress]]</f>
        <v>0</v>
      </c>
      <c r="EL86" s="38" t="n">
        <f aca="false">IF(NOT(Tasks[[#This Row],[_IsLeaf]]=1),0,IF(Tasks[[#This Row],[Actual Cost]]="",Tasks[[#This Row],[_LeafTotalCost]]*Tasks[[#This Row],[_LeafProgress]],N(Tasks[[#This Row],[Actual Cost]])))</f>
        <v>0</v>
      </c>
      <c r="EM86" s="38" t="str">
        <f aca="false">IF(Tasks[[#This Row],[Task Name]]="","",LEFT(Tasks[[#This Row],[WBS]],FIND(".",Tasks[[#This Row],[WBS]]&amp;".")-1))</f>
        <v/>
      </c>
      <c r="EN86" s="38" t="str">
        <f aca="false">IF(AND(Tasks[[#This Row],[Task Name]]&lt;&gt;"",Tasks[[#This Row],[_Level]]=1),Tasks[[#This Row],[_Row]],"")</f>
        <v/>
      </c>
      <c r="EO86" s="38" t="str">
        <f aca="false">IF(AND(Tasks[[#This Row],[_IsLeaf]]=1,N(Tasks[[#This Row],[Duration]])=0),Tasks[[#This Row],[Planned Finish]]+Tasks[[#This Row],[_Row]]/100000,"")</f>
        <v/>
      </c>
      <c r="EP86" s="38" t="str">
        <f aca="false">IF(AND(Tasks[[#This Row],[_IsLeaf]]=1,Tasks[[#This Row],[_LeafProgress]]&lt;1,OR(N(Tasks[[#This Row],[Finish Var]])&gt;0,Tasks[[#This Row],[Status]]="Late Start")),MAX(0,Tasks[[#This Row],[Finish Var]])+1-Tasks[[#This Row],[_Row]]/1000000,"")</f>
        <v/>
      </c>
      <c r="EQ86" s="38" t="str">
        <f aca="false">IF(AND(Tasks[[#This Row],[_IsLeaf]]=1,N(Tasks[[#This Row],[Actual Start]])=0,Tasks[[#This Row],[_ShownFcstStart]]&gt;=StatusDate,Tasks[[#This Row],[_ShownFcstStart]]&lt;=LookaheadEnd),Tasks[[#This Row],[_ShownFcstStart]]+Tasks[[#This Row],[_Row]]/100000,"")</f>
        <v/>
      </c>
      <c r="ER86" s="38" t="str">
        <f aca="false">IF(AND(Tasks[[#This Row],[_IsLeaf]]=1,Tasks[[#This Row],[_LeafProgress]]&lt;1,Tasks[[#This Row],[_ShownFcstFinish]]&gt;=StatusDate,Tasks[[#This Row],[_ShownFcstFinish]]&lt;=LookaheadEnd),Tasks[[#This Row],[_ShownFcstFinish]]+Tasks[[#This Row],[_Row]]/100000,"")</f>
        <v/>
      </c>
      <c r="ES86" s="38" t="str">
        <f aca="false">IF(Tasks[[#This Row],[_LeafCritical]],Tasks[[#This Row],[_ShownFcstStart]]+Tasks[[#This Row],[_Row]]/100000,"")</f>
        <v/>
      </c>
      <c r="ET86" s="38" t="n">
        <f aca="false">Tasks[[#This Row],[_LeafWork]]*Tasks[[#This Row],[_LeafProgress]]</f>
        <v>0</v>
      </c>
      <c r="EU86" s="115" t="str">
        <f aca="false">IF(AND(Tasks[[#This Row],[_IsLeaf]]=1,Tasks[[#This Row],[_LeafProgress]]&gt;=1),IF(N(Tasks[[#This Row],[Actual Finish]])&gt;0,Tasks[[#This Row],[Actual Finish]],Tasks[[#This Row],[_ShownFcstFinish]]),"")</f>
        <v/>
      </c>
      <c r="EV86" s="38" t="n">
        <f aca="false">IF(Tasks[[#This Row],[_IsLeaf]]=1,N(Tasks[[#This Row],[Story Points]]),0)</f>
        <v>0</v>
      </c>
      <c r="EW86" s="38" t="str">
        <f aca="false">IF(AND(Tasks[[#This Row],[_IsLeaf]]=1,CurrentSprint&lt;&gt;"",Tasks[[#This Row],[Sprint]]=CurrentSprint),Tasks[[#This Row],[_Row]],"")</f>
        <v/>
      </c>
    </row>
    <row r="87" customFormat="false" ht="15" hidden="false" customHeight="false" outlineLevel="0" collapsed="false">
      <c r="A87" s="51" t="str">
        <f aca="false">IF(Tasks[[#This Row],[Task Name]]="","",COUNTA(Tasks[[#Headers],[Task Name]]:Tasks[[#This Row],[Task Name]])-1)</f>
        <v/>
      </c>
      <c r="B87" s="52" t="n">
        <v>82</v>
      </c>
      <c r="C8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52"/>
      <c r="E87" s="53"/>
      <c r="F87" s="52"/>
      <c r="G87" s="52"/>
      <c r="H87" s="52"/>
      <c r="I87" s="52"/>
      <c r="J87" s="52"/>
      <c r="K87" s="52"/>
      <c r="L87" s="52"/>
      <c r="M87" s="52"/>
      <c r="N87" s="52"/>
      <c r="O87" s="52"/>
      <c r="P87" s="52"/>
      <c r="Q87" s="52"/>
      <c r="R87" s="52"/>
      <c r="S87" s="53"/>
      <c r="T87" s="102"/>
      <c r="U87" s="102"/>
      <c r="V87" s="7"/>
      <c r="W87" s="7"/>
      <c r="X87" s="53"/>
      <c r="Y87" s="31" t="str">
        <f aca="false">IF(Tasks[[#This Row],[Task Name]]="","",IF(Tasks[[#This Row],[_IsSummary]],MIN(INDEX(Tasks[_ShownFcstStart],Tasks[[#This Row],[_Row]]+1):INDEX(Tasks[_ShownFcstStart],Tasks[[#This Row],[_Row]]+Tasks[[#This Row],[_Descendants]])),Tasks[[#This Row],[_ShownFcstStart]]))</f>
        <v/>
      </c>
      <c r="Z87" s="31" t="str">
        <f aca="false">IF(Tasks[[#This Row],[Task Name]]="","",IF(Tasks[[#This Row],[_IsSummary]],MAX(INDEX(Tasks[_ShownFcstFinish],Tasks[[#This Row],[_Row]]+1):INDEX(Tasks[_ShownFcstFinish],Tasks[[#This Row],[_Row]]+Tasks[[#This Row],[_Descendants]])),Tasks[[#This Row],[_ShownFcstFinish]]))</f>
        <v/>
      </c>
      <c r="AA87" s="51" t="str">
        <f aca="false">IF(Tasks[[#This Row],[Task Name]]="","",IF(Tasks[[#This Row],[Progress]]&gt;=1,"Complete",IF(OR(N(Tasks[[#This Row],[Actual Start]])&gt;0,Tasks[[#This Row],[Progress]]&gt;0),IF(Tasks[[#This Row],[Finish Var]]&gt;0,"Behind","In Progress"),IF(Tasks[[#This Row],[Planned Start]]&lt;StatusDate,"Late Start","Not Started"))))</f>
        <v/>
      </c>
      <c r="AB87" s="51" t="str">
        <f aca="false">IF(Tasks[[#This Row],[Task Name]]="","",IF(IF(Tasks[[#This Row],[_IsSummary]],COUNTIF(INDEX(Tasks[_LeafCritical],Tasks[[#This Row],[_Row]]+1):INDEX(Tasks[_LeafCritical],Tasks[[#This Row],[_Row]]+Tasks[[#This Row],[_Descendants]]),TRUE())&gt;0,Tasks[[#This Row],[_LeafCritical]]),"Yes",""))</f>
        <v/>
      </c>
      <c r="AC8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7" s="51" t="str">
        <f aca="false">IF(Tasks[[#This Row],[Task Name]]="","",IF(Tasks[[#This Row],[_Level]]&lt;=OutlineShowLevel,"Yes","No"))</f>
        <v/>
      </c>
      <c r="AE87" s="7"/>
      <c r="AF87" s="52"/>
      <c r="AG87" s="53"/>
      <c r="AH87" s="7"/>
      <c r="AI8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7" s="31" t="str">
        <f aca="false">IF(Tasks[[#This Row],[Task Name]]="","",IF(N(Tasks[[#This Row],[Baseline Start]])&gt;0,Tasks[[#This Row],[Baseline Start]],Tasks[[#This Row],[_CalcStart]]))</f>
        <v/>
      </c>
      <c r="AK87" s="31" t="str">
        <f aca="false">IF(Tasks[[#This Row],[Task Name]]="","",IF(N(Tasks[[#This Row],[Baseline Finish]])&gt;0,Tasks[[#This Row],[Baseline Finish]],Tasks[[#This Row],[_CalcFinish]]))</f>
        <v/>
      </c>
      <c r="AL8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7" s="31" t="str">
        <f aca="false">IF(Tasks[[#This Row],[Task Name]]="","",IF(Tasks[[#This Row],[_IsSummary]],MIN(INDEX(Tasks[_LeafLateStart],Tasks[[#This Row],[_Row]]+1):INDEX(Tasks[_LeafLateStart],Tasks[[#This Row],[_Row]]+Tasks[[#This Row],[_Descendants]])),Tasks[[#This Row],[_LeafLateStart]]))</f>
        <v/>
      </c>
      <c r="AN87" s="31" t="str">
        <f aca="false">IF(Tasks[[#This Row],[Task Name]]="","",IF(Tasks[[#This Row],[_IsSummary]],MAX(INDEX(Tasks[_LeafLateFinish],Tasks[[#This Row],[_Row]]+1):INDEX(Tasks[_LeafLateFinish],Tasks[[#This Row],[_Row]]+Tasks[[#This Row],[_Descendants]])),Tasks[[#This Row],[_LeafLateFinish]]))</f>
        <v/>
      </c>
      <c r="AO87" s="51" t="str">
        <f aca="false">IF(Tasks[[#This Row],[Task Name]]="","",IF(Tasks[[#This Row],[_IsSummary]],MIN(INDEX(Tasks[_LeafTotalSlack],Tasks[[#This Row],[_Row]]+1):INDEX(Tasks[_LeafTotalSlack],Tasks[[#This Row],[_Row]]+Tasks[[#This Row],[_Descendants]])),Tasks[[#This Row],[_LeafTotalSlack]]))</f>
        <v/>
      </c>
      <c r="AP8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7" s="110" t="str">
        <f aca="false">IF(Tasks[[#This Row],[Task Name]]="","",IF(Tasks[[#This Row],[_IsSummary]],SUM(INDEX(Tasks[_LeafTotalWork],Tasks[[#This Row],[_Row]]+1):INDEX(Tasks[_LeafTotalWork],Tasks[[#This Row],[_Row]]+Tasks[[#This Row],[_Descendants]])),Tasks[[#This Row],[_LeafTotalWork]]))</f>
        <v/>
      </c>
      <c r="AV8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7" s="111" t="str">
        <f aca="false">IF(Tasks[[#This Row],[Task Name]]="","",IF(Tasks[[#This Row],[_IsSummary]],SUM(INDEX(Tasks[_LeafTotalCost],Tasks[[#This Row],[_Row]]+1):INDEX(Tasks[_LeafTotalCost],Tasks[[#This Row],[_Row]]+Tasks[[#This Row],[_Descendants]])),Tasks[[#This Row],[_LeafTotalCost]]))</f>
        <v/>
      </c>
      <c r="AY87" s="112"/>
      <c r="AZ8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7" s="52"/>
      <c r="BB87" s="98"/>
      <c r="BC87" s="51" t="str">
        <f aca="false">IF(OR(Tasks[[#This Row],[Task Name]]="",Tasks[[#This Row],[Baseline Duration]]=""),"",Tasks[[#This Row],[BL Source Duration]]-N(Tasks[[#This Row],[Baseline Duration]]))</f>
        <v/>
      </c>
      <c r="BD87" s="110" t="str">
        <f aca="false">IF(OR(Tasks[[#This Row],[Task Name]]="",Tasks[[#This Row],[Baseline Work]]=""),"",Tasks[[#This Row],[Work]]-N(Tasks[[#This Row],[Baseline Work]]))</f>
        <v/>
      </c>
      <c r="BE87" s="111" t="str">
        <f aca="false">IF(OR(Tasks[[#This Row],[Task Name]]="",Tasks[[#This Row],[Baseline Cost]]=""),"",Tasks[[#This Row],[Cost]]-N(Tasks[[#This Row],[Baseline Cost]]))</f>
        <v/>
      </c>
      <c r="BF87" s="31" t="str">
        <f aca="false">IF(Tasks[[#This Row],[Task Name]]="","",Tasks[[#This Row],[Forecast Start]])</f>
        <v/>
      </c>
      <c r="BG87" s="31" t="str">
        <f aca="false">IF(Tasks[[#This Row],[Task Name]]="","",Tasks[[#This Row],[Forecast Finish]])</f>
        <v/>
      </c>
      <c r="BH87" s="51" t="str">
        <f aca="false">IF(Tasks[[#This Row],[Task Name]]="","",IF(Tasks[[#This Row],[_IsSummary]],NETWORKDAYS.INTL(Tasks[[#This Row],[Forecast Start]],Tasks[[#This Row],[Forecast Finish]],WorkWeek,Holidays),N(Tasks[[#This Row],[Duration]])))</f>
        <v/>
      </c>
      <c r="BI87" s="110" t="str">
        <f aca="false">IF(Tasks[[#This Row],[Task Name]]="","",Tasks[[#This Row],[Work]])</f>
        <v/>
      </c>
      <c r="BJ87" s="111" t="str">
        <f aca="false">IF(Tasks[[#This Row],[Task Name]]="","",Tasks[[#This Row],[Cost]])</f>
        <v/>
      </c>
      <c r="BK87" s="7"/>
      <c r="BL87" s="7"/>
      <c r="BM87" s="52"/>
      <c r="BN87" s="113"/>
      <c r="BO87" s="112"/>
      <c r="BP87" s="111" t="str">
        <f aca="false">IF(Tasks[[#This Row],[Task Name]]="","",IF(Tasks[[#This Row],[_IsSummary]],SUM(INDEX(Tasks[_LeafEV],Tasks[[#This Row],[_Row]]+1):INDEX(Tasks[_LeafEV],Tasks[[#This Row],[_Row]]+Tasks[[#This Row],[_Descendants]])),Tasks[[#This Row],[_LeafEV]]))</f>
        <v/>
      </c>
      <c r="BQ87" s="111" t="str">
        <f aca="false">IF(Tasks[[#This Row],[Task Name]]="","",IF(Tasks[[#This Row],[_IsSummary]],SUM(INDEX(Tasks[_LeafBudget],Tasks[[#This Row],[_Row]]+1):INDEX(Tasks[_LeafBudget],Tasks[[#This Row],[_Row]]+Tasks[[#This Row],[_Descendants]])),Tasks[[#This Row],[_LeafBudget]]))</f>
        <v/>
      </c>
      <c r="BR87" s="111" t="str">
        <f aca="false">IF(Tasks[[#This Row],[Task Name]]="","",IF(Tasks[[#This Row],[_IsSummary]],SUM(INDEX(Tasks[_LeafPV],Tasks[[#This Row],[_Row]]+1):INDEX(Tasks[_LeafPV],Tasks[[#This Row],[_Row]]+Tasks[[#This Row],[_Descendants]])),Tasks[[#This Row],[_LeafPV]]))</f>
        <v/>
      </c>
      <c r="BS87" s="111" t="str">
        <f aca="false">IF(Tasks[[#This Row],[Task Name]]="","",IF(Tasks[[#This Row],[_IsSummary]],SUM(INDEX(Tasks[_LeafAC],Tasks[[#This Row],[_Row]]+1):INDEX(Tasks[_LeafAC],Tasks[[#This Row],[_Row]]+Tasks[[#This Row],[_Descendants]])),Tasks[[#This Row],[_LeafAC]]))</f>
        <v/>
      </c>
      <c r="BT87" s="38" t="str">
        <f aca="false">IF(Tasks[[#This Row],[Task Name]]="","",MAX(1,N(Tasks[[#This Row],[Level]])))</f>
        <v/>
      </c>
      <c r="BU87" s="38" t="n">
        <f aca="false">ROW()-ROW(Tasks[[#Headers],[ID]])</f>
        <v>82</v>
      </c>
      <c r="BV87" s="38" t="n">
        <f aca="false">IF(OR(Tasks[[#This Row],[Task Name]]="",Tasks[[#This Row],[_Level]]&lt;=1),0,IFERROR(LOOKUP(2,1/(Tasks[[#Headers],[_Level]]:Tasks[[#This Row],[_Level]]=Tasks[[#This Row],[_Level]]-1),ROW(Tasks[[#Headers],[_Level]]:Tasks[[#This Row],[_Level]])),0))</f>
        <v>0</v>
      </c>
      <c r="BW87" s="38" t="n">
        <f aca="false">IFERROR(N(INDEX(Tasks[_Level],Tasks[[#This Row],[_Row]]+1)),0)</f>
        <v>0</v>
      </c>
      <c r="BX87" s="114" t="b">
        <f aca="false">AND(Tasks[[#This Row],[Task Name]]&lt;&gt;"",Tasks[[#This Row],[_NextLevel]]&gt;Tasks[[#This Row],[_Level]])</f>
        <v>0</v>
      </c>
      <c r="BY87" s="38" t="n">
        <f aca="false">IF(Tasks[[#This Row],[_IsSummary]],COUNTIF(Tasks[WBS],Tasks[[#This Row],[WBS]]&amp;".*"),0)</f>
        <v>0</v>
      </c>
      <c r="BZ87" s="38" t="n">
        <f aca="false">IF(AND(Tasks[[#This Row],[Task Name]]&lt;&gt;"",NOT(Tasks[[#This Row],[_IsSummary]])),1,0)</f>
        <v>0</v>
      </c>
      <c r="CA87" s="38" t="n">
        <f aca="false">IF(N(Tasks[[#This Row],[Pred1 UID]])=0,0,IFERROR(MATCH(Tasks[[#This Row],[Pred1 UID]],Tasks[UID],0),-1))</f>
        <v>0</v>
      </c>
      <c r="CB87" s="38" t="n">
        <f aca="false">IF(N(Tasks[[#This Row],[Pred2 UID]])=0,0,IFERROR(MATCH(Tasks[[#This Row],[Pred2 UID]],Tasks[UID],0),-1))</f>
        <v>0</v>
      </c>
      <c r="CC87" s="38" t="n">
        <f aca="false">IF(N(Tasks[[#This Row],[Pred3 UID]])=0,0,IFERROR(MATCH(Tasks[[#This Row],[Pred3 UID]],Tasks[UID],0),-1))</f>
        <v>0</v>
      </c>
      <c r="CD87" s="38" t="n">
        <f aca="false">IF(N(Tasks[[#This Row],[Pred4 UID]])=0,0,IFERROR(MATCH(Tasks[[#This Row],[Pred4 UID]],Tasks[UID],0),-1))</f>
        <v>0</v>
      </c>
      <c r="CE8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7" s="115" t="n">
        <f aca="false">IF(OR(Tasks[[#This Row],[_ConstraintCode]]=2,Tasks[[#This Row],[_ConstraintCode]]=3,Tasks[[#This Row],[_ConstraintCode]]=4,Tasks[[#This Row],[_ConstraintCode]]=6),Tasks[[#This Row],[_ConstraintStart]],0)</f>
        <v>0</v>
      </c>
      <c r="CH87" s="115" t="n">
        <f aca="false">IF(OR(Tasks[[#This Row],[_ConstraintCode]]=2,Tasks[[#This Row],[_ConstraintCode]]=3,Tasks[[#This Row],[_ConstraintCode]]=5,Tasks[[#This Row],[_ConstraintCode]]=7),Tasks[[#This Row],[_ConstraintStart]],2958465)</f>
        <v>2958465</v>
      </c>
      <c r="CI8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7" s="115" t="str">
        <f aca="false">IF(NOT(Tasks[[#This Row],[_IsLeaf]]=1),"",IF(N(Tasks[[#This Row],[Duration]])&lt;=0,Tasks[[#This Row],[_LeafCalcStart]],WORKDAY.INTL(Tasks[[#This Row],[_LeafCalcStart]],Tasks[[#This Row],[Duration]]-1,WorkWeek,Holidays)))</f>
        <v/>
      </c>
      <c r="CK8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7" s="38" t="n">
        <f aca="false">IF(NOT(Tasks[[#This Row],[_IsLeaf]]=1),0,IF(N(Tasks[[#This Row],[Actual Finish]])&gt;0,1,MIN(1,N(Tasks[[#This Row],[% Complete]]))))</f>
        <v>0</v>
      </c>
      <c r="CN87" s="38" t="n">
        <f aca="false">IF(OR(NOT(Tasks[[#This Row],[_IsLeaf]]=1),Tasks[[#This Row],[Resource]]=""),0,N(Tasks[[#This Row],[Duration]])*HoursPerDay*IF(Tasks[[#This Row],[Units]]="",DefaultUnits,Tasks[[#This Row],[Units]]))</f>
        <v>0</v>
      </c>
      <c r="CO87" s="38" t="n">
        <f aca="false">IF(Tasks[[#This Row],[_LeafWork]]=0,0,Tasks[[#This Row],[_LeafWork]]*IFERROR(INDEX(res_Rate,MATCH(Tasks[[#This Row],[Resource]],res_Name,0)),0))</f>
        <v>0</v>
      </c>
      <c r="CP87" s="38" t="n">
        <f aca="false">Tasks[[#This Row],[_LeafWork]]+IF(Tasks[[#This Row],[_IsLeaf]]=1,SUMIFS(asg_Work,asg_TaskUID,Tasks[[#This Row],[UID]],asg_Valid,1),0)</f>
        <v>0</v>
      </c>
      <c r="CQ87" s="38" t="n">
        <f aca="false">Tasks[[#This Row],[_LeafCost]]+IF(Tasks[[#This Row],[_IsLeaf]]=1,SUMIFS(asg_Cost,asg_TaskUID,Tasks[[#This Row],[UID]],asg_Valid,1),0)</f>
        <v>0</v>
      </c>
      <c r="CR87" s="38" t="n">
        <f aca="false">IF(Tasks[[#This Row],[_LeafTotalCost]]=0,Tasks[[#This Row],[_LeafAC]],Tasks[[#This Row],[_LeafAC]]*Tasks[[#This Row],[_LeafCost]]/Tasks[[#This Row],[_LeafTotalCost]])</f>
        <v>0</v>
      </c>
      <c r="CS8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7" s="38" t="n">
        <f aca="false">IF(NOT(Tasks[[#This Row],[_IsLeaf]]=1),0,MAX(_xlfn.MAXIFS(Tasks[_Row],Tasks[Pred1 UID],Tasks[[#This Row],[UID]]),_xlfn.MAXIFS(Tasks[_Row],Tasks[Pred2 UID],Tasks[[#This Row],[UID]]),_xlfn.MAXIFS(Tasks[_Row],Tasks[Pred3 UID],Tasks[[#This Row],[UID]]),_xlfn.MAXIFS(Tasks[_Row],Tasks[Pred4 UID],Tasks[[#This Row],[UID]])))</f>
        <v>0</v>
      </c>
      <c r="DB8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7" s="115" t="str">
        <f aca="false">IF(NOT(Tasks[[#This Row],[_IsLeaf]]=1),"",IF(N(Tasks[[#This Row],[Duration]])&lt;=0,Tasks[[#This Row],[_LeafLateFinish]],WORKDAY.INTL(Tasks[[#This Row],[_LeafLateFinish]],-(Tasks[[#This Row],[Duration]]-1),WorkWeek,Holidays)))</f>
        <v/>
      </c>
      <c r="DE8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7" s="114" t="b">
        <f aca="false">AND(Tasks[[#This Row],[_IsLeaf]]=1,Tasks[[#This Row],[_LeafProgress]]&lt;1,N(Tasks[[#This Row],[_LeafTotalSlack]])&lt;=CriticalSlackDays)</f>
        <v>0</v>
      </c>
      <c r="DG87" s="38" t="n">
        <f aca="false">IF(AND(Tasks[[#This Row],[_IsLeaf]]=1,Tasks[[#This Row],[_ConstraintCode]]=1,Tasks[[#This Row],[Mode]]&lt;&gt;"Manual",N(Tasks[[#This Row],[Actual Start]])=0),MAX(0,N(Tasks[[#This Row],[Free Slack]])),0)</f>
        <v>0</v>
      </c>
      <c r="DH87" s="115" t="str">
        <f aca="false">IF(NOT(Tasks[[#This Row],[_IsLeaf]]=1),"",IF(Tasks[[#This Row],[_AlapShift]]=0,Tasks[[#This Row],[_LeafCalcStart]],WORKDAY.INTL(Tasks[[#This Row],[_LeafCalcStart]],Tasks[[#This Row],[_AlapShift]],WorkWeek,Holidays)))</f>
        <v/>
      </c>
      <c r="DI87" s="115" t="str">
        <f aca="false">IF(NOT(Tasks[[#This Row],[_IsLeaf]]=1),"",IF(Tasks[[#This Row],[_AlapShift]]=0,Tasks[[#This Row],[_LeafCalcFinish]],WORKDAY.INTL(Tasks[[#This Row],[_LeafCalcFinish]],Tasks[[#This Row],[_AlapShift]],WorkWeek,Holidays)))</f>
        <v/>
      </c>
      <c r="DJ87" s="115" t="str">
        <f aca="false">IF(NOT(Tasks[[#This Row],[_IsLeaf]]=1),"",IF(Tasks[[#This Row],[_AlapShift]]=0,Tasks[[#This Row],[_LeafFcstStart]],WORKDAY.INTL(Tasks[[#This Row],[_LeafFcstStart]],Tasks[[#This Row],[_AlapShift]],WorkWeek,Holidays)))</f>
        <v/>
      </c>
      <c r="DK87" s="115" t="str">
        <f aca="false">IF(NOT(Tasks[[#This Row],[_IsLeaf]]=1),"",IF(Tasks[[#This Row],[_AlapShift]]=0,Tasks[[#This Row],[_LeafFcstFinish]],WORKDAY.INTL(Tasks[[#This Row],[_LeafFcstFinish]],Tasks[[#This Row],[_AlapShift]],WorkWeek,Holidays)))</f>
        <v/>
      </c>
      <c r="DL87" s="115" t="str">
        <f aca="false">IF(Tasks[[#This Row],[Task Name]]="","",IF(Tasks[[#This Row],[_IsSummary]],MIN(INDEX(Tasks[_ShownCalcStart],Tasks[[#This Row],[_Row]]+1):INDEX(Tasks[_ShownCalcStart],Tasks[[#This Row],[_Row]]+Tasks[[#This Row],[_Descendants]])),Tasks[[#This Row],[_ShownCalcStart]]))</f>
        <v/>
      </c>
      <c r="DM87" s="115" t="str">
        <f aca="false">IF(Tasks[[#This Row],[Task Name]]="","",IF(Tasks[[#This Row],[_IsSummary]],MAX(INDEX(Tasks[_ShownCalcFinish],Tasks[[#This Row],[_Row]]+1):INDEX(Tasks[_ShownCalcFinish],Tasks[[#This Row],[_Row]]+Tasks[[#This Row],[_Descendants]])),Tasks[[#This Row],[_ShownCalcFinish]]))</f>
        <v/>
      </c>
      <c r="DN8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7" s="38" t="n">
        <f aca="false">IF(AND(Tasks[[#This Row],[_IsLeaf]]=1,Tasks[[#This Row],[_LeafTotalWork]]&gt;0),NETWORKDAYS.INTL(ProjectStart,Tasks[[#This Row],[_ShownFcstStart]],WorkWeek,Holidays),0)</f>
        <v>0</v>
      </c>
      <c r="EA87" s="38" t="n">
        <f aca="false">IF(AND(Tasks[[#This Row],[_IsLeaf]]=1,Tasks[[#This Row],[_LeafTotalWork]]&gt;0),MAX(Tasks[[#This Row],[_StartWorkday]],NETWORKDAYS.INTL(ProjectStart,Tasks[[#This Row],[_ShownFcstFinish]],WorkWeek,Holidays)),0)</f>
        <v>0</v>
      </c>
      <c r="EB87" s="38" t="n">
        <f aca="false">IF(AND(Tasks[[#This Row],[_IsLeaf]]=1,Tasks[[#This Row],[_LeafTotalWork]]&gt;0),Tasks[[#This Row],[_LeafWork]]/(Tasks[[#This Row],[_FinishWorkday]]-Tasks[[#This Row],[_StartWorkday]]+1),0)</f>
        <v>0</v>
      </c>
      <c r="EC87" s="38" t="n">
        <f aca="false">Tasks[[#This Row],[_WorkPerWorkday]]*(Tasks[[#This Row],[_StartWorkday]]-1)</f>
        <v>-0</v>
      </c>
      <c r="ED87" s="38" t="n">
        <f aca="false">IF(Tasks[[#This Row],[_IsLeaf]]=1,MAX(N(Tasks[[#This Row],[Duration]]),0.1),0)</f>
        <v>0</v>
      </c>
      <c r="EE87" s="38" t="n">
        <f aca="false">Tasks[[#This Row],[_WeightDur]]*Tasks[[#This Row],[_LeafProgress]]</f>
        <v>0</v>
      </c>
      <c r="EF8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7" s="38" t="str">
        <f aca="false">IF(AND(Tasks[[#This Row],[_IsLeaf]]=1,N(Tasks[[#This Row],[Duration]])=0,Tasks[[#This Row],[_LeafProgress]]&lt;1),Tasks[[#This Row],[_ShownFcstFinish]]+Tasks[[#This Row],[_Row]]/100000,"")</f>
        <v/>
      </c>
      <c r="EH8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7" s="38" t="n">
        <f aca="false">IF(NOT(Tasks[[#This Row],[_IsLeaf]]=1),0,IF(Tasks[[#This Row],[Baseline Cost]]="",Tasks[[#This Row],[_LeafTotalCost]],N(Tasks[[#This Row],[Baseline Cost]])))</f>
        <v>0</v>
      </c>
      <c r="EJ87" s="38" t="n">
        <f aca="false">Tasks[[#This Row],[_LeafBudget]]*Tasks[[#This Row],[_PlannedPct]]</f>
        <v>0</v>
      </c>
      <c r="EK87" s="38" t="n">
        <f aca="false">Tasks[[#This Row],[_LeafBudget]]*Tasks[[#This Row],[_LeafProgress]]</f>
        <v>0</v>
      </c>
      <c r="EL87" s="38" t="n">
        <f aca="false">IF(NOT(Tasks[[#This Row],[_IsLeaf]]=1),0,IF(Tasks[[#This Row],[Actual Cost]]="",Tasks[[#This Row],[_LeafTotalCost]]*Tasks[[#This Row],[_LeafProgress]],N(Tasks[[#This Row],[Actual Cost]])))</f>
        <v>0</v>
      </c>
      <c r="EM87" s="38" t="str">
        <f aca="false">IF(Tasks[[#This Row],[Task Name]]="","",LEFT(Tasks[[#This Row],[WBS]],FIND(".",Tasks[[#This Row],[WBS]]&amp;".")-1))</f>
        <v/>
      </c>
      <c r="EN87" s="38" t="str">
        <f aca="false">IF(AND(Tasks[[#This Row],[Task Name]]&lt;&gt;"",Tasks[[#This Row],[_Level]]=1),Tasks[[#This Row],[_Row]],"")</f>
        <v/>
      </c>
      <c r="EO87" s="38" t="str">
        <f aca="false">IF(AND(Tasks[[#This Row],[_IsLeaf]]=1,N(Tasks[[#This Row],[Duration]])=0),Tasks[[#This Row],[Planned Finish]]+Tasks[[#This Row],[_Row]]/100000,"")</f>
        <v/>
      </c>
      <c r="EP87" s="38" t="str">
        <f aca="false">IF(AND(Tasks[[#This Row],[_IsLeaf]]=1,Tasks[[#This Row],[_LeafProgress]]&lt;1,OR(N(Tasks[[#This Row],[Finish Var]])&gt;0,Tasks[[#This Row],[Status]]="Late Start")),MAX(0,Tasks[[#This Row],[Finish Var]])+1-Tasks[[#This Row],[_Row]]/1000000,"")</f>
        <v/>
      </c>
      <c r="EQ87" s="38" t="str">
        <f aca="false">IF(AND(Tasks[[#This Row],[_IsLeaf]]=1,N(Tasks[[#This Row],[Actual Start]])=0,Tasks[[#This Row],[_ShownFcstStart]]&gt;=StatusDate,Tasks[[#This Row],[_ShownFcstStart]]&lt;=LookaheadEnd),Tasks[[#This Row],[_ShownFcstStart]]+Tasks[[#This Row],[_Row]]/100000,"")</f>
        <v/>
      </c>
      <c r="ER87" s="38" t="str">
        <f aca="false">IF(AND(Tasks[[#This Row],[_IsLeaf]]=1,Tasks[[#This Row],[_LeafProgress]]&lt;1,Tasks[[#This Row],[_ShownFcstFinish]]&gt;=StatusDate,Tasks[[#This Row],[_ShownFcstFinish]]&lt;=LookaheadEnd),Tasks[[#This Row],[_ShownFcstFinish]]+Tasks[[#This Row],[_Row]]/100000,"")</f>
        <v/>
      </c>
      <c r="ES87" s="38" t="str">
        <f aca="false">IF(Tasks[[#This Row],[_LeafCritical]],Tasks[[#This Row],[_ShownFcstStart]]+Tasks[[#This Row],[_Row]]/100000,"")</f>
        <v/>
      </c>
      <c r="ET87" s="38" t="n">
        <f aca="false">Tasks[[#This Row],[_LeafWork]]*Tasks[[#This Row],[_LeafProgress]]</f>
        <v>0</v>
      </c>
      <c r="EU87" s="115" t="str">
        <f aca="false">IF(AND(Tasks[[#This Row],[_IsLeaf]]=1,Tasks[[#This Row],[_LeafProgress]]&gt;=1),IF(N(Tasks[[#This Row],[Actual Finish]])&gt;0,Tasks[[#This Row],[Actual Finish]],Tasks[[#This Row],[_ShownFcstFinish]]),"")</f>
        <v/>
      </c>
      <c r="EV87" s="38" t="n">
        <f aca="false">IF(Tasks[[#This Row],[_IsLeaf]]=1,N(Tasks[[#This Row],[Story Points]]),0)</f>
        <v>0</v>
      </c>
      <c r="EW87" s="38" t="str">
        <f aca="false">IF(AND(Tasks[[#This Row],[_IsLeaf]]=1,CurrentSprint&lt;&gt;"",Tasks[[#This Row],[Sprint]]=CurrentSprint),Tasks[[#This Row],[_Row]],"")</f>
        <v/>
      </c>
    </row>
    <row r="88" customFormat="false" ht="15" hidden="false" customHeight="false" outlineLevel="0" collapsed="false">
      <c r="A88" s="51" t="str">
        <f aca="false">IF(Tasks[[#This Row],[Task Name]]="","",COUNTA(Tasks[[#Headers],[Task Name]]:Tasks[[#This Row],[Task Name]])-1)</f>
        <v/>
      </c>
      <c r="B88" s="52" t="n">
        <v>83</v>
      </c>
      <c r="C8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52"/>
      <c r="E88" s="53"/>
      <c r="F88" s="52"/>
      <c r="G88" s="52"/>
      <c r="H88" s="52"/>
      <c r="I88" s="52"/>
      <c r="J88" s="52"/>
      <c r="K88" s="52"/>
      <c r="L88" s="52"/>
      <c r="M88" s="52"/>
      <c r="N88" s="52"/>
      <c r="O88" s="52"/>
      <c r="P88" s="52"/>
      <c r="Q88" s="52"/>
      <c r="R88" s="52"/>
      <c r="S88" s="53"/>
      <c r="T88" s="102"/>
      <c r="U88" s="102"/>
      <c r="V88" s="7"/>
      <c r="W88" s="7"/>
      <c r="X88" s="53"/>
      <c r="Y88" s="31" t="str">
        <f aca="false">IF(Tasks[[#This Row],[Task Name]]="","",IF(Tasks[[#This Row],[_IsSummary]],MIN(INDEX(Tasks[_ShownFcstStart],Tasks[[#This Row],[_Row]]+1):INDEX(Tasks[_ShownFcstStart],Tasks[[#This Row],[_Row]]+Tasks[[#This Row],[_Descendants]])),Tasks[[#This Row],[_ShownFcstStart]]))</f>
        <v/>
      </c>
      <c r="Z88" s="31" t="str">
        <f aca="false">IF(Tasks[[#This Row],[Task Name]]="","",IF(Tasks[[#This Row],[_IsSummary]],MAX(INDEX(Tasks[_ShownFcstFinish],Tasks[[#This Row],[_Row]]+1):INDEX(Tasks[_ShownFcstFinish],Tasks[[#This Row],[_Row]]+Tasks[[#This Row],[_Descendants]])),Tasks[[#This Row],[_ShownFcstFinish]]))</f>
        <v/>
      </c>
      <c r="AA88" s="51" t="str">
        <f aca="false">IF(Tasks[[#This Row],[Task Name]]="","",IF(Tasks[[#This Row],[Progress]]&gt;=1,"Complete",IF(OR(N(Tasks[[#This Row],[Actual Start]])&gt;0,Tasks[[#This Row],[Progress]]&gt;0),IF(Tasks[[#This Row],[Finish Var]]&gt;0,"Behind","In Progress"),IF(Tasks[[#This Row],[Planned Start]]&lt;StatusDate,"Late Start","Not Started"))))</f>
        <v/>
      </c>
      <c r="AB88" s="51" t="str">
        <f aca="false">IF(Tasks[[#This Row],[Task Name]]="","",IF(IF(Tasks[[#This Row],[_IsSummary]],COUNTIF(INDEX(Tasks[_LeafCritical],Tasks[[#This Row],[_Row]]+1):INDEX(Tasks[_LeafCritical],Tasks[[#This Row],[_Row]]+Tasks[[#This Row],[_Descendants]]),TRUE())&gt;0,Tasks[[#This Row],[_LeafCritical]]),"Yes",""))</f>
        <v/>
      </c>
      <c r="AC8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8" s="51" t="str">
        <f aca="false">IF(Tasks[[#This Row],[Task Name]]="","",IF(Tasks[[#This Row],[_Level]]&lt;=OutlineShowLevel,"Yes","No"))</f>
        <v/>
      </c>
      <c r="AE88" s="7"/>
      <c r="AF88" s="52"/>
      <c r="AG88" s="53"/>
      <c r="AH88" s="7"/>
      <c r="AI8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8" s="31" t="str">
        <f aca="false">IF(Tasks[[#This Row],[Task Name]]="","",IF(N(Tasks[[#This Row],[Baseline Start]])&gt;0,Tasks[[#This Row],[Baseline Start]],Tasks[[#This Row],[_CalcStart]]))</f>
        <v/>
      </c>
      <c r="AK88" s="31" t="str">
        <f aca="false">IF(Tasks[[#This Row],[Task Name]]="","",IF(N(Tasks[[#This Row],[Baseline Finish]])&gt;0,Tasks[[#This Row],[Baseline Finish]],Tasks[[#This Row],[_CalcFinish]]))</f>
        <v/>
      </c>
      <c r="AL8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8" s="31" t="str">
        <f aca="false">IF(Tasks[[#This Row],[Task Name]]="","",IF(Tasks[[#This Row],[_IsSummary]],MIN(INDEX(Tasks[_LeafLateStart],Tasks[[#This Row],[_Row]]+1):INDEX(Tasks[_LeafLateStart],Tasks[[#This Row],[_Row]]+Tasks[[#This Row],[_Descendants]])),Tasks[[#This Row],[_LeafLateStart]]))</f>
        <v/>
      </c>
      <c r="AN88" s="31" t="str">
        <f aca="false">IF(Tasks[[#This Row],[Task Name]]="","",IF(Tasks[[#This Row],[_IsSummary]],MAX(INDEX(Tasks[_LeafLateFinish],Tasks[[#This Row],[_Row]]+1):INDEX(Tasks[_LeafLateFinish],Tasks[[#This Row],[_Row]]+Tasks[[#This Row],[_Descendants]])),Tasks[[#This Row],[_LeafLateFinish]]))</f>
        <v/>
      </c>
      <c r="AO88" s="51" t="str">
        <f aca="false">IF(Tasks[[#This Row],[Task Name]]="","",IF(Tasks[[#This Row],[_IsSummary]],MIN(INDEX(Tasks[_LeafTotalSlack],Tasks[[#This Row],[_Row]]+1):INDEX(Tasks[_LeafTotalSlack],Tasks[[#This Row],[_Row]]+Tasks[[#This Row],[_Descendants]])),Tasks[[#This Row],[_LeafTotalSlack]]))</f>
        <v/>
      </c>
      <c r="AP8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8" s="110" t="str">
        <f aca="false">IF(Tasks[[#This Row],[Task Name]]="","",IF(Tasks[[#This Row],[_IsSummary]],SUM(INDEX(Tasks[_LeafTotalWork],Tasks[[#This Row],[_Row]]+1):INDEX(Tasks[_LeafTotalWork],Tasks[[#This Row],[_Row]]+Tasks[[#This Row],[_Descendants]])),Tasks[[#This Row],[_LeafTotalWork]]))</f>
        <v/>
      </c>
      <c r="AV8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8" s="111" t="str">
        <f aca="false">IF(Tasks[[#This Row],[Task Name]]="","",IF(Tasks[[#This Row],[_IsSummary]],SUM(INDEX(Tasks[_LeafTotalCost],Tasks[[#This Row],[_Row]]+1):INDEX(Tasks[_LeafTotalCost],Tasks[[#This Row],[_Row]]+Tasks[[#This Row],[_Descendants]])),Tasks[[#This Row],[_LeafTotalCost]]))</f>
        <v/>
      </c>
      <c r="AY88" s="112"/>
      <c r="AZ8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8" s="52"/>
      <c r="BB88" s="98"/>
      <c r="BC88" s="51" t="str">
        <f aca="false">IF(OR(Tasks[[#This Row],[Task Name]]="",Tasks[[#This Row],[Baseline Duration]]=""),"",Tasks[[#This Row],[BL Source Duration]]-N(Tasks[[#This Row],[Baseline Duration]]))</f>
        <v/>
      </c>
      <c r="BD88" s="110" t="str">
        <f aca="false">IF(OR(Tasks[[#This Row],[Task Name]]="",Tasks[[#This Row],[Baseline Work]]=""),"",Tasks[[#This Row],[Work]]-N(Tasks[[#This Row],[Baseline Work]]))</f>
        <v/>
      </c>
      <c r="BE88" s="111" t="str">
        <f aca="false">IF(OR(Tasks[[#This Row],[Task Name]]="",Tasks[[#This Row],[Baseline Cost]]=""),"",Tasks[[#This Row],[Cost]]-N(Tasks[[#This Row],[Baseline Cost]]))</f>
        <v/>
      </c>
      <c r="BF88" s="31" t="str">
        <f aca="false">IF(Tasks[[#This Row],[Task Name]]="","",Tasks[[#This Row],[Forecast Start]])</f>
        <v/>
      </c>
      <c r="BG88" s="31" t="str">
        <f aca="false">IF(Tasks[[#This Row],[Task Name]]="","",Tasks[[#This Row],[Forecast Finish]])</f>
        <v/>
      </c>
      <c r="BH88" s="51" t="str">
        <f aca="false">IF(Tasks[[#This Row],[Task Name]]="","",IF(Tasks[[#This Row],[_IsSummary]],NETWORKDAYS.INTL(Tasks[[#This Row],[Forecast Start]],Tasks[[#This Row],[Forecast Finish]],WorkWeek,Holidays),N(Tasks[[#This Row],[Duration]])))</f>
        <v/>
      </c>
      <c r="BI88" s="110" t="str">
        <f aca="false">IF(Tasks[[#This Row],[Task Name]]="","",Tasks[[#This Row],[Work]])</f>
        <v/>
      </c>
      <c r="BJ88" s="111" t="str">
        <f aca="false">IF(Tasks[[#This Row],[Task Name]]="","",Tasks[[#This Row],[Cost]])</f>
        <v/>
      </c>
      <c r="BK88" s="7"/>
      <c r="BL88" s="7"/>
      <c r="BM88" s="52"/>
      <c r="BN88" s="113"/>
      <c r="BO88" s="112"/>
      <c r="BP88" s="111" t="str">
        <f aca="false">IF(Tasks[[#This Row],[Task Name]]="","",IF(Tasks[[#This Row],[_IsSummary]],SUM(INDEX(Tasks[_LeafEV],Tasks[[#This Row],[_Row]]+1):INDEX(Tasks[_LeafEV],Tasks[[#This Row],[_Row]]+Tasks[[#This Row],[_Descendants]])),Tasks[[#This Row],[_LeafEV]]))</f>
        <v/>
      </c>
      <c r="BQ88" s="111" t="str">
        <f aca="false">IF(Tasks[[#This Row],[Task Name]]="","",IF(Tasks[[#This Row],[_IsSummary]],SUM(INDEX(Tasks[_LeafBudget],Tasks[[#This Row],[_Row]]+1):INDEX(Tasks[_LeafBudget],Tasks[[#This Row],[_Row]]+Tasks[[#This Row],[_Descendants]])),Tasks[[#This Row],[_LeafBudget]]))</f>
        <v/>
      </c>
      <c r="BR88" s="111" t="str">
        <f aca="false">IF(Tasks[[#This Row],[Task Name]]="","",IF(Tasks[[#This Row],[_IsSummary]],SUM(INDEX(Tasks[_LeafPV],Tasks[[#This Row],[_Row]]+1):INDEX(Tasks[_LeafPV],Tasks[[#This Row],[_Row]]+Tasks[[#This Row],[_Descendants]])),Tasks[[#This Row],[_LeafPV]]))</f>
        <v/>
      </c>
      <c r="BS88" s="111" t="str">
        <f aca="false">IF(Tasks[[#This Row],[Task Name]]="","",IF(Tasks[[#This Row],[_IsSummary]],SUM(INDEX(Tasks[_LeafAC],Tasks[[#This Row],[_Row]]+1):INDEX(Tasks[_LeafAC],Tasks[[#This Row],[_Row]]+Tasks[[#This Row],[_Descendants]])),Tasks[[#This Row],[_LeafAC]]))</f>
        <v/>
      </c>
      <c r="BT88" s="38" t="str">
        <f aca="false">IF(Tasks[[#This Row],[Task Name]]="","",MAX(1,N(Tasks[[#This Row],[Level]])))</f>
        <v/>
      </c>
      <c r="BU88" s="38" t="n">
        <f aca="false">ROW()-ROW(Tasks[[#Headers],[ID]])</f>
        <v>83</v>
      </c>
      <c r="BV88" s="38" t="n">
        <f aca="false">IF(OR(Tasks[[#This Row],[Task Name]]="",Tasks[[#This Row],[_Level]]&lt;=1),0,IFERROR(LOOKUP(2,1/(Tasks[[#Headers],[_Level]]:Tasks[[#This Row],[_Level]]=Tasks[[#This Row],[_Level]]-1),ROW(Tasks[[#Headers],[_Level]]:Tasks[[#This Row],[_Level]])),0))</f>
        <v>0</v>
      </c>
      <c r="BW88" s="38" t="n">
        <f aca="false">IFERROR(N(INDEX(Tasks[_Level],Tasks[[#This Row],[_Row]]+1)),0)</f>
        <v>0</v>
      </c>
      <c r="BX88" s="114" t="b">
        <f aca="false">AND(Tasks[[#This Row],[Task Name]]&lt;&gt;"",Tasks[[#This Row],[_NextLevel]]&gt;Tasks[[#This Row],[_Level]])</f>
        <v>0</v>
      </c>
      <c r="BY88" s="38" t="n">
        <f aca="false">IF(Tasks[[#This Row],[_IsSummary]],COUNTIF(Tasks[WBS],Tasks[[#This Row],[WBS]]&amp;".*"),0)</f>
        <v>0</v>
      </c>
      <c r="BZ88" s="38" t="n">
        <f aca="false">IF(AND(Tasks[[#This Row],[Task Name]]&lt;&gt;"",NOT(Tasks[[#This Row],[_IsSummary]])),1,0)</f>
        <v>0</v>
      </c>
      <c r="CA88" s="38" t="n">
        <f aca="false">IF(N(Tasks[[#This Row],[Pred1 UID]])=0,0,IFERROR(MATCH(Tasks[[#This Row],[Pred1 UID]],Tasks[UID],0),-1))</f>
        <v>0</v>
      </c>
      <c r="CB88" s="38" t="n">
        <f aca="false">IF(N(Tasks[[#This Row],[Pred2 UID]])=0,0,IFERROR(MATCH(Tasks[[#This Row],[Pred2 UID]],Tasks[UID],0),-1))</f>
        <v>0</v>
      </c>
      <c r="CC88" s="38" t="n">
        <f aca="false">IF(N(Tasks[[#This Row],[Pred3 UID]])=0,0,IFERROR(MATCH(Tasks[[#This Row],[Pred3 UID]],Tasks[UID],0),-1))</f>
        <v>0</v>
      </c>
      <c r="CD88" s="38" t="n">
        <f aca="false">IF(N(Tasks[[#This Row],[Pred4 UID]])=0,0,IFERROR(MATCH(Tasks[[#This Row],[Pred4 UID]],Tasks[UID],0),-1))</f>
        <v>0</v>
      </c>
      <c r="CE8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8" s="115" t="n">
        <f aca="false">IF(OR(Tasks[[#This Row],[_ConstraintCode]]=2,Tasks[[#This Row],[_ConstraintCode]]=3,Tasks[[#This Row],[_ConstraintCode]]=4,Tasks[[#This Row],[_ConstraintCode]]=6),Tasks[[#This Row],[_ConstraintStart]],0)</f>
        <v>0</v>
      </c>
      <c r="CH88" s="115" t="n">
        <f aca="false">IF(OR(Tasks[[#This Row],[_ConstraintCode]]=2,Tasks[[#This Row],[_ConstraintCode]]=3,Tasks[[#This Row],[_ConstraintCode]]=5,Tasks[[#This Row],[_ConstraintCode]]=7),Tasks[[#This Row],[_ConstraintStart]],2958465)</f>
        <v>2958465</v>
      </c>
      <c r="CI8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8" s="115" t="str">
        <f aca="false">IF(NOT(Tasks[[#This Row],[_IsLeaf]]=1),"",IF(N(Tasks[[#This Row],[Duration]])&lt;=0,Tasks[[#This Row],[_LeafCalcStart]],WORKDAY.INTL(Tasks[[#This Row],[_LeafCalcStart]],Tasks[[#This Row],[Duration]]-1,WorkWeek,Holidays)))</f>
        <v/>
      </c>
      <c r="CK8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8" s="38" t="n">
        <f aca="false">IF(NOT(Tasks[[#This Row],[_IsLeaf]]=1),0,IF(N(Tasks[[#This Row],[Actual Finish]])&gt;0,1,MIN(1,N(Tasks[[#This Row],[% Complete]]))))</f>
        <v>0</v>
      </c>
      <c r="CN88" s="38" t="n">
        <f aca="false">IF(OR(NOT(Tasks[[#This Row],[_IsLeaf]]=1),Tasks[[#This Row],[Resource]]=""),0,N(Tasks[[#This Row],[Duration]])*HoursPerDay*IF(Tasks[[#This Row],[Units]]="",DefaultUnits,Tasks[[#This Row],[Units]]))</f>
        <v>0</v>
      </c>
      <c r="CO88" s="38" t="n">
        <f aca="false">IF(Tasks[[#This Row],[_LeafWork]]=0,0,Tasks[[#This Row],[_LeafWork]]*IFERROR(INDEX(res_Rate,MATCH(Tasks[[#This Row],[Resource]],res_Name,0)),0))</f>
        <v>0</v>
      </c>
      <c r="CP88" s="38" t="n">
        <f aca="false">Tasks[[#This Row],[_LeafWork]]+IF(Tasks[[#This Row],[_IsLeaf]]=1,SUMIFS(asg_Work,asg_TaskUID,Tasks[[#This Row],[UID]],asg_Valid,1),0)</f>
        <v>0</v>
      </c>
      <c r="CQ88" s="38" t="n">
        <f aca="false">Tasks[[#This Row],[_LeafCost]]+IF(Tasks[[#This Row],[_IsLeaf]]=1,SUMIFS(asg_Cost,asg_TaskUID,Tasks[[#This Row],[UID]],asg_Valid,1),0)</f>
        <v>0</v>
      </c>
      <c r="CR88" s="38" t="n">
        <f aca="false">IF(Tasks[[#This Row],[_LeafTotalCost]]=0,Tasks[[#This Row],[_LeafAC]],Tasks[[#This Row],[_LeafAC]]*Tasks[[#This Row],[_LeafCost]]/Tasks[[#This Row],[_LeafTotalCost]])</f>
        <v>0</v>
      </c>
      <c r="CS8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8" s="38" t="n">
        <f aca="false">IF(NOT(Tasks[[#This Row],[_IsLeaf]]=1),0,MAX(_xlfn.MAXIFS(Tasks[_Row],Tasks[Pred1 UID],Tasks[[#This Row],[UID]]),_xlfn.MAXIFS(Tasks[_Row],Tasks[Pred2 UID],Tasks[[#This Row],[UID]]),_xlfn.MAXIFS(Tasks[_Row],Tasks[Pred3 UID],Tasks[[#This Row],[UID]]),_xlfn.MAXIFS(Tasks[_Row],Tasks[Pred4 UID],Tasks[[#This Row],[UID]])))</f>
        <v>0</v>
      </c>
      <c r="DB8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8" s="115" t="str">
        <f aca="false">IF(NOT(Tasks[[#This Row],[_IsLeaf]]=1),"",IF(N(Tasks[[#This Row],[Duration]])&lt;=0,Tasks[[#This Row],[_LeafLateFinish]],WORKDAY.INTL(Tasks[[#This Row],[_LeafLateFinish]],-(Tasks[[#This Row],[Duration]]-1),WorkWeek,Holidays)))</f>
        <v/>
      </c>
      <c r="DE8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8" s="114" t="b">
        <f aca="false">AND(Tasks[[#This Row],[_IsLeaf]]=1,Tasks[[#This Row],[_LeafProgress]]&lt;1,N(Tasks[[#This Row],[_LeafTotalSlack]])&lt;=CriticalSlackDays)</f>
        <v>0</v>
      </c>
      <c r="DG88" s="38" t="n">
        <f aca="false">IF(AND(Tasks[[#This Row],[_IsLeaf]]=1,Tasks[[#This Row],[_ConstraintCode]]=1,Tasks[[#This Row],[Mode]]&lt;&gt;"Manual",N(Tasks[[#This Row],[Actual Start]])=0),MAX(0,N(Tasks[[#This Row],[Free Slack]])),0)</f>
        <v>0</v>
      </c>
      <c r="DH88" s="115" t="str">
        <f aca="false">IF(NOT(Tasks[[#This Row],[_IsLeaf]]=1),"",IF(Tasks[[#This Row],[_AlapShift]]=0,Tasks[[#This Row],[_LeafCalcStart]],WORKDAY.INTL(Tasks[[#This Row],[_LeafCalcStart]],Tasks[[#This Row],[_AlapShift]],WorkWeek,Holidays)))</f>
        <v/>
      </c>
      <c r="DI88" s="115" t="str">
        <f aca="false">IF(NOT(Tasks[[#This Row],[_IsLeaf]]=1),"",IF(Tasks[[#This Row],[_AlapShift]]=0,Tasks[[#This Row],[_LeafCalcFinish]],WORKDAY.INTL(Tasks[[#This Row],[_LeafCalcFinish]],Tasks[[#This Row],[_AlapShift]],WorkWeek,Holidays)))</f>
        <v/>
      </c>
      <c r="DJ88" s="115" t="str">
        <f aca="false">IF(NOT(Tasks[[#This Row],[_IsLeaf]]=1),"",IF(Tasks[[#This Row],[_AlapShift]]=0,Tasks[[#This Row],[_LeafFcstStart]],WORKDAY.INTL(Tasks[[#This Row],[_LeafFcstStart]],Tasks[[#This Row],[_AlapShift]],WorkWeek,Holidays)))</f>
        <v/>
      </c>
      <c r="DK88" s="115" t="str">
        <f aca="false">IF(NOT(Tasks[[#This Row],[_IsLeaf]]=1),"",IF(Tasks[[#This Row],[_AlapShift]]=0,Tasks[[#This Row],[_LeafFcstFinish]],WORKDAY.INTL(Tasks[[#This Row],[_LeafFcstFinish]],Tasks[[#This Row],[_AlapShift]],WorkWeek,Holidays)))</f>
        <v/>
      </c>
      <c r="DL88" s="115" t="str">
        <f aca="false">IF(Tasks[[#This Row],[Task Name]]="","",IF(Tasks[[#This Row],[_IsSummary]],MIN(INDEX(Tasks[_ShownCalcStart],Tasks[[#This Row],[_Row]]+1):INDEX(Tasks[_ShownCalcStart],Tasks[[#This Row],[_Row]]+Tasks[[#This Row],[_Descendants]])),Tasks[[#This Row],[_ShownCalcStart]]))</f>
        <v/>
      </c>
      <c r="DM88" s="115" t="str">
        <f aca="false">IF(Tasks[[#This Row],[Task Name]]="","",IF(Tasks[[#This Row],[_IsSummary]],MAX(INDEX(Tasks[_ShownCalcFinish],Tasks[[#This Row],[_Row]]+1):INDEX(Tasks[_ShownCalcFinish],Tasks[[#This Row],[_Row]]+Tasks[[#This Row],[_Descendants]])),Tasks[[#This Row],[_ShownCalcFinish]]))</f>
        <v/>
      </c>
      <c r="DN8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8" s="38" t="n">
        <f aca="false">IF(AND(Tasks[[#This Row],[_IsLeaf]]=1,Tasks[[#This Row],[_LeafTotalWork]]&gt;0),NETWORKDAYS.INTL(ProjectStart,Tasks[[#This Row],[_ShownFcstStart]],WorkWeek,Holidays),0)</f>
        <v>0</v>
      </c>
      <c r="EA88" s="38" t="n">
        <f aca="false">IF(AND(Tasks[[#This Row],[_IsLeaf]]=1,Tasks[[#This Row],[_LeafTotalWork]]&gt;0),MAX(Tasks[[#This Row],[_StartWorkday]],NETWORKDAYS.INTL(ProjectStart,Tasks[[#This Row],[_ShownFcstFinish]],WorkWeek,Holidays)),0)</f>
        <v>0</v>
      </c>
      <c r="EB88" s="38" t="n">
        <f aca="false">IF(AND(Tasks[[#This Row],[_IsLeaf]]=1,Tasks[[#This Row],[_LeafTotalWork]]&gt;0),Tasks[[#This Row],[_LeafWork]]/(Tasks[[#This Row],[_FinishWorkday]]-Tasks[[#This Row],[_StartWorkday]]+1),0)</f>
        <v>0</v>
      </c>
      <c r="EC88" s="38" t="n">
        <f aca="false">Tasks[[#This Row],[_WorkPerWorkday]]*(Tasks[[#This Row],[_StartWorkday]]-1)</f>
        <v>-0</v>
      </c>
      <c r="ED88" s="38" t="n">
        <f aca="false">IF(Tasks[[#This Row],[_IsLeaf]]=1,MAX(N(Tasks[[#This Row],[Duration]]),0.1),0)</f>
        <v>0</v>
      </c>
      <c r="EE88" s="38" t="n">
        <f aca="false">Tasks[[#This Row],[_WeightDur]]*Tasks[[#This Row],[_LeafProgress]]</f>
        <v>0</v>
      </c>
      <c r="EF8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8" s="38" t="str">
        <f aca="false">IF(AND(Tasks[[#This Row],[_IsLeaf]]=1,N(Tasks[[#This Row],[Duration]])=0,Tasks[[#This Row],[_LeafProgress]]&lt;1),Tasks[[#This Row],[_ShownFcstFinish]]+Tasks[[#This Row],[_Row]]/100000,"")</f>
        <v/>
      </c>
      <c r="EH8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8" s="38" t="n">
        <f aca="false">IF(NOT(Tasks[[#This Row],[_IsLeaf]]=1),0,IF(Tasks[[#This Row],[Baseline Cost]]="",Tasks[[#This Row],[_LeafTotalCost]],N(Tasks[[#This Row],[Baseline Cost]])))</f>
        <v>0</v>
      </c>
      <c r="EJ88" s="38" t="n">
        <f aca="false">Tasks[[#This Row],[_LeafBudget]]*Tasks[[#This Row],[_PlannedPct]]</f>
        <v>0</v>
      </c>
      <c r="EK88" s="38" t="n">
        <f aca="false">Tasks[[#This Row],[_LeafBudget]]*Tasks[[#This Row],[_LeafProgress]]</f>
        <v>0</v>
      </c>
      <c r="EL88" s="38" t="n">
        <f aca="false">IF(NOT(Tasks[[#This Row],[_IsLeaf]]=1),0,IF(Tasks[[#This Row],[Actual Cost]]="",Tasks[[#This Row],[_LeafTotalCost]]*Tasks[[#This Row],[_LeafProgress]],N(Tasks[[#This Row],[Actual Cost]])))</f>
        <v>0</v>
      </c>
      <c r="EM88" s="38" t="str">
        <f aca="false">IF(Tasks[[#This Row],[Task Name]]="","",LEFT(Tasks[[#This Row],[WBS]],FIND(".",Tasks[[#This Row],[WBS]]&amp;".")-1))</f>
        <v/>
      </c>
      <c r="EN88" s="38" t="str">
        <f aca="false">IF(AND(Tasks[[#This Row],[Task Name]]&lt;&gt;"",Tasks[[#This Row],[_Level]]=1),Tasks[[#This Row],[_Row]],"")</f>
        <v/>
      </c>
      <c r="EO88" s="38" t="str">
        <f aca="false">IF(AND(Tasks[[#This Row],[_IsLeaf]]=1,N(Tasks[[#This Row],[Duration]])=0),Tasks[[#This Row],[Planned Finish]]+Tasks[[#This Row],[_Row]]/100000,"")</f>
        <v/>
      </c>
      <c r="EP88" s="38" t="str">
        <f aca="false">IF(AND(Tasks[[#This Row],[_IsLeaf]]=1,Tasks[[#This Row],[_LeafProgress]]&lt;1,OR(N(Tasks[[#This Row],[Finish Var]])&gt;0,Tasks[[#This Row],[Status]]="Late Start")),MAX(0,Tasks[[#This Row],[Finish Var]])+1-Tasks[[#This Row],[_Row]]/1000000,"")</f>
        <v/>
      </c>
      <c r="EQ88" s="38" t="str">
        <f aca="false">IF(AND(Tasks[[#This Row],[_IsLeaf]]=1,N(Tasks[[#This Row],[Actual Start]])=0,Tasks[[#This Row],[_ShownFcstStart]]&gt;=StatusDate,Tasks[[#This Row],[_ShownFcstStart]]&lt;=LookaheadEnd),Tasks[[#This Row],[_ShownFcstStart]]+Tasks[[#This Row],[_Row]]/100000,"")</f>
        <v/>
      </c>
      <c r="ER88" s="38" t="str">
        <f aca="false">IF(AND(Tasks[[#This Row],[_IsLeaf]]=1,Tasks[[#This Row],[_LeafProgress]]&lt;1,Tasks[[#This Row],[_ShownFcstFinish]]&gt;=StatusDate,Tasks[[#This Row],[_ShownFcstFinish]]&lt;=LookaheadEnd),Tasks[[#This Row],[_ShownFcstFinish]]+Tasks[[#This Row],[_Row]]/100000,"")</f>
        <v/>
      </c>
      <c r="ES88" s="38" t="str">
        <f aca="false">IF(Tasks[[#This Row],[_LeafCritical]],Tasks[[#This Row],[_ShownFcstStart]]+Tasks[[#This Row],[_Row]]/100000,"")</f>
        <v/>
      </c>
      <c r="ET88" s="38" t="n">
        <f aca="false">Tasks[[#This Row],[_LeafWork]]*Tasks[[#This Row],[_LeafProgress]]</f>
        <v>0</v>
      </c>
      <c r="EU88" s="115" t="str">
        <f aca="false">IF(AND(Tasks[[#This Row],[_IsLeaf]]=1,Tasks[[#This Row],[_LeafProgress]]&gt;=1),IF(N(Tasks[[#This Row],[Actual Finish]])&gt;0,Tasks[[#This Row],[Actual Finish]],Tasks[[#This Row],[_ShownFcstFinish]]),"")</f>
        <v/>
      </c>
      <c r="EV88" s="38" t="n">
        <f aca="false">IF(Tasks[[#This Row],[_IsLeaf]]=1,N(Tasks[[#This Row],[Story Points]]),0)</f>
        <v>0</v>
      </c>
      <c r="EW88" s="38" t="str">
        <f aca="false">IF(AND(Tasks[[#This Row],[_IsLeaf]]=1,CurrentSprint&lt;&gt;"",Tasks[[#This Row],[Sprint]]=CurrentSprint),Tasks[[#This Row],[_Row]],"")</f>
        <v/>
      </c>
    </row>
    <row r="89" customFormat="false" ht="15" hidden="false" customHeight="false" outlineLevel="0" collapsed="false">
      <c r="A89" s="51" t="str">
        <f aca="false">IF(Tasks[[#This Row],[Task Name]]="","",COUNTA(Tasks[[#Headers],[Task Name]]:Tasks[[#This Row],[Task Name]])-1)</f>
        <v/>
      </c>
      <c r="B89" s="52" t="n">
        <v>84</v>
      </c>
      <c r="C8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52"/>
      <c r="E89" s="53"/>
      <c r="F89" s="52"/>
      <c r="G89" s="52"/>
      <c r="H89" s="52"/>
      <c r="I89" s="52"/>
      <c r="J89" s="52"/>
      <c r="K89" s="52"/>
      <c r="L89" s="52"/>
      <c r="M89" s="52"/>
      <c r="N89" s="52"/>
      <c r="O89" s="52"/>
      <c r="P89" s="52"/>
      <c r="Q89" s="52"/>
      <c r="R89" s="52"/>
      <c r="S89" s="53"/>
      <c r="T89" s="102"/>
      <c r="U89" s="102"/>
      <c r="V89" s="7"/>
      <c r="W89" s="7"/>
      <c r="X89" s="53"/>
      <c r="Y89" s="31" t="str">
        <f aca="false">IF(Tasks[[#This Row],[Task Name]]="","",IF(Tasks[[#This Row],[_IsSummary]],MIN(INDEX(Tasks[_ShownFcstStart],Tasks[[#This Row],[_Row]]+1):INDEX(Tasks[_ShownFcstStart],Tasks[[#This Row],[_Row]]+Tasks[[#This Row],[_Descendants]])),Tasks[[#This Row],[_ShownFcstStart]]))</f>
        <v/>
      </c>
      <c r="Z89" s="31" t="str">
        <f aca="false">IF(Tasks[[#This Row],[Task Name]]="","",IF(Tasks[[#This Row],[_IsSummary]],MAX(INDEX(Tasks[_ShownFcstFinish],Tasks[[#This Row],[_Row]]+1):INDEX(Tasks[_ShownFcstFinish],Tasks[[#This Row],[_Row]]+Tasks[[#This Row],[_Descendants]])),Tasks[[#This Row],[_ShownFcstFinish]]))</f>
        <v/>
      </c>
      <c r="AA89" s="51" t="str">
        <f aca="false">IF(Tasks[[#This Row],[Task Name]]="","",IF(Tasks[[#This Row],[Progress]]&gt;=1,"Complete",IF(OR(N(Tasks[[#This Row],[Actual Start]])&gt;0,Tasks[[#This Row],[Progress]]&gt;0),IF(Tasks[[#This Row],[Finish Var]]&gt;0,"Behind","In Progress"),IF(Tasks[[#This Row],[Planned Start]]&lt;StatusDate,"Late Start","Not Started"))))</f>
        <v/>
      </c>
      <c r="AB89" s="51" t="str">
        <f aca="false">IF(Tasks[[#This Row],[Task Name]]="","",IF(IF(Tasks[[#This Row],[_IsSummary]],COUNTIF(INDEX(Tasks[_LeafCritical],Tasks[[#This Row],[_Row]]+1):INDEX(Tasks[_LeafCritical],Tasks[[#This Row],[_Row]]+Tasks[[#This Row],[_Descendants]]),TRUE())&gt;0,Tasks[[#This Row],[_LeafCritical]]),"Yes",""))</f>
        <v/>
      </c>
      <c r="AC8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9" s="51" t="str">
        <f aca="false">IF(Tasks[[#This Row],[Task Name]]="","",IF(Tasks[[#This Row],[_Level]]&lt;=OutlineShowLevel,"Yes","No"))</f>
        <v/>
      </c>
      <c r="AE89" s="7"/>
      <c r="AF89" s="52"/>
      <c r="AG89" s="53"/>
      <c r="AH89" s="7"/>
      <c r="AI8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9" s="31" t="str">
        <f aca="false">IF(Tasks[[#This Row],[Task Name]]="","",IF(N(Tasks[[#This Row],[Baseline Start]])&gt;0,Tasks[[#This Row],[Baseline Start]],Tasks[[#This Row],[_CalcStart]]))</f>
        <v/>
      </c>
      <c r="AK89" s="31" t="str">
        <f aca="false">IF(Tasks[[#This Row],[Task Name]]="","",IF(N(Tasks[[#This Row],[Baseline Finish]])&gt;0,Tasks[[#This Row],[Baseline Finish]],Tasks[[#This Row],[_CalcFinish]]))</f>
        <v/>
      </c>
      <c r="AL8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9" s="31" t="str">
        <f aca="false">IF(Tasks[[#This Row],[Task Name]]="","",IF(Tasks[[#This Row],[_IsSummary]],MIN(INDEX(Tasks[_LeafLateStart],Tasks[[#This Row],[_Row]]+1):INDEX(Tasks[_LeafLateStart],Tasks[[#This Row],[_Row]]+Tasks[[#This Row],[_Descendants]])),Tasks[[#This Row],[_LeafLateStart]]))</f>
        <v/>
      </c>
      <c r="AN89" s="31" t="str">
        <f aca="false">IF(Tasks[[#This Row],[Task Name]]="","",IF(Tasks[[#This Row],[_IsSummary]],MAX(INDEX(Tasks[_LeafLateFinish],Tasks[[#This Row],[_Row]]+1):INDEX(Tasks[_LeafLateFinish],Tasks[[#This Row],[_Row]]+Tasks[[#This Row],[_Descendants]])),Tasks[[#This Row],[_LeafLateFinish]]))</f>
        <v/>
      </c>
      <c r="AO89" s="51" t="str">
        <f aca="false">IF(Tasks[[#This Row],[Task Name]]="","",IF(Tasks[[#This Row],[_IsSummary]],MIN(INDEX(Tasks[_LeafTotalSlack],Tasks[[#This Row],[_Row]]+1):INDEX(Tasks[_LeafTotalSlack],Tasks[[#This Row],[_Row]]+Tasks[[#This Row],[_Descendants]])),Tasks[[#This Row],[_LeafTotalSlack]]))</f>
        <v/>
      </c>
      <c r="AP8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9" s="110" t="str">
        <f aca="false">IF(Tasks[[#This Row],[Task Name]]="","",IF(Tasks[[#This Row],[_IsSummary]],SUM(INDEX(Tasks[_LeafTotalWork],Tasks[[#This Row],[_Row]]+1):INDEX(Tasks[_LeafTotalWork],Tasks[[#This Row],[_Row]]+Tasks[[#This Row],[_Descendants]])),Tasks[[#This Row],[_LeafTotalWork]]))</f>
        <v/>
      </c>
      <c r="AV8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9" s="111" t="str">
        <f aca="false">IF(Tasks[[#This Row],[Task Name]]="","",IF(Tasks[[#This Row],[_IsSummary]],SUM(INDEX(Tasks[_LeafTotalCost],Tasks[[#This Row],[_Row]]+1):INDEX(Tasks[_LeafTotalCost],Tasks[[#This Row],[_Row]]+Tasks[[#This Row],[_Descendants]])),Tasks[[#This Row],[_LeafTotalCost]]))</f>
        <v/>
      </c>
      <c r="AY89" s="112"/>
      <c r="AZ8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9" s="52"/>
      <c r="BB89" s="98"/>
      <c r="BC89" s="51" t="str">
        <f aca="false">IF(OR(Tasks[[#This Row],[Task Name]]="",Tasks[[#This Row],[Baseline Duration]]=""),"",Tasks[[#This Row],[BL Source Duration]]-N(Tasks[[#This Row],[Baseline Duration]]))</f>
        <v/>
      </c>
      <c r="BD89" s="110" t="str">
        <f aca="false">IF(OR(Tasks[[#This Row],[Task Name]]="",Tasks[[#This Row],[Baseline Work]]=""),"",Tasks[[#This Row],[Work]]-N(Tasks[[#This Row],[Baseline Work]]))</f>
        <v/>
      </c>
      <c r="BE89" s="111" t="str">
        <f aca="false">IF(OR(Tasks[[#This Row],[Task Name]]="",Tasks[[#This Row],[Baseline Cost]]=""),"",Tasks[[#This Row],[Cost]]-N(Tasks[[#This Row],[Baseline Cost]]))</f>
        <v/>
      </c>
      <c r="BF89" s="31" t="str">
        <f aca="false">IF(Tasks[[#This Row],[Task Name]]="","",Tasks[[#This Row],[Forecast Start]])</f>
        <v/>
      </c>
      <c r="BG89" s="31" t="str">
        <f aca="false">IF(Tasks[[#This Row],[Task Name]]="","",Tasks[[#This Row],[Forecast Finish]])</f>
        <v/>
      </c>
      <c r="BH89" s="51" t="str">
        <f aca="false">IF(Tasks[[#This Row],[Task Name]]="","",IF(Tasks[[#This Row],[_IsSummary]],NETWORKDAYS.INTL(Tasks[[#This Row],[Forecast Start]],Tasks[[#This Row],[Forecast Finish]],WorkWeek,Holidays),N(Tasks[[#This Row],[Duration]])))</f>
        <v/>
      </c>
      <c r="BI89" s="110" t="str">
        <f aca="false">IF(Tasks[[#This Row],[Task Name]]="","",Tasks[[#This Row],[Work]])</f>
        <v/>
      </c>
      <c r="BJ89" s="111" t="str">
        <f aca="false">IF(Tasks[[#This Row],[Task Name]]="","",Tasks[[#This Row],[Cost]])</f>
        <v/>
      </c>
      <c r="BK89" s="7"/>
      <c r="BL89" s="7"/>
      <c r="BM89" s="52"/>
      <c r="BN89" s="113"/>
      <c r="BO89" s="112"/>
      <c r="BP89" s="111" t="str">
        <f aca="false">IF(Tasks[[#This Row],[Task Name]]="","",IF(Tasks[[#This Row],[_IsSummary]],SUM(INDEX(Tasks[_LeafEV],Tasks[[#This Row],[_Row]]+1):INDEX(Tasks[_LeafEV],Tasks[[#This Row],[_Row]]+Tasks[[#This Row],[_Descendants]])),Tasks[[#This Row],[_LeafEV]]))</f>
        <v/>
      </c>
      <c r="BQ89" s="111" t="str">
        <f aca="false">IF(Tasks[[#This Row],[Task Name]]="","",IF(Tasks[[#This Row],[_IsSummary]],SUM(INDEX(Tasks[_LeafBudget],Tasks[[#This Row],[_Row]]+1):INDEX(Tasks[_LeafBudget],Tasks[[#This Row],[_Row]]+Tasks[[#This Row],[_Descendants]])),Tasks[[#This Row],[_LeafBudget]]))</f>
        <v/>
      </c>
      <c r="BR89" s="111" t="str">
        <f aca="false">IF(Tasks[[#This Row],[Task Name]]="","",IF(Tasks[[#This Row],[_IsSummary]],SUM(INDEX(Tasks[_LeafPV],Tasks[[#This Row],[_Row]]+1):INDEX(Tasks[_LeafPV],Tasks[[#This Row],[_Row]]+Tasks[[#This Row],[_Descendants]])),Tasks[[#This Row],[_LeafPV]]))</f>
        <v/>
      </c>
      <c r="BS89" s="111" t="str">
        <f aca="false">IF(Tasks[[#This Row],[Task Name]]="","",IF(Tasks[[#This Row],[_IsSummary]],SUM(INDEX(Tasks[_LeafAC],Tasks[[#This Row],[_Row]]+1):INDEX(Tasks[_LeafAC],Tasks[[#This Row],[_Row]]+Tasks[[#This Row],[_Descendants]])),Tasks[[#This Row],[_LeafAC]]))</f>
        <v/>
      </c>
      <c r="BT89" s="38" t="str">
        <f aca="false">IF(Tasks[[#This Row],[Task Name]]="","",MAX(1,N(Tasks[[#This Row],[Level]])))</f>
        <v/>
      </c>
      <c r="BU89" s="38" t="n">
        <f aca="false">ROW()-ROW(Tasks[[#Headers],[ID]])</f>
        <v>84</v>
      </c>
      <c r="BV89" s="38" t="n">
        <f aca="false">IF(OR(Tasks[[#This Row],[Task Name]]="",Tasks[[#This Row],[_Level]]&lt;=1),0,IFERROR(LOOKUP(2,1/(Tasks[[#Headers],[_Level]]:Tasks[[#This Row],[_Level]]=Tasks[[#This Row],[_Level]]-1),ROW(Tasks[[#Headers],[_Level]]:Tasks[[#This Row],[_Level]])),0))</f>
        <v>0</v>
      </c>
      <c r="BW89" s="38" t="n">
        <f aca="false">IFERROR(N(INDEX(Tasks[_Level],Tasks[[#This Row],[_Row]]+1)),0)</f>
        <v>0</v>
      </c>
      <c r="BX89" s="114" t="b">
        <f aca="false">AND(Tasks[[#This Row],[Task Name]]&lt;&gt;"",Tasks[[#This Row],[_NextLevel]]&gt;Tasks[[#This Row],[_Level]])</f>
        <v>0</v>
      </c>
      <c r="BY89" s="38" t="n">
        <f aca="false">IF(Tasks[[#This Row],[_IsSummary]],COUNTIF(Tasks[WBS],Tasks[[#This Row],[WBS]]&amp;".*"),0)</f>
        <v>0</v>
      </c>
      <c r="BZ89" s="38" t="n">
        <f aca="false">IF(AND(Tasks[[#This Row],[Task Name]]&lt;&gt;"",NOT(Tasks[[#This Row],[_IsSummary]])),1,0)</f>
        <v>0</v>
      </c>
      <c r="CA89" s="38" t="n">
        <f aca="false">IF(N(Tasks[[#This Row],[Pred1 UID]])=0,0,IFERROR(MATCH(Tasks[[#This Row],[Pred1 UID]],Tasks[UID],0),-1))</f>
        <v>0</v>
      </c>
      <c r="CB89" s="38" t="n">
        <f aca="false">IF(N(Tasks[[#This Row],[Pred2 UID]])=0,0,IFERROR(MATCH(Tasks[[#This Row],[Pred2 UID]],Tasks[UID],0),-1))</f>
        <v>0</v>
      </c>
      <c r="CC89" s="38" t="n">
        <f aca="false">IF(N(Tasks[[#This Row],[Pred3 UID]])=0,0,IFERROR(MATCH(Tasks[[#This Row],[Pred3 UID]],Tasks[UID],0),-1))</f>
        <v>0</v>
      </c>
      <c r="CD89" s="38" t="n">
        <f aca="false">IF(N(Tasks[[#This Row],[Pred4 UID]])=0,0,IFERROR(MATCH(Tasks[[#This Row],[Pred4 UID]],Tasks[UID],0),-1))</f>
        <v>0</v>
      </c>
      <c r="CE8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9" s="115" t="n">
        <f aca="false">IF(OR(Tasks[[#This Row],[_ConstraintCode]]=2,Tasks[[#This Row],[_ConstraintCode]]=3,Tasks[[#This Row],[_ConstraintCode]]=4,Tasks[[#This Row],[_ConstraintCode]]=6),Tasks[[#This Row],[_ConstraintStart]],0)</f>
        <v>0</v>
      </c>
      <c r="CH89" s="115" t="n">
        <f aca="false">IF(OR(Tasks[[#This Row],[_ConstraintCode]]=2,Tasks[[#This Row],[_ConstraintCode]]=3,Tasks[[#This Row],[_ConstraintCode]]=5,Tasks[[#This Row],[_ConstraintCode]]=7),Tasks[[#This Row],[_ConstraintStart]],2958465)</f>
        <v>2958465</v>
      </c>
      <c r="CI8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9" s="115" t="str">
        <f aca="false">IF(NOT(Tasks[[#This Row],[_IsLeaf]]=1),"",IF(N(Tasks[[#This Row],[Duration]])&lt;=0,Tasks[[#This Row],[_LeafCalcStart]],WORKDAY.INTL(Tasks[[#This Row],[_LeafCalcStart]],Tasks[[#This Row],[Duration]]-1,WorkWeek,Holidays)))</f>
        <v/>
      </c>
      <c r="CK8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9" s="38" t="n">
        <f aca="false">IF(NOT(Tasks[[#This Row],[_IsLeaf]]=1),0,IF(N(Tasks[[#This Row],[Actual Finish]])&gt;0,1,MIN(1,N(Tasks[[#This Row],[% Complete]]))))</f>
        <v>0</v>
      </c>
      <c r="CN89" s="38" t="n">
        <f aca="false">IF(OR(NOT(Tasks[[#This Row],[_IsLeaf]]=1),Tasks[[#This Row],[Resource]]=""),0,N(Tasks[[#This Row],[Duration]])*HoursPerDay*IF(Tasks[[#This Row],[Units]]="",DefaultUnits,Tasks[[#This Row],[Units]]))</f>
        <v>0</v>
      </c>
      <c r="CO89" s="38" t="n">
        <f aca="false">IF(Tasks[[#This Row],[_LeafWork]]=0,0,Tasks[[#This Row],[_LeafWork]]*IFERROR(INDEX(res_Rate,MATCH(Tasks[[#This Row],[Resource]],res_Name,0)),0))</f>
        <v>0</v>
      </c>
      <c r="CP89" s="38" t="n">
        <f aca="false">Tasks[[#This Row],[_LeafWork]]+IF(Tasks[[#This Row],[_IsLeaf]]=1,SUMIFS(asg_Work,asg_TaskUID,Tasks[[#This Row],[UID]],asg_Valid,1),0)</f>
        <v>0</v>
      </c>
      <c r="CQ89" s="38" t="n">
        <f aca="false">Tasks[[#This Row],[_LeafCost]]+IF(Tasks[[#This Row],[_IsLeaf]]=1,SUMIFS(asg_Cost,asg_TaskUID,Tasks[[#This Row],[UID]],asg_Valid,1),0)</f>
        <v>0</v>
      </c>
      <c r="CR89" s="38" t="n">
        <f aca="false">IF(Tasks[[#This Row],[_LeafTotalCost]]=0,Tasks[[#This Row],[_LeafAC]],Tasks[[#This Row],[_LeafAC]]*Tasks[[#This Row],[_LeafCost]]/Tasks[[#This Row],[_LeafTotalCost]])</f>
        <v>0</v>
      </c>
      <c r="CS8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9" s="38" t="n">
        <f aca="false">IF(NOT(Tasks[[#This Row],[_IsLeaf]]=1),0,MAX(_xlfn.MAXIFS(Tasks[_Row],Tasks[Pred1 UID],Tasks[[#This Row],[UID]]),_xlfn.MAXIFS(Tasks[_Row],Tasks[Pred2 UID],Tasks[[#This Row],[UID]]),_xlfn.MAXIFS(Tasks[_Row],Tasks[Pred3 UID],Tasks[[#This Row],[UID]]),_xlfn.MAXIFS(Tasks[_Row],Tasks[Pred4 UID],Tasks[[#This Row],[UID]])))</f>
        <v>0</v>
      </c>
      <c r="DB8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9" s="115" t="str">
        <f aca="false">IF(NOT(Tasks[[#This Row],[_IsLeaf]]=1),"",IF(N(Tasks[[#This Row],[Duration]])&lt;=0,Tasks[[#This Row],[_LeafLateFinish]],WORKDAY.INTL(Tasks[[#This Row],[_LeafLateFinish]],-(Tasks[[#This Row],[Duration]]-1),WorkWeek,Holidays)))</f>
        <v/>
      </c>
      <c r="DE8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9" s="114" t="b">
        <f aca="false">AND(Tasks[[#This Row],[_IsLeaf]]=1,Tasks[[#This Row],[_LeafProgress]]&lt;1,N(Tasks[[#This Row],[_LeafTotalSlack]])&lt;=CriticalSlackDays)</f>
        <v>0</v>
      </c>
      <c r="DG89" s="38" t="n">
        <f aca="false">IF(AND(Tasks[[#This Row],[_IsLeaf]]=1,Tasks[[#This Row],[_ConstraintCode]]=1,Tasks[[#This Row],[Mode]]&lt;&gt;"Manual",N(Tasks[[#This Row],[Actual Start]])=0),MAX(0,N(Tasks[[#This Row],[Free Slack]])),0)</f>
        <v>0</v>
      </c>
      <c r="DH89" s="115" t="str">
        <f aca="false">IF(NOT(Tasks[[#This Row],[_IsLeaf]]=1),"",IF(Tasks[[#This Row],[_AlapShift]]=0,Tasks[[#This Row],[_LeafCalcStart]],WORKDAY.INTL(Tasks[[#This Row],[_LeafCalcStart]],Tasks[[#This Row],[_AlapShift]],WorkWeek,Holidays)))</f>
        <v/>
      </c>
      <c r="DI89" s="115" t="str">
        <f aca="false">IF(NOT(Tasks[[#This Row],[_IsLeaf]]=1),"",IF(Tasks[[#This Row],[_AlapShift]]=0,Tasks[[#This Row],[_LeafCalcFinish]],WORKDAY.INTL(Tasks[[#This Row],[_LeafCalcFinish]],Tasks[[#This Row],[_AlapShift]],WorkWeek,Holidays)))</f>
        <v/>
      </c>
      <c r="DJ89" s="115" t="str">
        <f aca="false">IF(NOT(Tasks[[#This Row],[_IsLeaf]]=1),"",IF(Tasks[[#This Row],[_AlapShift]]=0,Tasks[[#This Row],[_LeafFcstStart]],WORKDAY.INTL(Tasks[[#This Row],[_LeafFcstStart]],Tasks[[#This Row],[_AlapShift]],WorkWeek,Holidays)))</f>
        <v/>
      </c>
      <c r="DK89" s="115" t="str">
        <f aca="false">IF(NOT(Tasks[[#This Row],[_IsLeaf]]=1),"",IF(Tasks[[#This Row],[_AlapShift]]=0,Tasks[[#This Row],[_LeafFcstFinish]],WORKDAY.INTL(Tasks[[#This Row],[_LeafFcstFinish]],Tasks[[#This Row],[_AlapShift]],WorkWeek,Holidays)))</f>
        <v/>
      </c>
      <c r="DL89" s="115" t="str">
        <f aca="false">IF(Tasks[[#This Row],[Task Name]]="","",IF(Tasks[[#This Row],[_IsSummary]],MIN(INDEX(Tasks[_ShownCalcStart],Tasks[[#This Row],[_Row]]+1):INDEX(Tasks[_ShownCalcStart],Tasks[[#This Row],[_Row]]+Tasks[[#This Row],[_Descendants]])),Tasks[[#This Row],[_ShownCalcStart]]))</f>
        <v/>
      </c>
      <c r="DM89" s="115" t="str">
        <f aca="false">IF(Tasks[[#This Row],[Task Name]]="","",IF(Tasks[[#This Row],[_IsSummary]],MAX(INDEX(Tasks[_ShownCalcFinish],Tasks[[#This Row],[_Row]]+1):INDEX(Tasks[_ShownCalcFinish],Tasks[[#This Row],[_Row]]+Tasks[[#This Row],[_Descendants]])),Tasks[[#This Row],[_ShownCalcFinish]]))</f>
        <v/>
      </c>
      <c r="DN8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9" s="38" t="n">
        <f aca="false">IF(AND(Tasks[[#This Row],[_IsLeaf]]=1,Tasks[[#This Row],[_LeafTotalWork]]&gt;0),NETWORKDAYS.INTL(ProjectStart,Tasks[[#This Row],[_ShownFcstStart]],WorkWeek,Holidays),0)</f>
        <v>0</v>
      </c>
      <c r="EA89" s="38" t="n">
        <f aca="false">IF(AND(Tasks[[#This Row],[_IsLeaf]]=1,Tasks[[#This Row],[_LeafTotalWork]]&gt;0),MAX(Tasks[[#This Row],[_StartWorkday]],NETWORKDAYS.INTL(ProjectStart,Tasks[[#This Row],[_ShownFcstFinish]],WorkWeek,Holidays)),0)</f>
        <v>0</v>
      </c>
      <c r="EB89" s="38" t="n">
        <f aca="false">IF(AND(Tasks[[#This Row],[_IsLeaf]]=1,Tasks[[#This Row],[_LeafTotalWork]]&gt;0),Tasks[[#This Row],[_LeafWork]]/(Tasks[[#This Row],[_FinishWorkday]]-Tasks[[#This Row],[_StartWorkday]]+1),0)</f>
        <v>0</v>
      </c>
      <c r="EC89" s="38" t="n">
        <f aca="false">Tasks[[#This Row],[_WorkPerWorkday]]*(Tasks[[#This Row],[_StartWorkday]]-1)</f>
        <v>-0</v>
      </c>
      <c r="ED89" s="38" t="n">
        <f aca="false">IF(Tasks[[#This Row],[_IsLeaf]]=1,MAX(N(Tasks[[#This Row],[Duration]]),0.1),0)</f>
        <v>0</v>
      </c>
      <c r="EE89" s="38" t="n">
        <f aca="false">Tasks[[#This Row],[_WeightDur]]*Tasks[[#This Row],[_LeafProgress]]</f>
        <v>0</v>
      </c>
      <c r="EF8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9" s="38" t="str">
        <f aca="false">IF(AND(Tasks[[#This Row],[_IsLeaf]]=1,N(Tasks[[#This Row],[Duration]])=0,Tasks[[#This Row],[_LeafProgress]]&lt;1),Tasks[[#This Row],[_ShownFcstFinish]]+Tasks[[#This Row],[_Row]]/100000,"")</f>
        <v/>
      </c>
      <c r="EH8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9" s="38" t="n">
        <f aca="false">IF(NOT(Tasks[[#This Row],[_IsLeaf]]=1),0,IF(Tasks[[#This Row],[Baseline Cost]]="",Tasks[[#This Row],[_LeafTotalCost]],N(Tasks[[#This Row],[Baseline Cost]])))</f>
        <v>0</v>
      </c>
      <c r="EJ89" s="38" t="n">
        <f aca="false">Tasks[[#This Row],[_LeafBudget]]*Tasks[[#This Row],[_PlannedPct]]</f>
        <v>0</v>
      </c>
      <c r="EK89" s="38" t="n">
        <f aca="false">Tasks[[#This Row],[_LeafBudget]]*Tasks[[#This Row],[_LeafProgress]]</f>
        <v>0</v>
      </c>
      <c r="EL89" s="38" t="n">
        <f aca="false">IF(NOT(Tasks[[#This Row],[_IsLeaf]]=1),0,IF(Tasks[[#This Row],[Actual Cost]]="",Tasks[[#This Row],[_LeafTotalCost]]*Tasks[[#This Row],[_LeafProgress]],N(Tasks[[#This Row],[Actual Cost]])))</f>
        <v>0</v>
      </c>
      <c r="EM89" s="38" t="str">
        <f aca="false">IF(Tasks[[#This Row],[Task Name]]="","",LEFT(Tasks[[#This Row],[WBS]],FIND(".",Tasks[[#This Row],[WBS]]&amp;".")-1))</f>
        <v/>
      </c>
      <c r="EN89" s="38" t="str">
        <f aca="false">IF(AND(Tasks[[#This Row],[Task Name]]&lt;&gt;"",Tasks[[#This Row],[_Level]]=1),Tasks[[#This Row],[_Row]],"")</f>
        <v/>
      </c>
      <c r="EO89" s="38" t="str">
        <f aca="false">IF(AND(Tasks[[#This Row],[_IsLeaf]]=1,N(Tasks[[#This Row],[Duration]])=0),Tasks[[#This Row],[Planned Finish]]+Tasks[[#This Row],[_Row]]/100000,"")</f>
        <v/>
      </c>
      <c r="EP89" s="38" t="str">
        <f aca="false">IF(AND(Tasks[[#This Row],[_IsLeaf]]=1,Tasks[[#This Row],[_LeafProgress]]&lt;1,OR(N(Tasks[[#This Row],[Finish Var]])&gt;0,Tasks[[#This Row],[Status]]="Late Start")),MAX(0,Tasks[[#This Row],[Finish Var]])+1-Tasks[[#This Row],[_Row]]/1000000,"")</f>
        <v/>
      </c>
      <c r="EQ89" s="38" t="str">
        <f aca="false">IF(AND(Tasks[[#This Row],[_IsLeaf]]=1,N(Tasks[[#This Row],[Actual Start]])=0,Tasks[[#This Row],[_ShownFcstStart]]&gt;=StatusDate,Tasks[[#This Row],[_ShownFcstStart]]&lt;=LookaheadEnd),Tasks[[#This Row],[_ShownFcstStart]]+Tasks[[#This Row],[_Row]]/100000,"")</f>
        <v/>
      </c>
      <c r="ER89" s="38" t="str">
        <f aca="false">IF(AND(Tasks[[#This Row],[_IsLeaf]]=1,Tasks[[#This Row],[_LeafProgress]]&lt;1,Tasks[[#This Row],[_ShownFcstFinish]]&gt;=StatusDate,Tasks[[#This Row],[_ShownFcstFinish]]&lt;=LookaheadEnd),Tasks[[#This Row],[_ShownFcstFinish]]+Tasks[[#This Row],[_Row]]/100000,"")</f>
        <v/>
      </c>
      <c r="ES89" s="38" t="str">
        <f aca="false">IF(Tasks[[#This Row],[_LeafCritical]],Tasks[[#This Row],[_ShownFcstStart]]+Tasks[[#This Row],[_Row]]/100000,"")</f>
        <v/>
      </c>
      <c r="ET89" s="38" t="n">
        <f aca="false">Tasks[[#This Row],[_LeafWork]]*Tasks[[#This Row],[_LeafProgress]]</f>
        <v>0</v>
      </c>
      <c r="EU89" s="115" t="str">
        <f aca="false">IF(AND(Tasks[[#This Row],[_IsLeaf]]=1,Tasks[[#This Row],[_LeafProgress]]&gt;=1),IF(N(Tasks[[#This Row],[Actual Finish]])&gt;0,Tasks[[#This Row],[Actual Finish]],Tasks[[#This Row],[_ShownFcstFinish]]),"")</f>
        <v/>
      </c>
      <c r="EV89" s="38" t="n">
        <f aca="false">IF(Tasks[[#This Row],[_IsLeaf]]=1,N(Tasks[[#This Row],[Story Points]]),0)</f>
        <v>0</v>
      </c>
      <c r="EW89" s="38" t="str">
        <f aca="false">IF(AND(Tasks[[#This Row],[_IsLeaf]]=1,CurrentSprint&lt;&gt;"",Tasks[[#This Row],[Sprint]]=CurrentSprint),Tasks[[#This Row],[_Row]],"")</f>
        <v/>
      </c>
    </row>
    <row r="90" customFormat="false" ht="15" hidden="false" customHeight="false" outlineLevel="0" collapsed="false">
      <c r="A90" s="51" t="str">
        <f aca="false">IF(Tasks[[#This Row],[Task Name]]="","",COUNTA(Tasks[[#Headers],[Task Name]]:Tasks[[#This Row],[Task Name]])-1)</f>
        <v/>
      </c>
      <c r="B90" s="52" t="n">
        <v>85</v>
      </c>
      <c r="C9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52"/>
      <c r="E90" s="53"/>
      <c r="F90" s="52"/>
      <c r="G90" s="52"/>
      <c r="H90" s="52"/>
      <c r="I90" s="52"/>
      <c r="J90" s="52"/>
      <c r="K90" s="52"/>
      <c r="L90" s="52"/>
      <c r="M90" s="52"/>
      <c r="N90" s="52"/>
      <c r="O90" s="52"/>
      <c r="P90" s="52"/>
      <c r="Q90" s="52"/>
      <c r="R90" s="52"/>
      <c r="S90" s="53"/>
      <c r="T90" s="102"/>
      <c r="U90" s="102"/>
      <c r="V90" s="7"/>
      <c r="W90" s="7"/>
      <c r="X90" s="53"/>
      <c r="Y90" s="31" t="str">
        <f aca="false">IF(Tasks[[#This Row],[Task Name]]="","",IF(Tasks[[#This Row],[_IsSummary]],MIN(INDEX(Tasks[_ShownFcstStart],Tasks[[#This Row],[_Row]]+1):INDEX(Tasks[_ShownFcstStart],Tasks[[#This Row],[_Row]]+Tasks[[#This Row],[_Descendants]])),Tasks[[#This Row],[_ShownFcstStart]]))</f>
        <v/>
      </c>
      <c r="Z90" s="31" t="str">
        <f aca="false">IF(Tasks[[#This Row],[Task Name]]="","",IF(Tasks[[#This Row],[_IsSummary]],MAX(INDEX(Tasks[_ShownFcstFinish],Tasks[[#This Row],[_Row]]+1):INDEX(Tasks[_ShownFcstFinish],Tasks[[#This Row],[_Row]]+Tasks[[#This Row],[_Descendants]])),Tasks[[#This Row],[_ShownFcstFinish]]))</f>
        <v/>
      </c>
      <c r="AA90" s="51" t="str">
        <f aca="false">IF(Tasks[[#This Row],[Task Name]]="","",IF(Tasks[[#This Row],[Progress]]&gt;=1,"Complete",IF(OR(N(Tasks[[#This Row],[Actual Start]])&gt;0,Tasks[[#This Row],[Progress]]&gt;0),IF(Tasks[[#This Row],[Finish Var]]&gt;0,"Behind","In Progress"),IF(Tasks[[#This Row],[Planned Start]]&lt;StatusDate,"Late Start","Not Started"))))</f>
        <v/>
      </c>
      <c r="AB90" s="51" t="str">
        <f aca="false">IF(Tasks[[#This Row],[Task Name]]="","",IF(IF(Tasks[[#This Row],[_IsSummary]],COUNTIF(INDEX(Tasks[_LeafCritical],Tasks[[#This Row],[_Row]]+1):INDEX(Tasks[_LeafCritical],Tasks[[#This Row],[_Row]]+Tasks[[#This Row],[_Descendants]]),TRUE())&gt;0,Tasks[[#This Row],[_LeafCritical]]),"Yes",""))</f>
        <v/>
      </c>
      <c r="AC9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0" s="51" t="str">
        <f aca="false">IF(Tasks[[#This Row],[Task Name]]="","",IF(Tasks[[#This Row],[_Level]]&lt;=OutlineShowLevel,"Yes","No"))</f>
        <v/>
      </c>
      <c r="AE90" s="7"/>
      <c r="AF90" s="52"/>
      <c r="AG90" s="53"/>
      <c r="AH90" s="7"/>
      <c r="AI9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0" s="31" t="str">
        <f aca="false">IF(Tasks[[#This Row],[Task Name]]="","",IF(N(Tasks[[#This Row],[Baseline Start]])&gt;0,Tasks[[#This Row],[Baseline Start]],Tasks[[#This Row],[_CalcStart]]))</f>
        <v/>
      </c>
      <c r="AK90" s="31" t="str">
        <f aca="false">IF(Tasks[[#This Row],[Task Name]]="","",IF(N(Tasks[[#This Row],[Baseline Finish]])&gt;0,Tasks[[#This Row],[Baseline Finish]],Tasks[[#This Row],[_CalcFinish]]))</f>
        <v/>
      </c>
      <c r="AL9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0" s="31" t="str">
        <f aca="false">IF(Tasks[[#This Row],[Task Name]]="","",IF(Tasks[[#This Row],[_IsSummary]],MIN(INDEX(Tasks[_LeafLateStart],Tasks[[#This Row],[_Row]]+1):INDEX(Tasks[_LeafLateStart],Tasks[[#This Row],[_Row]]+Tasks[[#This Row],[_Descendants]])),Tasks[[#This Row],[_LeafLateStart]]))</f>
        <v/>
      </c>
      <c r="AN90" s="31" t="str">
        <f aca="false">IF(Tasks[[#This Row],[Task Name]]="","",IF(Tasks[[#This Row],[_IsSummary]],MAX(INDEX(Tasks[_LeafLateFinish],Tasks[[#This Row],[_Row]]+1):INDEX(Tasks[_LeafLateFinish],Tasks[[#This Row],[_Row]]+Tasks[[#This Row],[_Descendants]])),Tasks[[#This Row],[_LeafLateFinish]]))</f>
        <v/>
      </c>
      <c r="AO90" s="51" t="str">
        <f aca="false">IF(Tasks[[#This Row],[Task Name]]="","",IF(Tasks[[#This Row],[_IsSummary]],MIN(INDEX(Tasks[_LeafTotalSlack],Tasks[[#This Row],[_Row]]+1):INDEX(Tasks[_LeafTotalSlack],Tasks[[#This Row],[_Row]]+Tasks[[#This Row],[_Descendants]])),Tasks[[#This Row],[_LeafTotalSlack]]))</f>
        <v/>
      </c>
      <c r="AP9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0" s="110" t="str">
        <f aca="false">IF(Tasks[[#This Row],[Task Name]]="","",IF(Tasks[[#This Row],[_IsSummary]],SUM(INDEX(Tasks[_LeafTotalWork],Tasks[[#This Row],[_Row]]+1):INDEX(Tasks[_LeafTotalWork],Tasks[[#This Row],[_Row]]+Tasks[[#This Row],[_Descendants]])),Tasks[[#This Row],[_LeafTotalWork]]))</f>
        <v/>
      </c>
      <c r="AV9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0" s="111" t="str">
        <f aca="false">IF(Tasks[[#This Row],[Task Name]]="","",IF(Tasks[[#This Row],[_IsSummary]],SUM(INDEX(Tasks[_LeafTotalCost],Tasks[[#This Row],[_Row]]+1):INDEX(Tasks[_LeafTotalCost],Tasks[[#This Row],[_Row]]+Tasks[[#This Row],[_Descendants]])),Tasks[[#This Row],[_LeafTotalCost]]))</f>
        <v/>
      </c>
      <c r="AY90" s="112"/>
      <c r="AZ9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0" s="52"/>
      <c r="BB90" s="98"/>
      <c r="BC90" s="51" t="str">
        <f aca="false">IF(OR(Tasks[[#This Row],[Task Name]]="",Tasks[[#This Row],[Baseline Duration]]=""),"",Tasks[[#This Row],[BL Source Duration]]-N(Tasks[[#This Row],[Baseline Duration]]))</f>
        <v/>
      </c>
      <c r="BD90" s="110" t="str">
        <f aca="false">IF(OR(Tasks[[#This Row],[Task Name]]="",Tasks[[#This Row],[Baseline Work]]=""),"",Tasks[[#This Row],[Work]]-N(Tasks[[#This Row],[Baseline Work]]))</f>
        <v/>
      </c>
      <c r="BE90" s="111" t="str">
        <f aca="false">IF(OR(Tasks[[#This Row],[Task Name]]="",Tasks[[#This Row],[Baseline Cost]]=""),"",Tasks[[#This Row],[Cost]]-N(Tasks[[#This Row],[Baseline Cost]]))</f>
        <v/>
      </c>
      <c r="BF90" s="31" t="str">
        <f aca="false">IF(Tasks[[#This Row],[Task Name]]="","",Tasks[[#This Row],[Forecast Start]])</f>
        <v/>
      </c>
      <c r="BG90" s="31" t="str">
        <f aca="false">IF(Tasks[[#This Row],[Task Name]]="","",Tasks[[#This Row],[Forecast Finish]])</f>
        <v/>
      </c>
      <c r="BH90" s="51" t="str">
        <f aca="false">IF(Tasks[[#This Row],[Task Name]]="","",IF(Tasks[[#This Row],[_IsSummary]],NETWORKDAYS.INTL(Tasks[[#This Row],[Forecast Start]],Tasks[[#This Row],[Forecast Finish]],WorkWeek,Holidays),N(Tasks[[#This Row],[Duration]])))</f>
        <v/>
      </c>
      <c r="BI90" s="110" t="str">
        <f aca="false">IF(Tasks[[#This Row],[Task Name]]="","",Tasks[[#This Row],[Work]])</f>
        <v/>
      </c>
      <c r="BJ90" s="111" t="str">
        <f aca="false">IF(Tasks[[#This Row],[Task Name]]="","",Tasks[[#This Row],[Cost]])</f>
        <v/>
      </c>
      <c r="BK90" s="7"/>
      <c r="BL90" s="7"/>
      <c r="BM90" s="52"/>
      <c r="BN90" s="113"/>
      <c r="BO90" s="112"/>
      <c r="BP90" s="111" t="str">
        <f aca="false">IF(Tasks[[#This Row],[Task Name]]="","",IF(Tasks[[#This Row],[_IsSummary]],SUM(INDEX(Tasks[_LeafEV],Tasks[[#This Row],[_Row]]+1):INDEX(Tasks[_LeafEV],Tasks[[#This Row],[_Row]]+Tasks[[#This Row],[_Descendants]])),Tasks[[#This Row],[_LeafEV]]))</f>
        <v/>
      </c>
      <c r="BQ90" s="111" t="str">
        <f aca="false">IF(Tasks[[#This Row],[Task Name]]="","",IF(Tasks[[#This Row],[_IsSummary]],SUM(INDEX(Tasks[_LeafBudget],Tasks[[#This Row],[_Row]]+1):INDEX(Tasks[_LeafBudget],Tasks[[#This Row],[_Row]]+Tasks[[#This Row],[_Descendants]])),Tasks[[#This Row],[_LeafBudget]]))</f>
        <v/>
      </c>
      <c r="BR90" s="111" t="str">
        <f aca="false">IF(Tasks[[#This Row],[Task Name]]="","",IF(Tasks[[#This Row],[_IsSummary]],SUM(INDEX(Tasks[_LeafPV],Tasks[[#This Row],[_Row]]+1):INDEX(Tasks[_LeafPV],Tasks[[#This Row],[_Row]]+Tasks[[#This Row],[_Descendants]])),Tasks[[#This Row],[_LeafPV]]))</f>
        <v/>
      </c>
      <c r="BS90" s="111" t="str">
        <f aca="false">IF(Tasks[[#This Row],[Task Name]]="","",IF(Tasks[[#This Row],[_IsSummary]],SUM(INDEX(Tasks[_LeafAC],Tasks[[#This Row],[_Row]]+1):INDEX(Tasks[_LeafAC],Tasks[[#This Row],[_Row]]+Tasks[[#This Row],[_Descendants]])),Tasks[[#This Row],[_LeafAC]]))</f>
        <v/>
      </c>
      <c r="BT90" s="38" t="str">
        <f aca="false">IF(Tasks[[#This Row],[Task Name]]="","",MAX(1,N(Tasks[[#This Row],[Level]])))</f>
        <v/>
      </c>
      <c r="BU90" s="38" t="n">
        <f aca="false">ROW()-ROW(Tasks[[#Headers],[ID]])</f>
        <v>85</v>
      </c>
      <c r="BV90" s="38" t="n">
        <f aca="false">IF(OR(Tasks[[#This Row],[Task Name]]="",Tasks[[#This Row],[_Level]]&lt;=1),0,IFERROR(LOOKUP(2,1/(Tasks[[#Headers],[_Level]]:Tasks[[#This Row],[_Level]]=Tasks[[#This Row],[_Level]]-1),ROW(Tasks[[#Headers],[_Level]]:Tasks[[#This Row],[_Level]])),0))</f>
        <v>0</v>
      </c>
      <c r="BW90" s="38" t="n">
        <f aca="false">IFERROR(N(INDEX(Tasks[_Level],Tasks[[#This Row],[_Row]]+1)),0)</f>
        <v>0</v>
      </c>
      <c r="BX90" s="114" t="b">
        <f aca="false">AND(Tasks[[#This Row],[Task Name]]&lt;&gt;"",Tasks[[#This Row],[_NextLevel]]&gt;Tasks[[#This Row],[_Level]])</f>
        <v>0</v>
      </c>
      <c r="BY90" s="38" t="n">
        <f aca="false">IF(Tasks[[#This Row],[_IsSummary]],COUNTIF(Tasks[WBS],Tasks[[#This Row],[WBS]]&amp;".*"),0)</f>
        <v>0</v>
      </c>
      <c r="BZ90" s="38" t="n">
        <f aca="false">IF(AND(Tasks[[#This Row],[Task Name]]&lt;&gt;"",NOT(Tasks[[#This Row],[_IsSummary]])),1,0)</f>
        <v>0</v>
      </c>
      <c r="CA90" s="38" t="n">
        <f aca="false">IF(N(Tasks[[#This Row],[Pred1 UID]])=0,0,IFERROR(MATCH(Tasks[[#This Row],[Pred1 UID]],Tasks[UID],0),-1))</f>
        <v>0</v>
      </c>
      <c r="CB90" s="38" t="n">
        <f aca="false">IF(N(Tasks[[#This Row],[Pred2 UID]])=0,0,IFERROR(MATCH(Tasks[[#This Row],[Pred2 UID]],Tasks[UID],0),-1))</f>
        <v>0</v>
      </c>
      <c r="CC90" s="38" t="n">
        <f aca="false">IF(N(Tasks[[#This Row],[Pred3 UID]])=0,0,IFERROR(MATCH(Tasks[[#This Row],[Pred3 UID]],Tasks[UID],0),-1))</f>
        <v>0</v>
      </c>
      <c r="CD90" s="38" t="n">
        <f aca="false">IF(N(Tasks[[#This Row],[Pred4 UID]])=0,0,IFERROR(MATCH(Tasks[[#This Row],[Pred4 UID]],Tasks[UID],0),-1))</f>
        <v>0</v>
      </c>
      <c r="CE9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0" s="115" t="n">
        <f aca="false">IF(OR(Tasks[[#This Row],[_ConstraintCode]]=2,Tasks[[#This Row],[_ConstraintCode]]=3,Tasks[[#This Row],[_ConstraintCode]]=4,Tasks[[#This Row],[_ConstraintCode]]=6),Tasks[[#This Row],[_ConstraintStart]],0)</f>
        <v>0</v>
      </c>
      <c r="CH90" s="115" t="n">
        <f aca="false">IF(OR(Tasks[[#This Row],[_ConstraintCode]]=2,Tasks[[#This Row],[_ConstraintCode]]=3,Tasks[[#This Row],[_ConstraintCode]]=5,Tasks[[#This Row],[_ConstraintCode]]=7),Tasks[[#This Row],[_ConstraintStart]],2958465)</f>
        <v>2958465</v>
      </c>
      <c r="CI9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0" s="115" t="str">
        <f aca="false">IF(NOT(Tasks[[#This Row],[_IsLeaf]]=1),"",IF(N(Tasks[[#This Row],[Duration]])&lt;=0,Tasks[[#This Row],[_LeafCalcStart]],WORKDAY.INTL(Tasks[[#This Row],[_LeafCalcStart]],Tasks[[#This Row],[Duration]]-1,WorkWeek,Holidays)))</f>
        <v/>
      </c>
      <c r="CK9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0" s="38" t="n">
        <f aca="false">IF(NOT(Tasks[[#This Row],[_IsLeaf]]=1),0,IF(N(Tasks[[#This Row],[Actual Finish]])&gt;0,1,MIN(1,N(Tasks[[#This Row],[% Complete]]))))</f>
        <v>0</v>
      </c>
      <c r="CN90" s="38" t="n">
        <f aca="false">IF(OR(NOT(Tasks[[#This Row],[_IsLeaf]]=1),Tasks[[#This Row],[Resource]]=""),0,N(Tasks[[#This Row],[Duration]])*HoursPerDay*IF(Tasks[[#This Row],[Units]]="",DefaultUnits,Tasks[[#This Row],[Units]]))</f>
        <v>0</v>
      </c>
      <c r="CO90" s="38" t="n">
        <f aca="false">IF(Tasks[[#This Row],[_LeafWork]]=0,0,Tasks[[#This Row],[_LeafWork]]*IFERROR(INDEX(res_Rate,MATCH(Tasks[[#This Row],[Resource]],res_Name,0)),0))</f>
        <v>0</v>
      </c>
      <c r="CP90" s="38" t="n">
        <f aca="false">Tasks[[#This Row],[_LeafWork]]+IF(Tasks[[#This Row],[_IsLeaf]]=1,SUMIFS(asg_Work,asg_TaskUID,Tasks[[#This Row],[UID]],asg_Valid,1),0)</f>
        <v>0</v>
      </c>
      <c r="CQ90" s="38" t="n">
        <f aca="false">Tasks[[#This Row],[_LeafCost]]+IF(Tasks[[#This Row],[_IsLeaf]]=1,SUMIFS(asg_Cost,asg_TaskUID,Tasks[[#This Row],[UID]],asg_Valid,1),0)</f>
        <v>0</v>
      </c>
      <c r="CR90" s="38" t="n">
        <f aca="false">IF(Tasks[[#This Row],[_LeafTotalCost]]=0,Tasks[[#This Row],[_LeafAC]],Tasks[[#This Row],[_LeafAC]]*Tasks[[#This Row],[_LeafCost]]/Tasks[[#This Row],[_LeafTotalCost]])</f>
        <v>0</v>
      </c>
      <c r="CS9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0" s="38" t="n">
        <f aca="false">IF(NOT(Tasks[[#This Row],[_IsLeaf]]=1),0,MAX(_xlfn.MAXIFS(Tasks[_Row],Tasks[Pred1 UID],Tasks[[#This Row],[UID]]),_xlfn.MAXIFS(Tasks[_Row],Tasks[Pred2 UID],Tasks[[#This Row],[UID]]),_xlfn.MAXIFS(Tasks[_Row],Tasks[Pred3 UID],Tasks[[#This Row],[UID]]),_xlfn.MAXIFS(Tasks[_Row],Tasks[Pred4 UID],Tasks[[#This Row],[UID]])))</f>
        <v>0</v>
      </c>
      <c r="DB9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0" s="115" t="str">
        <f aca="false">IF(NOT(Tasks[[#This Row],[_IsLeaf]]=1),"",IF(N(Tasks[[#This Row],[Duration]])&lt;=0,Tasks[[#This Row],[_LeafLateFinish]],WORKDAY.INTL(Tasks[[#This Row],[_LeafLateFinish]],-(Tasks[[#This Row],[Duration]]-1),WorkWeek,Holidays)))</f>
        <v/>
      </c>
      <c r="DE9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0" s="114" t="b">
        <f aca="false">AND(Tasks[[#This Row],[_IsLeaf]]=1,Tasks[[#This Row],[_LeafProgress]]&lt;1,N(Tasks[[#This Row],[_LeafTotalSlack]])&lt;=CriticalSlackDays)</f>
        <v>0</v>
      </c>
      <c r="DG90" s="38" t="n">
        <f aca="false">IF(AND(Tasks[[#This Row],[_IsLeaf]]=1,Tasks[[#This Row],[_ConstraintCode]]=1,Tasks[[#This Row],[Mode]]&lt;&gt;"Manual",N(Tasks[[#This Row],[Actual Start]])=0),MAX(0,N(Tasks[[#This Row],[Free Slack]])),0)</f>
        <v>0</v>
      </c>
      <c r="DH90" s="115" t="str">
        <f aca="false">IF(NOT(Tasks[[#This Row],[_IsLeaf]]=1),"",IF(Tasks[[#This Row],[_AlapShift]]=0,Tasks[[#This Row],[_LeafCalcStart]],WORKDAY.INTL(Tasks[[#This Row],[_LeafCalcStart]],Tasks[[#This Row],[_AlapShift]],WorkWeek,Holidays)))</f>
        <v/>
      </c>
      <c r="DI90" s="115" t="str">
        <f aca="false">IF(NOT(Tasks[[#This Row],[_IsLeaf]]=1),"",IF(Tasks[[#This Row],[_AlapShift]]=0,Tasks[[#This Row],[_LeafCalcFinish]],WORKDAY.INTL(Tasks[[#This Row],[_LeafCalcFinish]],Tasks[[#This Row],[_AlapShift]],WorkWeek,Holidays)))</f>
        <v/>
      </c>
      <c r="DJ90" s="115" t="str">
        <f aca="false">IF(NOT(Tasks[[#This Row],[_IsLeaf]]=1),"",IF(Tasks[[#This Row],[_AlapShift]]=0,Tasks[[#This Row],[_LeafFcstStart]],WORKDAY.INTL(Tasks[[#This Row],[_LeafFcstStart]],Tasks[[#This Row],[_AlapShift]],WorkWeek,Holidays)))</f>
        <v/>
      </c>
      <c r="DK90" s="115" t="str">
        <f aca="false">IF(NOT(Tasks[[#This Row],[_IsLeaf]]=1),"",IF(Tasks[[#This Row],[_AlapShift]]=0,Tasks[[#This Row],[_LeafFcstFinish]],WORKDAY.INTL(Tasks[[#This Row],[_LeafFcstFinish]],Tasks[[#This Row],[_AlapShift]],WorkWeek,Holidays)))</f>
        <v/>
      </c>
      <c r="DL90" s="115" t="str">
        <f aca="false">IF(Tasks[[#This Row],[Task Name]]="","",IF(Tasks[[#This Row],[_IsSummary]],MIN(INDEX(Tasks[_ShownCalcStart],Tasks[[#This Row],[_Row]]+1):INDEX(Tasks[_ShownCalcStart],Tasks[[#This Row],[_Row]]+Tasks[[#This Row],[_Descendants]])),Tasks[[#This Row],[_ShownCalcStart]]))</f>
        <v/>
      </c>
      <c r="DM90" s="115" t="str">
        <f aca="false">IF(Tasks[[#This Row],[Task Name]]="","",IF(Tasks[[#This Row],[_IsSummary]],MAX(INDEX(Tasks[_ShownCalcFinish],Tasks[[#This Row],[_Row]]+1):INDEX(Tasks[_ShownCalcFinish],Tasks[[#This Row],[_Row]]+Tasks[[#This Row],[_Descendants]])),Tasks[[#This Row],[_ShownCalcFinish]]))</f>
        <v/>
      </c>
      <c r="DN9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0" s="38" t="n">
        <f aca="false">IF(AND(Tasks[[#This Row],[_IsLeaf]]=1,Tasks[[#This Row],[_LeafTotalWork]]&gt;0),NETWORKDAYS.INTL(ProjectStart,Tasks[[#This Row],[_ShownFcstStart]],WorkWeek,Holidays),0)</f>
        <v>0</v>
      </c>
      <c r="EA90" s="38" t="n">
        <f aca="false">IF(AND(Tasks[[#This Row],[_IsLeaf]]=1,Tasks[[#This Row],[_LeafTotalWork]]&gt;0),MAX(Tasks[[#This Row],[_StartWorkday]],NETWORKDAYS.INTL(ProjectStart,Tasks[[#This Row],[_ShownFcstFinish]],WorkWeek,Holidays)),0)</f>
        <v>0</v>
      </c>
      <c r="EB90" s="38" t="n">
        <f aca="false">IF(AND(Tasks[[#This Row],[_IsLeaf]]=1,Tasks[[#This Row],[_LeafTotalWork]]&gt;0),Tasks[[#This Row],[_LeafWork]]/(Tasks[[#This Row],[_FinishWorkday]]-Tasks[[#This Row],[_StartWorkday]]+1),0)</f>
        <v>0</v>
      </c>
      <c r="EC90" s="38" t="n">
        <f aca="false">Tasks[[#This Row],[_WorkPerWorkday]]*(Tasks[[#This Row],[_StartWorkday]]-1)</f>
        <v>-0</v>
      </c>
      <c r="ED90" s="38" t="n">
        <f aca="false">IF(Tasks[[#This Row],[_IsLeaf]]=1,MAX(N(Tasks[[#This Row],[Duration]]),0.1),0)</f>
        <v>0</v>
      </c>
      <c r="EE90" s="38" t="n">
        <f aca="false">Tasks[[#This Row],[_WeightDur]]*Tasks[[#This Row],[_LeafProgress]]</f>
        <v>0</v>
      </c>
      <c r="EF9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0" s="38" t="str">
        <f aca="false">IF(AND(Tasks[[#This Row],[_IsLeaf]]=1,N(Tasks[[#This Row],[Duration]])=0,Tasks[[#This Row],[_LeafProgress]]&lt;1),Tasks[[#This Row],[_ShownFcstFinish]]+Tasks[[#This Row],[_Row]]/100000,"")</f>
        <v/>
      </c>
      <c r="EH9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0" s="38" t="n">
        <f aca="false">IF(NOT(Tasks[[#This Row],[_IsLeaf]]=1),0,IF(Tasks[[#This Row],[Baseline Cost]]="",Tasks[[#This Row],[_LeafTotalCost]],N(Tasks[[#This Row],[Baseline Cost]])))</f>
        <v>0</v>
      </c>
      <c r="EJ90" s="38" t="n">
        <f aca="false">Tasks[[#This Row],[_LeafBudget]]*Tasks[[#This Row],[_PlannedPct]]</f>
        <v>0</v>
      </c>
      <c r="EK90" s="38" t="n">
        <f aca="false">Tasks[[#This Row],[_LeafBudget]]*Tasks[[#This Row],[_LeafProgress]]</f>
        <v>0</v>
      </c>
      <c r="EL90" s="38" t="n">
        <f aca="false">IF(NOT(Tasks[[#This Row],[_IsLeaf]]=1),0,IF(Tasks[[#This Row],[Actual Cost]]="",Tasks[[#This Row],[_LeafTotalCost]]*Tasks[[#This Row],[_LeafProgress]],N(Tasks[[#This Row],[Actual Cost]])))</f>
        <v>0</v>
      </c>
      <c r="EM90" s="38" t="str">
        <f aca="false">IF(Tasks[[#This Row],[Task Name]]="","",LEFT(Tasks[[#This Row],[WBS]],FIND(".",Tasks[[#This Row],[WBS]]&amp;".")-1))</f>
        <v/>
      </c>
      <c r="EN90" s="38" t="str">
        <f aca="false">IF(AND(Tasks[[#This Row],[Task Name]]&lt;&gt;"",Tasks[[#This Row],[_Level]]=1),Tasks[[#This Row],[_Row]],"")</f>
        <v/>
      </c>
      <c r="EO90" s="38" t="str">
        <f aca="false">IF(AND(Tasks[[#This Row],[_IsLeaf]]=1,N(Tasks[[#This Row],[Duration]])=0),Tasks[[#This Row],[Planned Finish]]+Tasks[[#This Row],[_Row]]/100000,"")</f>
        <v/>
      </c>
      <c r="EP90" s="38" t="str">
        <f aca="false">IF(AND(Tasks[[#This Row],[_IsLeaf]]=1,Tasks[[#This Row],[_LeafProgress]]&lt;1,OR(N(Tasks[[#This Row],[Finish Var]])&gt;0,Tasks[[#This Row],[Status]]="Late Start")),MAX(0,Tasks[[#This Row],[Finish Var]])+1-Tasks[[#This Row],[_Row]]/1000000,"")</f>
        <v/>
      </c>
      <c r="EQ90" s="38" t="str">
        <f aca="false">IF(AND(Tasks[[#This Row],[_IsLeaf]]=1,N(Tasks[[#This Row],[Actual Start]])=0,Tasks[[#This Row],[_ShownFcstStart]]&gt;=StatusDate,Tasks[[#This Row],[_ShownFcstStart]]&lt;=LookaheadEnd),Tasks[[#This Row],[_ShownFcstStart]]+Tasks[[#This Row],[_Row]]/100000,"")</f>
        <v/>
      </c>
      <c r="ER90" s="38" t="str">
        <f aca="false">IF(AND(Tasks[[#This Row],[_IsLeaf]]=1,Tasks[[#This Row],[_LeafProgress]]&lt;1,Tasks[[#This Row],[_ShownFcstFinish]]&gt;=StatusDate,Tasks[[#This Row],[_ShownFcstFinish]]&lt;=LookaheadEnd),Tasks[[#This Row],[_ShownFcstFinish]]+Tasks[[#This Row],[_Row]]/100000,"")</f>
        <v/>
      </c>
      <c r="ES90" s="38" t="str">
        <f aca="false">IF(Tasks[[#This Row],[_LeafCritical]],Tasks[[#This Row],[_ShownFcstStart]]+Tasks[[#This Row],[_Row]]/100000,"")</f>
        <v/>
      </c>
      <c r="ET90" s="38" t="n">
        <f aca="false">Tasks[[#This Row],[_LeafWork]]*Tasks[[#This Row],[_LeafProgress]]</f>
        <v>0</v>
      </c>
      <c r="EU90" s="115" t="str">
        <f aca="false">IF(AND(Tasks[[#This Row],[_IsLeaf]]=1,Tasks[[#This Row],[_LeafProgress]]&gt;=1),IF(N(Tasks[[#This Row],[Actual Finish]])&gt;0,Tasks[[#This Row],[Actual Finish]],Tasks[[#This Row],[_ShownFcstFinish]]),"")</f>
        <v/>
      </c>
      <c r="EV90" s="38" t="n">
        <f aca="false">IF(Tasks[[#This Row],[_IsLeaf]]=1,N(Tasks[[#This Row],[Story Points]]),0)</f>
        <v>0</v>
      </c>
      <c r="EW90" s="38" t="str">
        <f aca="false">IF(AND(Tasks[[#This Row],[_IsLeaf]]=1,CurrentSprint&lt;&gt;"",Tasks[[#This Row],[Sprint]]=CurrentSprint),Tasks[[#This Row],[_Row]],"")</f>
        <v/>
      </c>
    </row>
    <row r="91" customFormat="false" ht="15" hidden="false" customHeight="false" outlineLevel="0" collapsed="false">
      <c r="A91" s="51" t="str">
        <f aca="false">IF(Tasks[[#This Row],[Task Name]]="","",COUNTA(Tasks[[#Headers],[Task Name]]:Tasks[[#This Row],[Task Name]])-1)</f>
        <v/>
      </c>
      <c r="B91" s="52" t="n">
        <v>86</v>
      </c>
      <c r="C9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52"/>
      <c r="E91" s="53"/>
      <c r="F91" s="52"/>
      <c r="G91" s="52"/>
      <c r="H91" s="52"/>
      <c r="I91" s="52"/>
      <c r="J91" s="52"/>
      <c r="K91" s="52"/>
      <c r="L91" s="52"/>
      <c r="M91" s="52"/>
      <c r="N91" s="52"/>
      <c r="O91" s="52"/>
      <c r="P91" s="52"/>
      <c r="Q91" s="52"/>
      <c r="R91" s="52"/>
      <c r="S91" s="53"/>
      <c r="T91" s="102"/>
      <c r="U91" s="102"/>
      <c r="V91" s="7"/>
      <c r="W91" s="7"/>
      <c r="X91" s="53"/>
      <c r="Y91" s="31" t="str">
        <f aca="false">IF(Tasks[[#This Row],[Task Name]]="","",IF(Tasks[[#This Row],[_IsSummary]],MIN(INDEX(Tasks[_ShownFcstStart],Tasks[[#This Row],[_Row]]+1):INDEX(Tasks[_ShownFcstStart],Tasks[[#This Row],[_Row]]+Tasks[[#This Row],[_Descendants]])),Tasks[[#This Row],[_ShownFcstStart]]))</f>
        <v/>
      </c>
      <c r="Z91" s="31" t="str">
        <f aca="false">IF(Tasks[[#This Row],[Task Name]]="","",IF(Tasks[[#This Row],[_IsSummary]],MAX(INDEX(Tasks[_ShownFcstFinish],Tasks[[#This Row],[_Row]]+1):INDEX(Tasks[_ShownFcstFinish],Tasks[[#This Row],[_Row]]+Tasks[[#This Row],[_Descendants]])),Tasks[[#This Row],[_ShownFcstFinish]]))</f>
        <v/>
      </c>
      <c r="AA91" s="51" t="str">
        <f aca="false">IF(Tasks[[#This Row],[Task Name]]="","",IF(Tasks[[#This Row],[Progress]]&gt;=1,"Complete",IF(OR(N(Tasks[[#This Row],[Actual Start]])&gt;0,Tasks[[#This Row],[Progress]]&gt;0),IF(Tasks[[#This Row],[Finish Var]]&gt;0,"Behind","In Progress"),IF(Tasks[[#This Row],[Planned Start]]&lt;StatusDate,"Late Start","Not Started"))))</f>
        <v/>
      </c>
      <c r="AB91" s="51" t="str">
        <f aca="false">IF(Tasks[[#This Row],[Task Name]]="","",IF(IF(Tasks[[#This Row],[_IsSummary]],COUNTIF(INDEX(Tasks[_LeafCritical],Tasks[[#This Row],[_Row]]+1):INDEX(Tasks[_LeafCritical],Tasks[[#This Row],[_Row]]+Tasks[[#This Row],[_Descendants]]),TRUE())&gt;0,Tasks[[#This Row],[_LeafCritical]]),"Yes",""))</f>
        <v/>
      </c>
      <c r="AC9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1" s="51" t="str">
        <f aca="false">IF(Tasks[[#This Row],[Task Name]]="","",IF(Tasks[[#This Row],[_Level]]&lt;=OutlineShowLevel,"Yes","No"))</f>
        <v/>
      </c>
      <c r="AE91" s="7"/>
      <c r="AF91" s="52"/>
      <c r="AG91" s="53"/>
      <c r="AH91" s="7"/>
      <c r="AI9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1" s="31" t="str">
        <f aca="false">IF(Tasks[[#This Row],[Task Name]]="","",IF(N(Tasks[[#This Row],[Baseline Start]])&gt;0,Tasks[[#This Row],[Baseline Start]],Tasks[[#This Row],[_CalcStart]]))</f>
        <v/>
      </c>
      <c r="AK91" s="31" t="str">
        <f aca="false">IF(Tasks[[#This Row],[Task Name]]="","",IF(N(Tasks[[#This Row],[Baseline Finish]])&gt;0,Tasks[[#This Row],[Baseline Finish]],Tasks[[#This Row],[_CalcFinish]]))</f>
        <v/>
      </c>
      <c r="AL9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1" s="31" t="str">
        <f aca="false">IF(Tasks[[#This Row],[Task Name]]="","",IF(Tasks[[#This Row],[_IsSummary]],MIN(INDEX(Tasks[_LeafLateStart],Tasks[[#This Row],[_Row]]+1):INDEX(Tasks[_LeafLateStart],Tasks[[#This Row],[_Row]]+Tasks[[#This Row],[_Descendants]])),Tasks[[#This Row],[_LeafLateStart]]))</f>
        <v/>
      </c>
      <c r="AN91" s="31" t="str">
        <f aca="false">IF(Tasks[[#This Row],[Task Name]]="","",IF(Tasks[[#This Row],[_IsSummary]],MAX(INDEX(Tasks[_LeafLateFinish],Tasks[[#This Row],[_Row]]+1):INDEX(Tasks[_LeafLateFinish],Tasks[[#This Row],[_Row]]+Tasks[[#This Row],[_Descendants]])),Tasks[[#This Row],[_LeafLateFinish]]))</f>
        <v/>
      </c>
      <c r="AO91" s="51" t="str">
        <f aca="false">IF(Tasks[[#This Row],[Task Name]]="","",IF(Tasks[[#This Row],[_IsSummary]],MIN(INDEX(Tasks[_LeafTotalSlack],Tasks[[#This Row],[_Row]]+1):INDEX(Tasks[_LeafTotalSlack],Tasks[[#This Row],[_Row]]+Tasks[[#This Row],[_Descendants]])),Tasks[[#This Row],[_LeafTotalSlack]]))</f>
        <v/>
      </c>
      <c r="AP9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1" s="110" t="str">
        <f aca="false">IF(Tasks[[#This Row],[Task Name]]="","",IF(Tasks[[#This Row],[_IsSummary]],SUM(INDEX(Tasks[_LeafTotalWork],Tasks[[#This Row],[_Row]]+1):INDEX(Tasks[_LeafTotalWork],Tasks[[#This Row],[_Row]]+Tasks[[#This Row],[_Descendants]])),Tasks[[#This Row],[_LeafTotalWork]]))</f>
        <v/>
      </c>
      <c r="AV9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1" s="111" t="str">
        <f aca="false">IF(Tasks[[#This Row],[Task Name]]="","",IF(Tasks[[#This Row],[_IsSummary]],SUM(INDEX(Tasks[_LeafTotalCost],Tasks[[#This Row],[_Row]]+1):INDEX(Tasks[_LeafTotalCost],Tasks[[#This Row],[_Row]]+Tasks[[#This Row],[_Descendants]])),Tasks[[#This Row],[_LeafTotalCost]]))</f>
        <v/>
      </c>
      <c r="AY91" s="112"/>
      <c r="AZ9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1" s="52"/>
      <c r="BB91" s="98"/>
      <c r="BC91" s="51" t="str">
        <f aca="false">IF(OR(Tasks[[#This Row],[Task Name]]="",Tasks[[#This Row],[Baseline Duration]]=""),"",Tasks[[#This Row],[BL Source Duration]]-N(Tasks[[#This Row],[Baseline Duration]]))</f>
        <v/>
      </c>
      <c r="BD91" s="110" t="str">
        <f aca="false">IF(OR(Tasks[[#This Row],[Task Name]]="",Tasks[[#This Row],[Baseline Work]]=""),"",Tasks[[#This Row],[Work]]-N(Tasks[[#This Row],[Baseline Work]]))</f>
        <v/>
      </c>
      <c r="BE91" s="111" t="str">
        <f aca="false">IF(OR(Tasks[[#This Row],[Task Name]]="",Tasks[[#This Row],[Baseline Cost]]=""),"",Tasks[[#This Row],[Cost]]-N(Tasks[[#This Row],[Baseline Cost]]))</f>
        <v/>
      </c>
      <c r="BF91" s="31" t="str">
        <f aca="false">IF(Tasks[[#This Row],[Task Name]]="","",Tasks[[#This Row],[Forecast Start]])</f>
        <v/>
      </c>
      <c r="BG91" s="31" t="str">
        <f aca="false">IF(Tasks[[#This Row],[Task Name]]="","",Tasks[[#This Row],[Forecast Finish]])</f>
        <v/>
      </c>
      <c r="BH91" s="51" t="str">
        <f aca="false">IF(Tasks[[#This Row],[Task Name]]="","",IF(Tasks[[#This Row],[_IsSummary]],NETWORKDAYS.INTL(Tasks[[#This Row],[Forecast Start]],Tasks[[#This Row],[Forecast Finish]],WorkWeek,Holidays),N(Tasks[[#This Row],[Duration]])))</f>
        <v/>
      </c>
      <c r="BI91" s="110" t="str">
        <f aca="false">IF(Tasks[[#This Row],[Task Name]]="","",Tasks[[#This Row],[Work]])</f>
        <v/>
      </c>
      <c r="BJ91" s="111" t="str">
        <f aca="false">IF(Tasks[[#This Row],[Task Name]]="","",Tasks[[#This Row],[Cost]])</f>
        <v/>
      </c>
      <c r="BK91" s="7"/>
      <c r="BL91" s="7"/>
      <c r="BM91" s="52"/>
      <c r="BN91" s="113"/>
      <c r="BO91" s="112"/>
      <c r="BP91" s="111" t="str">
        <f aca="false">IF(Tasks[[#This Row],[Task Name]]="","",IF(Tasks[[#This Row],[_IsSummary]],SUM(INDEX(Tasks[_LeafEV],Tasks[[#This Row],[_Row]]+1):INDEX(Tasks[_LeafEV],Tasks[[#This Row],[_Row]]+Tasks[[#This Row],[_Descendants]])),Tasks[[#This Row],[_LeafEV]]))</f>
        <v/>
      </c>
      <c r="BQ91" s="111" t="str">
        <f aca="false">IF(Tasks[[#This Row],[Task Name]]="","",IF(Tasks[[#This Row],[_IsSummary]],SUM(INDEX(Tasks[_LeafBudget],Tasks[[#This Row],[_Row]]+1):INDEX(Tasks[_LeafBudget],Tasks[[#This Row],[_Row]]+Tasks[[#This Row],[_Descendants]])),Tasks[[#This Row],[_LeafBudget]]))</f>
        <v/>
      </c>
      <c r="BR91" s="111" t="str">
        <f aca="false">IF(Tasks[[#This Row],[Task Name]]="","",IF(Tasks[[#This Row],[_IsSummary]],SUM(INDEX(Tasks[_LeafPV],Tasks[[#This Row],[_Row]]+1):INDEX(Tasks[_LeafPV],Tasks[[#This Row],[_Row]]+Tasks[[#This Row],[_Descendants]])),Tasks[[#This Row],[_LeafPV]]))</f>
        <v/>
      </c>
      <c r="BS91" s="111" t="str">
        <f aca="false">IF(Tasks[[#This Row],[Task Name]]="","",IF(Tasks[[#This Row],[_IsSummary]],SUM(INDEX(Tasks[_LeafAC],Tasks[[#This Row],[_Row]]+1):INDEX(Tasks[_LeafAC],Tasks[[#This Row],[_Row]]+Tasks[[#This Row],[_Descendants]])),Tasks[[#This Row],[_LeafAC]]))</f>
        <v/>
      </c>
      <c r="BT91" s="38" t="str">
        <f aca="false">IF(Tasks[[#This Row],[Task Name]]="","",MAX(1,N(Tasks[[#This Row],[Level]])))</f>
        <v/>
      </c>
      <c r="BU91" s="38" t="n">
        <f aca="false">ROW()-ROW(Tasks[[#Headers],[ID]])</f>
        <v>86</v>
      </c>
      <c r="BV91" s="38" t="n">
        <f aca="false">IF(OR(Tasks[[#This Row],[Task Name]]="",Tasks[[#This Row],[_Level]]&lt;=1),0,IFERROR(LOOKUP(2,1/(Tasks[[#Headers],[_Level]]:Tasks[[#This Row],[_Level]]=Tasks[[#This Row],[_Level]]-1),ROW(Tasks[[#Headers],[_Level]]:Tasks[[#This Row],[_Level]])),0))</f>
        <v>0</v>
      </c>
      <c r="BW91" s="38" t="n">
        <f aca="false">IFERROR(N(INDEX(Tasks[_Level],Tasks[[#This Row],[_Row]]+1)),0)</f>
        <v>0</v>
      </c>
      <c r="BX91" s="114" t="b">
        <f aca="false">AND(Tasks[[#This Row],[Task Name]]&lt;&gt;"",Tasks[[#This Row],[_NextLevel]]&gt;Tasks[[#This Row],[_Level]])</f>
        <v>0</v>
      </c>
      <c r="BY91" s="38" t="n">
        <f aca="false">IF(Tasks[[#This Row],[_IsSummary]],COUNTIF(Tasks[WBS],Tasks[[#This Row],[WBS]]&amp;".*"),0)</f>
        <v>0</v>
      </c>
      <c r="BZ91" s="38" t="n">
        <f aca="false">IF(AND(Tasks[[#This Row],[Task Name]]&lt;&gt;"",NOT(Tasks[[#This Row],[_IsSummary]])),1,0)</f>
        <v>0</v>
      </c>
      <c r="CA91" s="38" t="n">
        <f aca="false">IF(N(Tasks[[#This Row],[Pred1 UID]])=0,0,IFERROR(MATCH(Tasks[[#This Row],[Pred1 UID]],Tasks[UID],0),-1))</f>
        <v>0</v>
      </c>
      <c r="CB91" s="38" t="n">
        <f aca="false">IF(N(Tasks[[#This Row],[Pred2 UID]])=0,0,IFERROR(MATCH(Tasks[[#This Row],[Pred2 UID]],Tasks[UID],0),-1))</f>
        <v>0</v>
      </c>
      <c r="CC91" s="38" t="n">
        <f aca="false">IF(N(Tasks[[#This Row],[Pred3 UID]])=0,0,IFERROR(MATCH(Tasks[[#This Row],[Pred3 UID]],Tasks[UID],0),-1))</f>
        <v>0</v>
      </c>
      <c r="CD91" s="38" t="n">
        <f aca="false">IF(N(Tasks[[#This Row],[Pred4 UID]])=0,0,IFERROR(MATCH(Tasks[[#This Row],[Pred4 UID]],Tasks[UID],0),-1))</f>
        <v>0</v>
      </c>
      <c r="CE9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1" s="115" t="n">
        <f aca="false">IF(OR(Tasks[[#This Row],[_ConstraintCode]]=2,Tasks[[#This Row],[_ConstraintCode]]=3,Tasks[[#This Row],[_ConstraintCode]]=4,Tasks[[#This Row],[_ConstraintCode]]=6),Tasks[[#This Row],[_ConstraintStart]],0)</f>
        <v>0</v>
      </c>
      <c r="CH91" s="115" t="n">
        <f aca="false">IF(OR(Tasks[[#This Row],[_ConstraintCode]]=2,Tasks[[#This Row],[_ConstraintCode]]=3,Tasks[[#This Row],[_ConstraintCode]]=5,Tasks[[#This Row],[_ConstraintCode]]=7),Tasks[[#This Row],[_ConstraintStart]],2958465)</f>
        <v>2958465</v>
      </c>
      <c r="CI9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1" s="115" t="str">
        <f aca="false">IF(NOT(Tasks[[#This Row],[_IsLeaf]]=1),"",IF(N(Tasks[[#This Row],[Duration]])&lt;=0,Tasks[[#This Row],[_LeafCalcStart]],WORKDAY.INTL(Tasks[[#This Row],[_LeafCalcStart]],Tasks[[#This Row],[Duration]]-1,WorkWeek,Holidays)))</f>
        <v/>
      </c>
      <c r="CK9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1" s="38" t="n">
        <f aca="false">IF(NOT(Tasks[[#This Row],[_IsLeaf]]=1),0,IF(N(Tasks[[#This Row],[Actual Finish]])&gt;0,1,MIN(1,N(Tasks[[#This Row],[% Complete]]))))</f>
        <v>0</v>
      </c>
      <c r="CN91" s="38" t="n">
        <f aca="false">IF(OR(NOT(Tasks[[#This Row],[_IsLeaf]]=1),Tasks[[#This Row],[Resource]]=""),0,N(Tasks[[#This Row],[Duration]])*HoursPerDay*IF(Tasks[[#This Row],[Units]]="",DefaultUnits,Tasks[[#This Row],[Units]]))</f>
        <v>0</v>
      </c>
      <c r="CO91" s="38" t="n">
        <f aca="false">IF(Tasks[[#This Row],[_LeafWork]]=0,0,Tasks[[#This Row],[_LeafWork]]*IFERROR(INDEX(res_Rate,MATCH(Tasks[[#This Row],[Resource]],res_Name,0)),0))</f>
        <v>0</v>
      </c>
      <c r="CP91" s="38" t="n">
        <f aca="false">Tasks[[#This Row],[_LeafWork]]+IF(Tasks[[#This Row],[_IsLeaf]]=1,SUMIFS(asg_Work,asg_TaskUID,Tasks[[#This Row],[UID]],asg_Valid,1),0)</f>
        <v>0</v>
      </c>
      <c r="CQ91" s="38" t="n">
        <f aca="false">Tasks[[#This Row],[_LeafCost]]+IF(Tasks[[#This Row],[_IsLeaf]]=1,SUMIFS(asg_Cost,asg_TaskUID,Tasks[[#This Row],[UID]],asg_Valid,1),0)</f>
        <v>0</v>
      </c>
      <c r="CR91" s="38" t="n">
        <f aca="false">IF(Tasks[[#This Row],[_LeafTotalCost]]=0,Tasks[[#This Row],[_LeafAC]],Tasks[[#This Row],[_LeafAC]]*Tasks[[#This Row],[_LeafCost]]/Tasks[[#This Row],[_LeafTotalCost]])</f>
        <v>0</v>
      </c>
      <c r="CS9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1" s="38" t="n">
        <f aca="false">IF(NOT(Tasks[[#This Row],[_IsLeaf]]=1),0,MAX(_xlfn.MAXIFS(Tasks[_Row],Tasks[Pred1 UID],Tasks[[#This Row],[UID]]),_xlfn.MAXIFS(Tasks[_Row],Tasks[Pred2 UID],Tasks[[#This Row],[UID]]),_xlfn.MAXIFS(Tasks[_Row],Tasks[Pred3 UID],Tasks[[#This Row],[UID]]),_xlfn.MAXIFS(Tasks[_Row],Tasks[Pred4 UID],Tasks[[#This Row],[UID]])))</f>
        <v>0</v>
      </c>
      <c r="DB9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1" s="115" t="str">
        <f aca="false">IF(NOT(Tasks[[#This Row],[_IsLeaf]]=1),"",IF(N(Tasks[[#This Row],[Duration]])&lt;=0,Tasks[[#This Row],[_LeafLateFinish]],WORKDAY.INTL(Tasks[[#This Row],[_LeafLateFinish]],-(Tasks[[#This Row],[Duration]]-1),WorkWeek,Holidays)))</f>
        <v/>
      </c>
      <c r="DE9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1" s="114" t="b">
        <f aca="false">AND(Tasks[[#This Row],[_IsLeaf]]=1,Tasks[[#This Row],[_LeafProgress]]&lt;1,N(Tasks[[#This Row],[_LeafTotalSlack]])&lt;=CriticalSlackDays)</f>
        <v>0</v>
      </c>
      <c r="DG91" s="38" t="n">
        <f aca="false">IF(AND(Tasks[[#This Row],[_IsLeaf]]=1,Tasks[[#This Row],[_ConstraintCode]]=1,Tasks[[#This Row],[Mode]]&lt;&gt;"Manual",N(Tasks[[#This Row],[Actual Start]])=0),MAX(0,N(Tasks[[#This Row],[Free Slack]])),0)</f>
        <v>0</v>
      </c>
      <c r="DH91" s="115" t="str">
        <f aca="false">IF(NOT(Tasks[[#This Row],[_IsLeaf]]=1),"",IF(Tasks[[#This Row],[_AlapShift]]=0,Tasks[[#This Row],[_LeafCalcStart]],WORKDAY.INTL(Tasks[[#This Row],[_LeafCalcStart]],Tasks[[#This Row],[_AlapShift]],WorkWeek,Holidays)))</f>
        <v/>
      </c>
      <c r="DI91" s="115" t="str">
        <f aca="false">IF(NOT(Tasks[[#This Row],[_IsLeaf]]=1),"",IF(Tasks[[#This Row],[_AlapShift]]=0,Tasks[[#This Row],[_LeafCalcFinish]],WORKDAY.INTL(Tasks[[#This Row],[_LeafCalcFinish]],Tasks[[#This Row],[_AlapShift]],WorkWeek,Holidays)))</f>
        <v/>
      </c>
      <c r="DJ91" s="115" t="str">
        <f aca="false">IF(NOT(Tasks[[#This Row],[_IsLeaf]]=1),"",IF(Tasks[[#This Row],[_AlapShift]]=0,Tasks[[#This Row],[_LeafFcstStart]],WORKDAY.INTL(Tasks[[#This Row],[_LeafFcstStart]],Tasks[[#This Row],[_AlapShift]],WorkWeek,Holidays)))</f>
        <v/>
      </c>
      <c r="DK91" s="115" t="str">
        <f aca="false">IF(NOT(Tasks[[#This Row],[_IsLeaf]]=1),"",IF(Tasks[[#This Row],[_AlapShift]]=0,Tasks[[#This Row],[_LeafFcstFinish]],WORKDAY.INTL(Tasks[[#This Row],[_LeafFcstFinish]],Tasks[[#This Row],[_AlapShift]],WorkWeek,Holidays)))</f>
        <v/>
      </c>
      <c r="DL91" s="115" t="str">
        <f aca="false">IF(Tasks[[#This Row],[Task Name]]="","",IF(Tasks[[#This Row],[_IsSummary]],MIN(INDEX(Tasks[_ShownCalcStart],Tasks[[#This Row],[_Row]]+1):INDEX(Tasks[_ShownCalcStart],Tasks[[#This Row],[_Row]]+Tasks[[#This Row],[_Descendants]])),Tasks[[#This Row],[_ShownCalcStart]]))</f>
        <v/>
      </c>
      <c r="DM91" s="115" t="str">
        <f aca="false">IF(Tasks[[#This Row],[Task Name]]="","",IF(Tasks[[#This Row],[_IsSummary]],MAX(INDEX(Tasks[_ShownCalcFinish],Tasks[[#This Row],[_Row]]+1):INDEX(Tasks[_ShownCalcFinish],Tasks[[#This Row],[_Row]]+Tasks[[#This Row],[_Descendants]])),Tasks[[#This Row],[_ShownCalcFinish]]))</f>
        <v/>
      </c>
      <c r="DN9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1" s="38" t="n">
        <f aca="false">IF(AND(Tasks[[#This Row],[_IsLeaf]]=1,Tasks[[#This Row],[_LeafTotalWork]]&gt;0),NETWORKDAYS.INTL(ProjectStart,Tasks[[#This Row],[_ShownFcstStart]],WorkWeek,Holidays),0)</f>
        <v>0</v>
      </c>
      <c r="EA91" s="38" t="n">
        <f aca="false">IF(AND(Tasks[[#This Row],[_IsLeaf]]=1,Tasks[[#This Row],[_LeafTotalWork]]&gt;0),MAX(Tasks[[#This Row],[_StartWorkday]],NETWORKDAYS.INTL(ProjectStart,Tasks[[#This Row],[_ShownFcstFinish]],WorkWeek,Holidays)),0)</f>
        <v>0</v>
      </c>
      <c r="EB91" s="38" t="n">
        <f aca="false">IF(AND(Tasks[[#This Row],[_IsLeaf]]=1,Tasks[[#This Row],[_LeafTotalWork]]&gt;0),Tasks[[#This Row],[_LeafWork]]/(Tasks[[#This Row],[_FinishWorkday]]-Tasks[[#This Row],[_StartWorkday]]+1),0)</f>
        <v>0</v>
      </c>
      <c r="EC91" s="38" t="n">
        <f aca="false">Tasks[[#This Row],[_WorkPerWorkday]]*(Tasks[[#This Row],[_StartWorkday]]-1)</f>
        <v>-0</v>
      </c>
      <c r="ED91" s="38" t="n">
        <f aca="false">IF(Tasks[[#This Row],[_IsLeaf]]=1,MAX(N(Tasks[[#This Row],[Duration]]),0.1),0)</f>
        <v>0</v>
      </c>
      <c r="EE91" s="38" t="n">
        <f aca="false">Tasks[[#This Row],[_WeightDur]]*Tasks[[#This Row],[_LeafProgress]]</f>
        <v>0</v>
      </c>
      <c r="EF9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1" s="38" t="str">
        <f aca="false">IF(AND(Tasks[[#This Row],[_IsLeaf]]=1,N(Tasks[[#This Row],[Duration]])=0,Tasks[[#This Row],[_LeafProgress]]&lt;1),Tasks[[#This Row],[_ShownFcstFinish]]+Tasks[[#This Row],[_Row]]/100000,"")</f>
        <v/>
      </c>
      <c r="EH9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1" s="38" t="n">
        <f aca="false">IF(NOT(Tasks[[#This Row],[_IsLeaf]]=1),0,IF(Tasks[[#This Row],[Baseline Cost]]="",Tasks[[#This Row],[_LeafTotalCost]],N(Tasks[[#This Row],[Baseline Cost]])))</f>
        <v>0</v>
      </c>
      <c r="EJ91" s="38" t="n">
        <f aca="false">Tasks[[#This Row],[_LeafBudget]]*Tasks[[#This Row],[_PlannedPct]]</f>
        <v>0</v>
      </c>
      <c r="EK91" s="38" t="n">
        <f aca="false">Tasks[[#This Row],[_LeafBudget]]*Tasks[[#This Row],[_LeafProgress]]</f>
        <v>0</v>
      </c>
      <c r="EL91" s="38" t="n">
        <f aca="false">IF(NOT(Tasks[[#This Row],[_IsLeaf]]=1),0,IF(Tasks[[#This Row],[Actual Cost]]="",Tasks[[#This Row],[_LeafTotalCost]]*Tasks[[#This Row],[_LeafProgress]],N(Tasks[[#This Row],[Actual Cost]])))</f>
        <v>0</v>
      </c>
      <c r="EM91" s="38" t="str">
        <f aca="false">IF(Tasks[[#This Row],[Task Name]]="","",LEFT(Tasks[[#This Row],[WBS]],FIND(".",Tasks[[#This Row],[WBS]]&amp;".")-1))</f>
        <v/>
      </c>
      <c r="EN91" s="38" t="str">
        <f aca="false">IF(AND(Tasks[[#This Row],[Task Name]]&lt;&gt;"",Tasks[[#This Row],[_Level]]=1),Tasks[[#This Row],[_Row]],"")</f>
        <v/>
      </c>
      <c r="EO91" s="38" t="str">
        <f aca="false">IF(AND(Tasks[[#This Row],[_IsLeaf]]=1,N(Tasks[[#This Row],[Duration]])=0),Tasks[[#This Row],[Planned Finish]]+Tasks[[#This Row],[_Row]]/100000,"")</f>
        <v/>
      </c>
      <c r="EP91" s="38" t="str">
        <f aca="false">IF(AND(Tasks[[#This Row],[_IsLeaf]]=1,Tasks[[#This Row],[_LeafProgress]]&lt;1,OR(N(Tasks[[#This Row],[Finish Var]])&gt;0,Tasks[[#This Row],[Status]]="Late Start")),MAX(0,Tasks[[#This Row],[Finish Var]])+1-Tasks[[#This Row],[_Row]]/1000000,"")</f>
        <v/>
      </c>
      <c r="EQ91" s="38" t="str">
        <f aca="false">IF(AND(Tasks[[#This Row],[_IsLeaf]]=1,N(Tasks[[#This Row],[Actual Start]])=0,Tasks[[#This Row],[_ShownFcstStart]]&gt;=StatusDate,Tasks[[#This Row],[_ShownFcstStart]]&lt;=LookaheadEnd),Tasks[[#This Row],[_ShownFcstStart]]+Tasks[[#This Row],[_Row]]/100000,"")</f>
        <v/>
      </c>
      <c r="ER91" s="38" t="str">
        <f aca="false">IF(AND(Tasks[[#This Row],[_IsLeaf]]=1,Tasks[[#This Row],[_LeafProgress]]&lt;1,Tasks[[#This Row],[_ShownFcstFinish]]&gt;=StatusDate,Tasks[[#This Row],[_ShownFcstFinish]]&lt;=LookaheadEnd),Tasks[[#This Row],[_ShownFcstFinish]]+Tasks[[#This Row],[_Row]]/100000,"")</f>
        <v/>
      </c>
      <c r="ES91" s="38" t="str">
        <f aca="false">IF(Tasks[[#This Row],[_LeafCritical]],Tasks[[#This Row],[_ShownFcstStart]]+Tasks[[#This Row],[_Row]]/100000,"")</f>
        <v/>
      </c>
      <c r="ET91" s="38" t="n">
        <f aca="false">Tasks[[#This Row],[_LeafWork]]*Tasks[[#This Row],[_LeafProgress]]</f>
        <v>0</v>
      </c>
      <c r="EU91" s="115" t="str">
        <f aca="false">IF(AND(Tasks[[#This Row],[_IsLeaf]]=1,Tasks[[#This Row],[_LeafProgress]]&gt;=1),IF(N(Tasks[[#This Row],[Actual Finish]])&gt;0,Tasks[[#This Row],[Actual Finish]],Tasks[[#This Row],[_ShownFcstFinish]]),"")</f>
        <v/>
      </c>
      <c r="EV91" s="38" t="n">
        <f aca="false">IF(Tasks[[#This Row],[_IsLeaf]]=1,N(Tasks[[#This Row],[Story Points]]),0)</f>
        <v>0</v>
      </c>
      <c r="EW91" s="38" t="str">
        <f aca="false">IF(AND(Tasks[[#This Row],[_IsLeaf]]=1,CurrentSprint&lt;&gt;"",Tasks[[#This Row],[Sprint]]=CurrentSprint),Tasks[[#This Row],[_Row]],"")</f>
        <v/>
      </c>
    </row>
    <row r="92" customFormat="false" ht="15" hidden="false" customHeight="false" outlineLevel="0" collapsed="false">
      <c r="A92" s="51" t="str">
        <f aca="false">IF(Tasks[[#This Row],[Task Name]]="","",COUNTA(Tasks[[#Headers],[Task Name]]:Tasks[[#This Row],[Task Name]])-1)</f>
        <v/>
      </c>
      <c r="B92" s="52" t="n">
        <v>87</v>
      </c>
      <c r="C9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52"/>
      <c r="E92" s="53"/>
      <c r="F92" s="52"/>
      <c r="G92" s="52"/>
      <c r="H92" s="52"/>
      <c r="I92" s="52"/>
      <c r="J92" s="52"/>
      <c r="K92" s="52"/>
      <c r="L92" s="52"/>
      <c r="M92" s="52"/>
      <c r="N92" s="52"/>
      <c r="O92" s="52"/>
      <c r="P92" s="52"/>
      <c r="Q92" s="52"/>
      <c r="R92" s="52"/>
      <c r="S92" s="53"/>
      <c r="T92" s="102"/>
      <c r="U92" s="102"/>
      <c r="V92" s="7"/>
      <c r="W92" s="7"/>
      <c r="X92" s="53"/>
      <c r="Y92" s="31" t="str">
        <f aca="false">IF(Tasks[[#This Row],[Task Name]]="","",IF(Tasks[[#This Row],[_IsSummary]],MIN(INDEX(Tasks[_ShownFcstStart],Tasks[[#This Row],[_Row]]+1):INDEX(Tasks[_ShownFcstStart],Tasks[[#This Row],[_Row]]+Tasks[[#This Row],[_Descendants]])),Tasks[[#This Row],[_ShownFcstStart]]))</f>
        <v/>
      </c>
      <c r="Z92" s="31" t="str">
        <f aca="false">IF(Tasks[[#This Row],[Task Name]]="","",IF(Tasks[[#This Row],[_IsSummary]],MAX(INDEX(Tasks[_ShownFcstFinish],Tasks[[#This Row],[_Row]]+1):INDEX(Tasks[_ShownFcstFinish],Tasks[[#This Row],[_Row]]+Tasks[[#This Row],[_Descendants]])),Tasks[[#This Row],[_ShownFcstFinish]]))</f>
        <v/>
      </c>
      <c r="AA92" s="51" t="str">
        <f aca="false">IF(Tasks[[#This Row],[Task Name]]="","",IF(Tasks[[#This Row],[Progress]]&gt;=1,"Complete",IF(OR(N(Tasks[[#This Row],[Actual Start]])&gt;0,Tasks[[#This Row],[Progress]]&gt;0),IF(Tasks[[#This Row],[Finish Var]]&gt;0,"Behind","In Progress"),IF(Tasks[[#This Row],[Planned Start]]&lt;StatusDate,"Late Start","Not Started"))))</f>
        <v/>
      </c>
      <c r="AB92" s="51" t="str">
        <f aca="false">IF(Tasks[[#This Row],[Task Name]]="","",IF(IF(Tasks[[#This Row],[_IsSummary]],COUNTIF(INDEX(Tasks[_LeafCritical],Tasks[[#This Row],[_Row]]+1):INDEX(Tasks[_LeafCritical],Tasks[[#This Row],[_Row]]+Tasks[[#This Row],[_Descendants]]),TRUE())&gt;0,Tasks[[#This Row],[_LeafCritical]]),"Yes",""))</f>
        <v/>
      </c>
      <c r="AC9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2" s="51" t="str">
        <f aca="false">IF(Tasks[[#This Row],[Task Name]]="","",IF(Tasks[[#This Row],[_Level]]&lt;=OutlineShowLevel,"Yes","No"))</f>
        <v/>
      </c>
      <c r="AE92" s="7"/>
      <c r="AF92" s="52"/>
      <c r="AG92" s="53"/>
      <c r="AH92" s="7"/>
      <c r="AI9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2" s="31" t="str">
        <f aca="false">IF(Tasks[[#This Row],[Task Name]]="","",IF(N(Tasks[[#This Row],[Baseline Start]])&gt;0,Tasks[[#This Row],[Baseline Start]],Tasks[[#This Row],[_CalcStart]]))</f>
        <v/>
      </c>
      <c r="AK92" s="31" t="str">
        <f aca="false">IF(Tasks[[#This Row],[Task Name]]="","",IF(N(Tasks[[#This Row],[Baseline Finish]])&gt;0,Tasks[[#This Row],[Baseline Finish]],Tasks[[#This Row],[_CalcFinish]]))</f>
        <v/>
      </c>
      <c r="AL9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2" s="31" t="str">
        <f aca="false">IF(Tasks[[#This Row],[Task Name]]="","",IF(Tasks[[#This Row],[_IsSummary]],MIN(INDEX(Tasks[_LeafLateStart],Tasks[[#This Row],[_Row]]+1):INDEX(Tasks[_LeafLateStart],Tasks[[#This Row],[_Row]]+Tasks[[#This Row],[_Descendants]])),Tasks[[#This Row],[_LeafLateStart]]))</f>
        <v/>
      </c>
      <c r="AN92" s="31" t="str">
        <f aca="false">IF(Tasks[[#This Row],[Task Name]]="","",IF(Tasks[[#This Row],[_IsSummary]],MAX(INDEX(Tasks[_LeafLateFinish],Tasks[[#This Row],[_Row]]+1):INDEX(Tasks[_LeafLateFinish],Tasks[[#This Row],[_Row]]+Tasks[[#This Row],[_Descendants]])),Tasks[[#This Row],[_LeafLateFinish]]))</f>
        <v/>
      </c>
      <c r="AO92" s="51" t="str">
        <f aca="false">IF(Tasks[[#This Row],[Task Name]]="","",IF(Tasks[[#This Row],[_IsSummary]],MIN(INDEX(Tasks[_LeafTotalSlack],Tasks[[#This Row],[_Row]]+1):INDEX(Tasks[_LeafTotalSlack],Tasks[[#This Row],[_Row]]+Tasks[[#This Row],[_Descendants]])),Tasks[[#This Row],[_LeafTotalSlack]]))</f>
        <v/>
      </c>
      <c r="AP9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2" s="110" t="str">
        <f aca="false">IF(Tasks[[#This Row],[Task Name]]="","",IF(Tasks[[#This Row],[_IsSummary]],SUM(INDEX(Tasks[_LeafTotalWork],Tasks[[#This Row],[_Row]]+1):INDEX(Tasks[_LeafTotalWork],Tasks[[#This Row],[_Row]]+Tasks[[#This Row],[_Descendants]])),Tasks[[#This Row],[_LeafTotalWork]]))</f>
        <v/>
      </c>
      <c r="AV9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2" s="111" t="str">
        <f aca="false">IF(Tasks[[#This Row],[Task Name]]="","",IF(Tasks[[#This Row],[_IsSummary]],SUM(INDEX(Tasks[_LeafTotalCost],Tasks[[#This Row],[_Row]]+1):INDEX(Tasks[_LeafTotalCost],Tasks[[#This Row],[_Row]]+Tasks[[#This Row],[_Descendants]])),Tasks[[#This Row],[_LeafTotalCost]]))</f>
        <v/>
      </c>
      <c r="AY92" s="112"/>
      <c r="AZ9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2" s="52"/>
      <c r="BB92" s="98"/>
      <c r="BC92" s="51" t="str">
        <f aca="false">IF(OR(Tasks[[#This Row],[Task Name]]="",Tasks[[#This Row],[Baseline Duration]]=""),"",Tasks[[#This Row],[BL Source Duration]]-N(Tasks[[#This Row],[Baseline Duration]]))</f>
        <v/>
      </c>
      <c r="BD92" s="110" t="str">
        <f aca="false">IF(OR(Tasks[[#This Row],[Task Name]]="",Tasks[[#This Row],[Baseline Work]]=""),"",Tasks[[#This Row],[Work]]-N(Tasks[[#This Row],[Baseline Work]]))</f>
        <v/>
      </c>
      <c r="BE92" s="111" t="str">
        <f aca="false">IF(OR(Tasks[[#This Row],[Task Name]]="",Tasks[[#This Row],[Baseline Cost]]=""),"",Tasks[[#This Row],[Cost]]-N(Tasks[[#This Row],[Baseline Cost]]))</f>
        <v/>
      </c>
      <c r="BF92" s="31" t="str">
        <f aca="false">IF(Tasks[[#This Row],[Task Name]]="","",Tasks[[#This Row],[Forecast Start]])</f>
        <v/>
      </c>
      <c r="BG92" s="31" t="str">
        <f aca="false">IF(Tasks[[#This Row],[Task Name]]="","",Tasks[[#This Row],[Forecast Finish]])</f>
        <v/>
      </c>
      <c r="BH92" s="51" t="str">
        <f aca="false">IF(Tasks[[#This Row],[Task Name]]="","",IF(Tasks[[#This Row],[_IsSummary]],NETWORKDAYS.INTL(Tasks[[#This Row],[Forecast Start]],Tasks[[#This Row],[Forecast Finish]],WorkWeek,Holidays),N(Tasks[[#This Row],[Duration]])))</f>
        <v/>
      </c>
      <c r="BI92" s="110" t="str">
        <f aca="false">IF(Tasks[[#This Row],[Task Name]]="","",Tasks[[#This Row],[Work]])</f>
        <v/>
      </c>
      <c r="BJ92" s="111" t="str">
        <f aca="false">IF(Tasks[[#This Row],[Task Name]]="","",Tasks[[#This Row],[Cost]])</f>
        <v/>
      </c>
      <c r="BK92" s="7"/>
      <c r="BL92" s="7"/>
      <c r="BM92" s="52"/>
      <c r="BN92" s="113"/>
      <c r="BO92" s="112"/>
      <c r="BP92" s="111" t="str">
        <f aca="false">IF(Tasks[[#This Row],[Task Name]]="","",IF(Tasks[[#This Row],[_IsSummary]],SUM(INDEX(Tasks[_LeafEV],Tasks[[#This Row],[_Row]]+1):INDEX(Tasks[_LeafEV],Tasks[[#This Row],[_Row]]+Tasks[[#This Row],[_Descendants]])),Tasks[[#This Row],[_LeafEV]]))</f>
        <v/>
      </c>
      <c r="BQ92" s="111" t="str">
        <f aca="false">IF(Tasks[[#This Row],[Task Name]]="","",IF(Tasks[[#This Row],[_IsSummary]],SUM(INDEX(Tasks[_LeafBudget],Tasks[[#This Row],[_Row]]+1):INDEX(Tasks[_LeafBudget],Tasks[[#This Row],[_Row]]+Tasks[[#This Row],[_Descendants]])),Tasks[[#This Row],[_LeafBudget]]))</f>
        <v/>
      </c>
      <c r="BR92" s="111" t="str">
        <f aca="false">IF(Tasks[[#This Row],[Task Name]]="","",IF(Tasks[[#This Row],[_IsSummary]],SUM(INDEX(Tasks[_LeafPV],Tasks[[#This Row],[_Row]]+1):INDEX(Tasks[_LeafPV],Tasks[[#This Row],[_Row]]+Tasks[[#This Row],[_Descendants]])),Tasks[[#This Row],[_LeafPV]]))</f>
        <v/>
      </c>
      <c r="BS92" s="111" t="str">
        <f aca="false">IF(Tasks[[#This Row],[Task Name]]="","",IF(Tasks[[#This Row],[_IsSummary]],SUM(INDEX(Tasks[_LeafAC],Tasks[[#This Row],[_Row]]+1):INDEX(Tasks[_LeafAC],Tasks[[#This Row],[_Row]]+Tasks[[#This Row],[_Descendants]])),Tasks[[#This Row],[_LeafAC]]))</f>
        <v/>
      </c>
      <c r="BT92" s="38" t="str">
        <f aca="false">IF(Tasks[[#This Row],[Task Name]]="","",MAX(1,N(Tasks[[#This Row],[Level]])))</f>
        <v/>
      </c>
      <c r="BU92" s="38" t="n">
        <f aca="false">ROW()-ROW(Tasks[[#Headers],[ID]])</f>
        <v>87</v>
      </c>
      <c r="BV92" s="38" t="n">
        <f aca="false">IF(OR(Tasks[[#This Row],[Task Name]]="",Tasks[[#This Row],[_Level]]&lt;=1),0,IFERROR(LOOKUP(2,1/(Tasks[[#Headers],[_Level]]:Tasks[[#This Row],[_Level]]=Tasks[[#This Row],[_Level]]-1),ROW(Tasks[[#Headers],[_Level]]:Tasks[[#This Row],[_Level]])),0))</f>
        <v>0</v>
      </c>
      <c r="BW92" s="38" t="n">
        <f aca="false">IFERROR(N(INDEX(Tasks[_Level],Tasks[[#This Row],[_Row]]+1)),0)</f>
        <v>0</v>
      </c>
      <c r="BX92" s="114" t="b">
        <f aca="false">AND(Tasks[[#This Row],[Task Name]]&lt;&gt;"",Tasks[[#This Row],[_NextLevel]]&gt;Tasks[[#This Row],[_Level]])</f>
        <v>0</v>
      </c>
      <c r="BY92" s="38" t="n">
        <f aca="false">IF(Tasks[[#This Row],[_IsSummary]],COUNTIF(Tasks[WBS],Tasks[[#This Row],[WBS]]&amp;".*"),0)</f>
        <v>0</v>
      </c>
      <c r="BZ92" s="38" t="n">
        <f aca="false">IF(AND(Tasks[[#This Row],[Task Name]]&lt;&gt;"",NOT(Tasks[[#This Row],[_IsSummary]])),1,0)</f>
        <v>0</v>
      </c>
      <c r="CA92" s="38" t="n">
        <f aca="false">IF(N(Tasks[[#This Row],[Pred1 UID]])=0,0,IFERROR(MATCH(Tasks[[#This Row],[Pred1 UID]],Tasks[UID],0),-1))</f>
        <v>0</v>
      </c>
      <c r="CB92" s="38" t="n">
        <f aca="false">IF(N(Tasks[[#This Row],[Pred2 UID]])=0,0,IFERROR(MATCH(Tasks[[#This Row],[Pred2 UID]],Tasks[UID],0),-1))</f>
        <v>0</v>
      </c>
      <c r="CC92" s="38" t="n">
        <f aca="false">IF(N(Tasks[[#This Row],[Pred3 UID]])=0,0,IFERROR(MATCH(Tasks[[#This Row],[Pred3 UID]],Tasks[UID],0),-1))</f>
        <v>0</v>
      </c>
      <c r="CD92" s="38" t="n">
        <f aca="false">IF(N(Tasks[[#This Row],[Pred4 UID]])=0,0,IFERROR(MATCH(Tasks[[#This Row],[Pred4 UID]],Tasks[UID],0),-1))</f>
        <v>0</v>
      </c>
      <c r="CE9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2" s="115" t="n">
        <f aca="false">IF(OR(Tasks[[#This Row],[_ConstraintCode]]=2,Tasks[[#This Row],[_ConstraintCode]]=3,Tasks[[#This Row],[_ConstraintCode]]=4,Tasks[[#This Row],[_ConstraintCode]]=6),Tasks[[#This Row],[_ConstraintStart]],0)</f>
        <v>0</v>
      </c>
      <c r="CH92" s="115" t="n">
        <f aca="false">IF(OR(Tasks[[#This Row],[_ConstraintCode]]=2,Tasks[[#This Row],[_ConstraintCode]]=3,Tasks[[#This Row],[_ConstraintCode]]=5,Tasks[[#This Row],[_ConstraintCode]]=7),Tasks[[#This Row],[_ConstraintStart]],2958465)</f>
        <v>2958465</v>
      </c>
      <c r="CI9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2" s="115" t="str">
        <f aca="false">IF(NOT(Tasks[[#This Row],[_IsLeaf]]=1),"",IF(N(Tasks[[#This Row],[Duration]])&lt;=0,Tasks[[#This Row],[_LeafCalcStart]],WORKDAY.INTL(Tasks[[#This Row],[_LeafCalcStart]],Tasks[[#This Row],[Duration]]-1,WorkWeek,Holidays)))</f>
        <v/>
      </c>
      <c r="CK9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2" s="38" t="n">
        <f aca="false">IF(NOT(Tasks[[#This Row],[_IsLeaf]]=1),0,IF(N(Tasks[[#This Row],[Actual Finish]])&gt;0,1,MIN(1,N(Tasks[[#This Row],[% Complete]]))))</f>
        <v>0</v>
      </c>
      <c r="CN92" s="38" t="n">
        <f aca="false">IF(OR(NOT(Tasks[[#This Row],[_IsLeaf]]=1),Tasks[[#This Row],[Resource]]=""),0,N(Tasks[[#This Row],[Duration]])*HoursPerDay*IF(Tasks[[#This Row],[Units]]="",DefaultUnits,Tasks[[#This Row],[Units]]))</f>
        <v>0</v>
      </c>
      <c r="CO92" s="38" t="n">
        <f aca="false">IF(Tasks[[#This Row],[_LeafWork]]=0,0,Tasks[[#This Row],[_LeafWork]]*IFERROR(INDEX(res_Rate,MATCH(Tasks[[#This Row],[Resource]],res_Name,0)),0))</f>
        <v>0</v>
      </c>
      <c r="CP92" s="38" t="n">
        <f aca="false">Tasks[[#This Row],[_LeafWork]]+IF(Tasks[[#This Row],[_IsLeaf]]=1,SUMIFS(asg_Work,asg_TaskUID,Tasks[[#This Row],[UID]],asg_Valid,1),0)</f>
        <v>0</v>
      </c>
      <c r="CQ92" s="38" t="n">
        <f aca="false">Tasks[[#This Row],[_LeafCost]]+IF(Tasks[[#This Row],[_IsLeaf]]=1,SUMIFS(asg_Cost,asg_TaskUID,Tasks[[#This Row],[UID]],asg_Valid,1),0)</f>
        <v>0</v>
      </c>
      <c r="CR92" s="38" t="n">
        <f aca="false">IF(Tasks[[#This Row],[_LeafTotalCost]]=0,Tasks[[#This Row],[_LeafAC]],Tasks[[#This Row],[_LeafAC]]*Tasks[[#This Row],[_LeafCost]]/Tasks[[#This Row],[_LeafTotalCost]])</f>
        <v>0</v>
      </c>
      <c r="CS9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2" s="38" t="n">
        <f aca="false">IF(NOT(Tasks[[#This Row],[_IsLeaf]]=1),0,MAX(_xlfn.MAXIFS(Tasks[_Row],Tasks[Pred1 UID],Tasks[[#This Row],[UID]]),_xlfn.MAXIFS(Tasks[_Row],Tasks[Pred2 UID],Tasks[[#This Row],[UID]]),_xlfn.MAXIFS(Tasks[_Row],Tasks[Pred3 UID],Tasks[[#This Row],[UID]]),_xlfn.MAXIFS(Tasks[_Row],Tasks[Pred4 UID],Tasks[[#This Row],[UID]])))</f>
        <v>0</v>
      </c>
      <c r="DB9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2" s="115" t="str">
        <f aca="false">IF(NOT(Tasks[[#This Row],[_IsLeaf]]=1),"",IF(N(Tasks[[#This Row],[Duration]])&lt;=0,Tasks[[#This Row],[_LeafLateFinish]],WORKDAY.INTL(Tasks[[#This Row],[_LeafLateFinish]],-(Tasks[[#This Row],[Duration]]-1),WorkWeek,Holidays)))</f>
        <v/>
      </c>
      <c r="DE9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2" s="114" t="b">
        <f aca="false">AND(Tasks[[#This Row],[_IsLeaf]]=1,Tasks[[#This Row],[_LeafProgress]]&lt;1,N(Tasks[[#This Row],[_LeafTotalSlack]])&lt;=CriticalSlackDays)</f>
        <v>0</v>
      </c>
      <c r="DG92" s="38" t="n">
        <f aca="false">IF(AND(Tasks[[#This Row],[_IsLeaf]]=1,Tasks[[#This Row],[_ConstraintCode]]=1,Tasks[[#This Row],[Mode]]&lt;&gt;"Manual",N(Tasks[[#This Row],[Actual Start]])=0),MAX(0,N(Tasks[[#This Row],[Free Slack]])),0)</f>
        <v>0</v>
      </c>
      <c r="DH92" s="115" t="str">
        <f aca="false">IF(NOT(Tasks[[#This Row],[_IsLeaf]]=1),"",IF(Tasks[[#This Row],[_AlapShift]]=0,Tasks[[#This Row],[_LeafCalcStart]],WORKDAY.INTL(Tasks[[#This Row],[_LeafCalcStart]],Tasks[[#This Row],[_AlapShift]],WorkWeek,Holidays)))</f>
        <v/>
      </c>
      <c r="DI92" s="115" t="str">
        <f aca="false">IF(NOT(Tasks[[#This Row],[_IsLeaf]]=1),"",IF(Tasks[[#This Row],[_AlapShift]]=0,Tasks[[#This Row],[_LeafCalcFinish]],WORKDAY.INTL(Tasks[[#This Row],[_LeafCalcFinish]],Tasks[[#This Row],[_AlapShift]],WorkWeek,Holidays)))</f>
        <v/>
      </c>
      <c r="DJ92" s="115" t="str">
        <f aca="false">IF(NOT(Tasks[[#This Row],[_IsLeaf]]=1),"",IF(Tasks[[#This Row],[_AlapShift]]=0,Tasks[[#This Row],[_LeafFcstStart]],WORKDAY.INTL(Tasks[[#This Row],[_LeafFcstStart]],Tasks[[#This Row],[_AlapShift]],WorkWeek,Holidays)))</f>
        <v/>
      </c>
      <c r="DK92" s="115" t="str">
        <f aca="false">IF(NOT(Tasks[[#This Row],[_IsLeaf]]=1),"",IF(Tasks[[#This Row],[_AlapShift]]=0,Tasks[[#This Row],[_LeafFcstFinish]],WORKDAY.INTL(Tasks[[#This Row],[_LeafFcstFinish]],Tasks[[#This Row],[_AlapShift]],WorkWeek,Holidays)))</f>
        <v/>
      </c>
      <c r="DL92" s="115" t="str">
        <f aca="false">IF(Tasks[[#This Row],[Task Name]]="","",IF(Tasks[[#This Row],[_IsSummary]],MIN(INDEX(Tasks[_ShownCalcStart],Tasks[[#This Row],[_Row]]+1):INDEX(Tasks[_ShownCalcStart],Tasks[[#This Row],[_Row]]+Tasks[[#This Row],[_Descendants]])),Tasks[[#This Row],[_ShownCalcStart]]))</f>
        <v/>
      </c>
      <c r="DM92" s="115" t="str">
        <f aca="false">IF(Tasks[[#This Row],[Task Name]]="","",IF(Tasks[[#This Row],[_IsSummary]],MAX(INDEX(Tasks[_ShownCalcFinish],Tasks[[#This Row],[_Row]]+1):INDEX(Tasks[_ShownCalcFinish],Tasks[[#This Row],[_Row]]+Tasks[[#This Row],[_Descendants]])),Tasks[[#This Row],[_ShownCalcFinish]]))</f>
        <v/>
      </c>
      <c r="DN9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2" s="38" t="n">
        <f aca="false">IF(AND(Tasks[[#This Row],[_IsLeaf]]=1,Tasks[[#This Row],[_LeafTotalWork]]&gt;0),NETWORKDAYS.INTL(ProjectStart,Tasks[[#This Row],[_ShownFcstStart]],WorkWeek,Holidays),0)</f>
        <v>0</v>
      </c>
      <c r="EA92" s="38" t="n">
        <f aca="false">IF(AND(Tasks[[#This Row],[_IsLeaf]]=1,Tasks[[#This Row],[_LeafTotalWork]]&gt;0),MAX(Tasks[[#This Row],[_StartWorkday]],NETWORKDAYS.INTL(ProjectStart,Tasks[[#This Row],[_ShownFcstFinish]],WorkWeek,Holidays)),0)</f>
        <v>0</v>
      </c>
      <c r="EB92" s="38" t="n">
        <f aca="false">IF(AND(Tasks[[#This Row],[_IsLeaf]]=1,Tasks[[#This Row],[_LeafTotalWork]]&gt;0),Tasks[[#This Row],[_LeafWork]]/(Tasks[[#This Row],[_FinishWorkday]]-Tasks[[#This Row],[_StartWorkday]]+1),0)</f>
        <v>0</v>
      </c>
      <c r="EC92" s="38" t="n">
        <f aca="false">Tasks[[#This Row],[_WorkPerWorkday]]*(Tasks[[#This Row],[_StartWorkday]]-1)</f>
        <v>-0</v>
      </c>
      <c r="ED92" s="38" t="n">
        <f aca="false">IF(Tasks[[#This Row],[_IsLeaf]]=1,MAX(N(Tasks[[#This Row],[Duration]]),0.1),0)</f>
        <v>0</v>
      </c>
      <c r="EE92" s="38" t="n">
        <f aca="false">Tasks[[#This Row],[_WeightDur]]*Tasks[[#This Row],[_LeafProgress]]</f>
        <v>0</v>
      </c>
      <c r="EF9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2" s="38" t="str">
        <f aca="false">IF(AND(Tasks[[#This Row],[_IsLeaf]]=1,N(Tasks[[#This Row],[Duration]])=0,Tasks[[#This Row],[_LeafProgress]]&lt;1),Tasks[[#This Row],[_ShownFcstFinish]]+Tasks[[#This Row],[_Row]]/100000,"")</f>
        <v/>
      </c>
      <c r="EH9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2" s="38" t="n">
        <f aca="false">IF(NOT(Tasks[[#This Row],[_IsLeaf]]=1),0,IF(Tasks[[#This Row],[Baseline Cost]]="",Tasks[[#This Row],[_LeafTotalCost]],N(Tasks[[#This Row],[Baseline Cost]])))</f>
        <v>0</v>
      </c>
      <c r="EJ92" s="38" t="n">
        <f aca="false">Tasks[[#This Row],[_LeafBudget]]*Tasks[[#This Row],[_PlannedPct]]</f>
        <v>0</v>
      </c>
      <c r="EK92" s="38" t="n">
        <f aca="false">Tasks[[#This Row],[_LeafBudget]]*Tasks[[#This Row],[_LeafProgress]]</f>
        <v>0</v>
      </c>
      <c r="EL92" s="38" t="n">
        <f aca="false">IF(NOT(Tasks[[#This Row],[_IsLeaf]]=1),0,IF(Tasks[[#This Row],[Actual Cost]]="",Tasks[[#This Row],[_LeafTotalCost]]*Tasks[[#This Row],[_LeafProgress]],N(Tasks[[#This Row],[Actual Cost]])))</f>
        <v>0</v>
      </c>
      <c r="EM92" s="38" t="str">
        <f aca="false">IF(Tasks[[#This Row],[Task Name]]="","",LEFT(Tasks[[#This Row],[WBS]],FIND(".",Tasks[[#This Row],[WBS]]&amp;".")-1))</f>
        <v/>
      </c>
      <c r="EN92" s="38" t="str">
        <f aca="false">IF(AND(Tasks[[#This Row],[Task Name]]&lt;&gt;"",Tasks[[#This Row],[_Level]]=1),Tasks[[#This Row],[_Row]],"")</f>
        <v/>
      </c>
      <c r="EO92" s="38" t="str">
        <f aca="false">IF(AND(Tasks[[#This Row],[_IsLeaf]]=1,N(Tasks[[#This Row],[Duration]])=0),Tasks[[#This Row],[Planned Finish]]+Tasks[[#This Row],[_Row]]/100000,"")</f>
        <v/>
      </c>
      <c r="EP92" s="38" t="str">
        <f aca="false">IF(AND(Tasks[[#This Row],[_IsLeaf]]=1,Tasks[[#This Row],[_LeafProgress]]&lt;1,OR(N(Tasks[[#This Row],[Finish Var]])&gt;0,Tasks[[#This Row],[Status]]="Late Start")),MAX(0,Tasks[[#This Row],[Finish Var]])+1-Tasks[[#This Row],[_Row]]/1000000,"")</f>
        <v/>
      </c>
      <c r="EQ92" s="38" t="str">
        <f aca="false">IF(AND(Tasks[[#This Row],[_IsLeaf]]=1,N(Tasks[[#This Row],[Actual Start]])=0,Tasks[[#This Row],[_ShownFcstStart]]&gt;=StatusDate,Tasks[[#This Row],[_ShownFcstStart]]&lt;=LookaheadEnd),Tasks[[#This Row],[_ShownFcstStart]]+Tasks[[#This Row],[_Row]]/100000,"")</f>
        <v/>
      </c>
      <c r="ER92" s="38" t="str">
        <f aca="false">IF(AND(Tasks[[#This Row],[_IsLeaf]]=1,Tasks[[#This Row],[_LeafProgress]]&lt;1,Tasks[[#This Row],[_ShownFcstFinish]]&gt;=StatusDate,Tasks[[#This Row],[_ShownFcstFinish]]&lt;=LookaheadEnd),Tasks[[#This Row],[_ShownFcstFinish]]+Tasks[[#This Row],[_Row]]/100000,"")</f>
        <v/>
      </c>
      <c r="ES92" s="38" t="str">
        <f aca="false">IF(Tasks[[#This Row],[_LeafCritical]],Tasks[[#This Row],[_ShownFcstStart]]+Tasks[[#This Row],[_Row]]/100000,"")</f>
        <v/>
      </c>
      <c r="ET92" s="38" t="n">
        <f aca="false">Tasks[[#This Row],[_LeafWork]]*Tasks[[#This Row],[_LeafProgress]]</f>
        <v>0</v>
      </c>
      <c r="EU92" s="115" t="str">
        <f aca="false">IF(AND(Tasks[[#This Row],[_IsLeaf]]=1,Tasks[[#This Row],[_LeafProgress]]&gt;=1),IF(N(Tasks[[#This Row],[Actual Finish]])&gt;0,Tasks[[#This Row],[Actual Finish]],Tasks[[#This Row],[_ShownFcstFinish]]),"")</f>
        <v/>
      </c>
      <c r="EV92" s="38" t="n">
        <f aca="false">IF(Tasks[[#This Row],[_IsLeaf]]=1,N(Tasks[[#This Row],[Story Points]]),0)</f>
        <v>0</v>
      </c>
      <c r="EW92" s="38" t="str">
        <f aca="false">IF(AND(Tasks[[#This Row],[_IsLeaf]]=1,CurrentSprint&lt;&gt;"",Tasks[[#This Row],[Sprint]]=CurrentSprint),Tasks[[#This Row],[_Row]],"")</f>
        <v/>
      </c>
    </row>
    <row r="93" customFormat="false" ht="15" hidden="false" customHeight="false" outlineLevel="0" collapsed="false">
      <c r="A93" s="51" t="str">
        <f aca="false">IF(Tasks[[#This Row],[Task Name]]="","",COUNTA(Tasks[[#Headers],[Task Name]]:Tasks[[#This Row],[Task Name]])-1)</f>
        <v/>
      </c>
      <c r="B93" s="52" t="n">
        <v>88</v>
      </c>
      <c r="C9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52"/>
      <c r="E93" s="53"/>
      <c r="F93" s="52"/>
      <c r="G93" s="52"/>
      <c r="H93" s="52"/>
      <c r="I93" s="52"/>
      <c r="J93" s="52"/>
      <c r="K93" s="52"/>
      <c r="L93" s="52"/>
      <c r="M93" s="52"/>
      <c r="N93" s="52"/>
      <c r="O93" s="52"/>
      <c r="P93" s="52"/>
      <c r="Q93" s="52"/>
      <c r="R93" s="52"/>
      <c r="S93" s="53"/>
      <c r="T93" s="102"/>
      <c r="U93" s="102"/>
      <c r="V93" s="7"/>
      <c r="W93" s="7"/>
      <c r="X93" s="53"/>
      <c r="Y93" s="31" t="str">
        <f aca="false">IF(Tasks[[#This Row],[Task Name]]="","",IF(Tasks[[#This Row],[_IsSummary]],MIN(INDEX(Tasks[_ShownFcstStart],Tasks[[#This Row],[_Row]]+1):INDEX(Tasks[_ShownFcstStart],Tasks[[#This Row],[_Row]]+Tasks[[#This Row],[_Descendants]])),Tasks[[#This Row],[_ShownFcstStart]]))</f>
        <v/>
      </c>
      <c r="Z93" s="31" t="str">
        <f aca="false">IF(Tasks[[#This Row],[Task Name]]="","",IF(Tasks[[#This Row],[_IsSummary]],MAX(INDEX(Tasks[_ShownFcstFinish],Tasks[[#This Row],[_Row]]+1):INDEX(Tasks[_ShownFcstFinish],Tasks[[#This Row],[_Row]]+Tasks[[#This Row],[_Descendants]])),Tasks[[#This Row],[_ShownFcstFinish]]))</f>
        <v/>
      </c>
      <c r="AA93" s="51" t="str">
        <f aca="false">IF(Tasks[[#This Row],[Task Name]]="","",IF(Tasks[[#This Row],[Progress]]&gt;=1,"Complete",IF(OR(N(Tasks[[#This Row],[Actual Start]])&gt;0,Tasks[[#This Row],[Progress]]&gt;0),IF(Tasks[[#This Row],[Finish Var]]&gt;0,"Behind","In Progress"),IF(Tasks[[#This Row],[Planned Start]]&lt;StatusDate,"Late Start","Not Started"))))</f>
        <v/>
      </c>
      <c r="AB93" s="51" t="str">
        <f aca="false">IF(Tasks[[#This Row],[Task Name]]="","",IF(IF(Tasks[[#This Row],[_IsSummary]],COUNTIF(INDEX(Tasks[_LeafCritical],Tasks[[#This Row],[_Row]]+1):INDEX(Tasks[_LeafCritical],Tasks[[#This Row],[_Row]]+Tasks[[#This Row],[_Descendants]]),TRUE())&gt;0,Tasks[[#This Row],[_LeafCritical]]),"Yes",""))</f>
        <v/>
      </c>
      <c r="AC9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3" s="51" t="str">
        <f aca="false">IF(Tasks[[#This Row],[Task Name]]="","",IF(Tasks[[#This Row],[_Level]]&lt;=OutlineShowLevel,"Yes","No"))</f>
        <v/>
      </c>
      <c r="AE93" s="7"/>
      <c r="AF93" s="52"/>
      <c r="AG93" s="53"/>
      <c r="AH93" s="7"/>
      <c r="AI9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3" s="31" t="str">
        <f aca="false">IF(Tasks[[#This Row],[Task Name]]="","",IF(N(Tasks[[#This Row],[Baseline Start]])&gt;0,Tasks[[#This Row],[Baseline Start]],Tasks[[#This Row],[_CalcStart]]))</f>
        <v/>
      </c>
      <c r="AK93" s="31" t="str">
        <f aca="false">IF(Tasks[[#This Row],[Task Name]]="","",IF(N(Tasks[[#This Row],[Baseline Finish]])&gt;0,Tasks[[#This Row],[Baseline Finish]],Tasks[[#This Row],[_CalcFinish]]))</f>
        <v/>
      </c>
      <c r="AL9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3" s="31" t="str">
        <f aca="false">IF(Tasks[[#This Row],[Task Name]]="","",IF(Tasks[[#This Row],[_IsSummary]],MIN(INDEX(Tasks[_LeafLateStart],Tasks[[#This Row],[_Row]]+1):INDEX(Tasks[_LeafLateStart],Tasks[[#This Row],[_Row]]+Tasks[[#This Row],[_Descendants]])),Tasks[[#This Row],[_LeafLateStart]]))</f>
        <v/>
      </c>
      <c r="AN93" s="31" t="str">
        <f aca="false">IF(Tasks[[#This Row],[Task Name]]="","",IF(Tasks[[#This Row],[_IsSummary]],MAX(INDEX(Tasks[_LeafLateFinish],Tasks[[#This Row],[_Row]]+1):INDEX(Tasks[_LeafLateFinish],Tasks[[#This Row],[_Row]]+Tasks[[#This Row],[_Descendants]])),Tasks[[#This Row],[_LeafLateFinish]]))</f>
        <v/>
      </c>
      <c r="AO93" s="51" t="str">
        <f aca="false">IF(Tasks[[#This Row],[Task Name]]="","",IF(Tasks[[#This Row],[_IsSummary]],MIN(INDEX(Tasks[_LeafTotalSlack],Tasks[[#This Row],[_Row]]+1):INDEX(Tasks[_LeafTotalSlack],Tasks[[#This Row],[_Row]]+Tasks[[#This Row],[_Descendants]])),Tasks[[#This Row],[_LeafTotalSlack]]))</f>
        <v/>
      </c>
      <c r="AP9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3" s="110" t="str">
        <f aca="false">IF(Tasks[[#This Row],[Task Name]]="","",IF(Tasks[[#This Row],[_IsSummary]],SUM(INDEX(Tasks[_LeafTotalWork],Tasks[[#This Row],[_Row]]+1):INDEX(Tasks[_LeafTotalWork],Tasks[[#This Row],[_Row]]+Tasks[[#This Row],[_Descendants]])),Tasks[[#This Row],[_LeafTotalWork]]))</f>
        <v/>
      </c>
      <c r="AV9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3" s="111" t="str">
        <f aca="false">IF(Tasks[[#This Row],[Task Name]]="","",IF(Tasks[[#This Row],[_IsSummary]],SUM(INDEX(Tasks[_LeafTotalCost],Tasks[[#This Row],[_Row]]+1):INDEX(Tasks[_LeafTotalCost],Tasks[[#This Row],[_Row]]+Tasks[[#This Row],[_Descendants]])),Tasks[[#This Row],[_LeafTotalCost]]))</f>
        <v/>
      </c>
      <c r="AY93" s="112"/>
      <c r="AZ9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3" s="52"/>
      <c r="BB93" s="98"/>
      <c r="BC93" s="51" t="str">
        <f aca="false">IF(OR(Tasks[[#This Row],[Task Name]]="",Tasks[[#This Row],[Baseline Duration]]=""),"",Tasks[[#This Row],[BL Source Duration]]-N(Tasks[[#This Row],[Baseline Duration]]))</f>
        <v/>
      </c>
      <c r="BD93" s="110" t="str">
        <f aca="false">IF(OR(Tasks[[#This Row],[Task Name]]="",Tasks[[#This Row],[Baseline Work]]=""),"",Tasks[[#This Row],[Work]]-N(Tasks[[#This Row],[Baseline Work]]))</f>
        <v/>
      </c>
      <c r="BE93" s="111" t="str">
        <f aca="false">IF(OR(Tasks[[#This Row],[Task Name]]="",Tasks[[#This Row],[Baseline Cost]]=""),"",Tasks[[#This Row],[Cost]]-N(Tasks[[#This Row],[Baseline Cost]]))</f>
        <v/>
      </c>
      <c r="BF93" s="31" t="str">
        <f aca="false">IF(Tasks[[#This Row],[Task Name]]="","",Tasks[[#This Row],[Forecast Start]])</f>
        <v/>
      </c>
      <c r="BG93" s="31" t="str">
        <f aca="false">IF(Tasks[[#This Row],[Task Name]]="","",Tasks[[#This Row],[Forecast Finish]])</f>
        <v/>
      </c>
      <c r="BH93" s="51" t="str">
        <f aca="false">IF(Tasks[[#This Row],[Task Name]]="","",IF(Tasks[[#This Row],[_IsSummary]],NETWORKDAYS.INTL(Tasks[[#This Row],[Forecast Start]],Tasks[[#This Row],[Forecast Finish]],WorkWeek,Holidays),N(Tasks[[#This Row],[Duration]])))</f>
        <v/>
      </c>
      <c r="BI93" s="110" t="str">
        <f aca="false">IF(Tasks[[#This Row],[Task Name]]="","",Tasks[[#This Row],[Work]])</f>
        <v/>
      </c>
      <c r="BJ93" s="111" t="str">
        <f aca="false">IF(Tasks[[#This Row],[Task Name]]="","",Tasks[[#This Row],[Cost]])</f>
        <v/>
      </c>
      <c r="BK93" s="7"/>
      <c r="BL93" s="7"/>
      <c r="BM93" s="52"/>
      <c r="BN93" s="113"/>
      <c r="BO93" s="112"/>
      <c r="BP93" s="111" t="str">
        <f aca="false">IF(Tasks[[#This Row],[Task Name]]="","",IF(Tasks[[#This Row],[_IsSummary]],SUM(INDEX(Tasks[_LeafEV],Tasks[[#This Row],[_Row]]+1):INDEX(Tasks[_LeafEV],Tasks[[#This Row],[_Row]]+Tasks[[#This Row],[_Descendants]])),Tasks[[#This Row],[_LeafEV]]))</f>
        <v/>
      </c>
      <c r="BQ93" s="111" t="str">
        <f aca="false">IF(Tasks[[#This Row],[Task Name]]="","",IF(Tasks[[#This Row],[_IsSummary]],SUM(INDEX(Tasks[_LeafBudget],Tasks[[#This Row],[_Row]]+1):INDEX(Tasks[_LeafBudget],Tasks[[#This Row],[_Row]]+Tasks[[#This Row],[_Descendants]])),Tasks[[#This Row],[_LeafBudget]]))</f>
        <v/>
      </c>
      <c r="BR93" s="111" t="str">
        <f aca="false">IF(Tasks[[#This Row],[Task Name]]="","",IF(Tasks[[#This Row],[_IsSummary]],SUM(INDEX(Tasks[_LeafPV],Tasks[[#This Row],[_Row]]+1):INDEX(Tasks[_LeafPV],Tasks[[#This Row],[_Row]]+Tasks[[#This Row],[_Descendants]])),Tasks[[#This Row],[_LeafPV]]))</f>
        <v/>
      </c>
      <c r="BS93" s="111" t="str">
        <f aca="false">IF(Tasks[[#This Row],[Task Name]]="","",IF(Tasks[[#This Row],[_IsSummary]],SUM(INDEX(Tasks[_LeafAC],Tasks[[#This Row],[_Row]]+1):INDEX(Tasks[_LeafAC],Tasks[[#This Row],[_Row]]+Tasks[[#This Row],[_Descendants]])),Tasks[[#This Row],[_LeafAC]]))</f>
        <v/>
      </c>
      <c r="BT93" s="38" t="str">
        <f aca="false">IF(Tasks[[#This Row],[Task Name]]="","",MAX(1,N(Tasks[[#This Row],[Level]])))</f>
        <v/>
      </c>
      <c r="BU93" s="38" t="n">
        <f aca="false">ROW()-ROW(Tasks[[#Headers],[ID]])</f>
        <v>88</v>
      </c>
      <c r="BV93" s="38" t="n">
        <f aca="false">IF(OR(Tasks[[#This Row],[Task Name]]="",Tasks[[#This Row],[_Level]]&lt;=1),0,IFERROR(LOOKUP(2,1/(Tasks[[#Headers],[_Level]]:Tasks[[#This Row],[_Level]]=Tasks[[#This Row],[_Level]]-1),ROW(Tasks[[#Headers],[_Level]]:Tasks[[#This Row],[_Level]])),0))</f>
        <v>0</v>
      </c>
      <c r="BW93" s="38" t="n">
        <f aca="false">IFERROR(N(INDEX(Tasks[_Level],Tasks[[#This Row],[_Row]]+1)),0)</f>
        <v>0</v>
      </c>
      <c r="BX93" s="114" t="b">
        <f aca="false">AND(Tasks[[#This Row],[Task Name]]&lt;&gt;"",Tasks[[#This Row],[_NextLevel]]&gt;Tasks[[#This Row],[_Level]])</f>
        <v>0</v>
      </c>
      <c r="BY93" s="38" t="n">
        <f aca="false">IF(Tasks[[#This Row],[_IsSummary]],COUNTIF(Tasks[WBS],Tasks[[#This Row],[WBS]]&amp;".*"),0)</f>
        <v>0</v>
      </c>
      <c r="BZ93" s="38" t="n">
        <f aca="false">IF(AND(Tasks[[#This Row],[Task Name]]&lt;&gt;"",NOT(Tasks[[#This Row],[_IsSummary]])),1,0)</f>
        <v>0</v>
      </c>
      <c r="CA93" s="38" t="n">
        <f aca="false">IF(N(Tasks[[#This Row],[Pred1 UID]])=0,0,IFERROR(MATCH(Tasks[[#This Row],[Pred1 UID]],Tasks[UID],0),-1))</f>
        <v>0</v>
      </c>
      <c r="CB93" s="38" t="n">
        <f aca="false">IF(N(Tasks[[#This Row],[Pred2 UID]])=0,0,IFERROR(MATCH(Tasks[[#This Row],[Pred2 UID]],Tasks[UID],0),-1))</f>
        <v>0</v>
      </c>
      <c r="CC93" s="38" t="n">
        <f aca="false">IF(N(Tasks[[#This Row],[Pred3 UID]])=0,0,IFERROR(MATCH(Tasks[[#This Row],[Pred3 UID]],Tasks[UID],0),-1))</f>
        <v>0</v>
      </c>
      <c r="CD93" s="38" t="n">
        <f aca="false">IF(N(Tasks[[#This Row],[Pred4 UID]])=0,0,IFERROR(MATCH(Tasks[[#This Row],[Pred4 UID]],Tasks[UID],0),-1))</f>
        <v>0</v>
      </c>
      <c r="CE9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3" s="115" t="n">
        <f aca="false">IF(OR(Tasks[[#This Row],[_ConstraintCode]]=2,Tasks[[#This Row],[_ConstraintCode]]=3,Tasks[[#This Row],[_ConstraintCode]]=4,Tasks[[#This Row],[_ConstraintCode]]=6),Tasks[[#This Row],[_ConstraintStart]],0)</f>
        <v>0</v>
      </c>
      <c r="CH93" s="115" t="n">
        <f aca="false">IF(OR(Tasks[[#This Row],[_ConstraintCode]]=2,Tasks[[#This Row],[_ConstraintCode]]=3,Tasks[[#This Row],[_ConstraintCode]]=5,Tasks[[#This Row],[_ConstraintCode]]=7),Tasks[[#This Row],[_ConstraintStart]],2958465)</f>
        <v>2958465</v>
      </c>
      <c r="CI9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3" s="115" t="str">
        <f aca="false">IF(NOT(Tasks[[#This Row],[_IsLeaf]]=1),"",IF(N(Tasks[[#This Row],[Duration]])&lt;=0,Tasks[[#This Row],[_LeafCalcStart]],WORKDAY.INTL(Tasks[[#This Row],[_LeafCalcStart]],Tasks[[#This Row],[Duration]]-1,WorkWeek,Holidays)))</f>
        <v/>
      </c>
      <c r="CK9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3" s="38" t="n">
        <f aca="false">IF(NOT(Tasks[[#This Row],[_IsLeaf]]=1),0,IF(N(Tasks[[#This Row],[Actual Finish]])&gt;0,1,MIN(1,N(Tasks[[#This Row],[% Complete]]))))</f>
        <v>0</v>
      </c>
      <c r="CN93" s="38" t="n">
        <f aca="false">IF(OR(NOT(Tasks[[#This Row],[_IsLeaf]]=1),Tasks[[#This Row],[Resource]]=""),0,N(Tasks[[#This Row],[Duration]])*HoursPerDay*IF(Tasks[[#This Row],[Units]]="",DefaultUnits,Tasks[[#This Row],[Units]]))</f>
        <v>0</v>
      </c>
      <c r="CO93" s="38" t="n">
        <f aca="false">IF(Tasks[[#This Row],[_LeafWork]]=0,0,Tasks[[#This Row],[_LeafWork]]*IFERROR(INDEX(res_Rate,MATCH(Tasks[[#This Row],[Resource]],res_Name,0)),0))</f>
        <v>0</v>
      </c>
      <c r="CP93" s="38" t="n">
        <f aca="false">Tasks[[#This Row],[_LeafWork]]+IF(Tasks[[#This Row],[_IsLeaf]]=1,SUMIFS(asg_Work,asg_TaskUID,Tasks[[#This Row],[UID]],asg_Valid,1),0)</f>
        <v>0</v>
      </c>
      <c r="CQ93" s="38" t="n">
        <f aca="false">Tasks[[#This Row],[_LeafCost]]+IF(Tasks[[#This Row],[_IsLeaf]]=1,SUMIFS(asg_Cost,asg_TaskUID,Tasks[[#This Row],[UID]],asg_Valid,1),0)</f>
        <v>0</v>
      </c>
      <c r="CR93" s="38" t="n">
        <f aca="false">IF(Tasks[[#This Row],[_LeafTotalCost]]=0,Tasks[[#This Row],[_LeafAC]],Tasks[[#This Row],[_LeafAC]]*Tasks[[#This Row],[_LeafCost]]/Tasks[[#This Row],[_LeafTotalCost]])</f>
        <v>0</v>
      </c>
      <c r="CS9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3" s="38" t="n">
        <f aca="false">IF(NOT(Tasks[[#This Row],[_IsLeaf]]=1),0,MAX(_xlfn.MAXIFS(Tasks[_Row],Tasks[Pred1 UID],Tasks[[#This Row],[UID]]),_xlfn.MAXIFS(Tasks[_Row],Tasks[Pred2 UID],Tasks[[#This Row],[UID]]),_xlfn.MAXIFS(Tasks[_Row],Tasks[Pred3 UID],Tasks[[#This Row],[UID]]),_xlfn.MAXIFS(Tasks[_Row],Tasks[Pred4 UID],Tasks[[#This Row],[UID]])))</f>
        <v>0</v>
      </c>
      <c r="DB9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3" s="115" t="str">
        <f aca="false">IF(NOT(Tasks[[#This Row],[_IsLeaf]]=1),"",IF(N(Tasks[[#This Row],[Duration]])&lt;=0,Tasks[[#This Row],[_LeafLateFinish]],WORKDAY.INTL(Tasks[[#This Row],[_LeafLateFinish]],-(Tasks[[#This Row],[Duration]]-1),WorkWeek,Holidays)))</f>
        <v/>
      </c>
      <c r="DE9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3" s="114" t="b">
        <f aca="false">AND(Tasks[[#This Row],[_IsLeaf]]=1,Tasks[[#This Row],[_LeafProgress]]&lt;1,N(Tasks[[#This Row],[_LeafTotalSlack]])&lt;=CriticalSlackDays)</f>
        <v>0</v>
      </c>
      <c r="DG93" s="38" t="n">
        <f aca="false">IF(AND(Tasks[[#This Row],[_IsLeaf]]=1,Tasks[[#This Row],[_ConstraintCode]]=1,Tasks[[#This Row],[Mode]]&lt;&gt;"Manual",N(Tasks[[#This Row],[Actual Start]])=0),MAX(0,N(Tasks[[#This Row],[Free Slack]])),0)</f>
        <v>0</v>
      </c>
      <c r="DH93" s="115" t="str">
        <f aca="false">IF(NOT(Tasks[[#This Row],[_IsLeaf]]=1),"",IF(Tasks[[#This Row],[_AlapShift]]=0,Tasks[[#This Row],[_LeafCalcStart]],WORKDAY.INTL(Tasks[[#This Row],[_LeafCalcStart]],Tasks[[#This Row],[_AlapShift]],WorkWeek,Holidays)))</f>
        <v/>
      </c>
      <c r="DI93" s="115" t="str">
        <f aca="false">IF(NOT(Tasks[[#This Row],[_IsLeaf]]=1),"",IF(Tasks[[#This Row],[_AlapShift]]=0,Tasks[[#This Row],[_LeafCalcFinish]],WORKDAY.INTL(Tasks[[#This Row],[_LeafCalcFinish]],Tasks[[#This Row],[_AlapShift]],WorkWeek,Holidays)))</f>
        <v/>
      </c>
      <c r="DJ93" s="115" t="str">
        <f aca="false">IF(NOT(Tasks[[#This Row],[_IsLeaf]]=1),"",IF(Tasks[[#This Row],[_AlapShift]]=0,Tasks[[#This Row],[_LeafFcstStart]],WORKDAY.INTL(Tasks[[#This Row],[_LeafFcstStart]],Tasks[[#This Row],[_AlapShift]],WorkWeek,Holidays)))</f>
        <v/>
      </c>
      <c r="DK93" s="115" t="str">
        <f aca="false">IF(NOT(Tasks[[#This Row],[_IsLeaf]]=1),"",IF(Tasks[[#This Row],[_AlapShift]]=0,Tasks[[#This Row],[_LeafFcstFinish]],WORKDAY.INTL(Tasks[[#This Row],[_LeafFcstFinish]],Tasks[[#This Row],[_AlapShift]],WorkWeek,Holidays)))</f>
        <v/>
      </c>
      <c r="DL93" s="115" t="str">
        <f aca="false">IF(Tasks[[#This Row],[Task Name]]="","",IF(Tasks[[#This Row],[_IsSummary]],MIN(INDEX(Tasks[_ShownCalcStart],Tasks[[#This Row],[_Row]]+1):INDEX(Tasks[_ShownCalcStart],Tasks[[#This Row],[_Row]]+Tasks[[#This Row],[_Descendants]])),Tasks[[#This Row],[_ShownCalcStart]]))</f>
        <v/>
      </c>
      <c r="DM93" s="115" t="str">
        <f aca="false">IF(Tasks[[#This Row],[Task Name]]="","",IF(Tasks[[#This Row],[_IsSummary]],MAX(INDEX(Tasks[_ShownCalcFinish],Tasks[[#This Row],[_Row]]+1):INDEX(Tasks[_ShownCalcFinish],Tasks[[#This Row],[_Row]]+Tasks[[#This Row],[_Descendants]])),Tasks[[#This Row],[_ShownCalcFinish]]))</f>
        <v/>
      </c>
      <c r="DN9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3" s="38" t="n">
        <f aca="false">IF(AND(Tasks[[#This Row],[_IsLeaf]]=1,Tasks[[#This Row],[_LeafTotalWork]]&gt;0),NETWORKDAYS.INTL(ProjectStart,Tasks[[#This Row],[_ShownFcstStart]],WorkWeek,Holidays),0)</f>
        <v>0</v>
      </c>
      <c r="EA93" s="38" t="n">
        <f aca="false">IF(AND(Tasks[[#This Row],[_IsLeaf]]=1,Tasks[[#This Row],[_LeafTotalWork]]&gt;0),MAX(Tasks[[#This Row],[_StartWorkday]],NETWORKDAYS.INTL(ProjectStart,Tasks[[#This Row],[_ShownFcstFinish]],WorkWeek,Holidays)),0)</f>
        <v>0</v>
      </c>
      <c r="EB93" s="38" t="n">
        <f aca="false">IF(AND(Tasks[[#This Row],[_IsLeaf]]=1,Tasks[[#This Row],[_LeafTotalWork]]&gt;0),Tasks[[#This Row],[_LeafWork]]/(Tasks[[#This Row],[_FinishWorkday]]-Tasks[[#This Row],[_StartWorkday]]+1),0)</f>
        <v>0</v>
      </c>
      <c r="EC93" s="38" t="n">
        <f aca="false">Tasks[[#This Row],[_WorkPerWorkday]]*(Tasks[[#This Row],[_StartWorkday]]-1)</f>
        <v>-0</v>
      </c>
      <c r="ED93" s="38" t="n">
        <f aca="false">IF(Tasks[[#This Row],[_IsLeaf]]=1,MAX(N(Tasks[[#This Row],[Duration]]),0.1),0)</f>
        <v>0</v>
      </c>
      <c r="EE93" s="38" t="n">
        <f aca="false">Tasks[[#This Row],[_WeightDur]]*Tasks[[#This Row],[_LeafProgress]]</f>
        <v>0</v>
      </c>
      <c r="EF9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3" s="38" t="str">
        <f aca="false">IF(AND(Tasks[[#This Row],[_IsLeaf]]=1,N(Tasks[[#This Row],[Duration]])=0,Tasks[[#This Row],[_LeafProgress]]&lt;1),Tasks[[#This Row],[_ShownFcstFinish]]+Tasks[[#This Row],[_Row]]/100000,"")</f>
        <v/>
      </c>
      <c r="EH9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3" s="38" t="n">
        <f aca="false">IF(NOT(Tasks[[#This Row],[_IsLeaf]]=1),0,IF(Tasks[[#This Row],[Baseline Cost]]="",Tasks[[#This Row],[_LeafTotalCost]],N(Tasks[[#This Row],[Baseline Cost]])))</f>
        <v>0</v>
      </c>
      <c r="EJ93" s="38" t="n">
        <f aca="false">Tasks[[#This Row],[_LeafBudget]]*Tasks[[#This Row],[_PlannedPct]]</f>
        <v>0</v>
      </c>
      <c r="EK93" s="38" t="n">
        <f aca="false">Tasks[[#This Row],[_LeafBudget]]*Tasks[[#This Row],[_LeafProgress]]</f>
        <v>0</v>
      </c>
      <c r="EL93" s="38" t="n">
        <f aca="false">IF(NOT(Tasks[[#This Row],[_IsLeaf]]=1),0,IF(Tasks[[#This Row],[Actual Cost]]="",Tasks[[#This Row],[_LeafTotalCost]]*Tasks[[#This Row],[_LeafProgress]],N(Tasks[[#This Row],[Actual Cost]])))</f>
        <v>0</v>
      </c>
      <c r="EM93" s="38" t="str">
        <f aca="false">IF(Tasks[[#This Row],[Task Name]]="","",LEFT(Tasks[[#This Row],[WBS]],FIND(".",Tasks[[#This Row],[WBS]]&amp;".")-1))</f>
        <v/>
      </c>
      <c r="EN93" s="38" t="str">
        <f aca="false">IF(AND(Tasks[[#This Row],[Task Name]]&lt;&gt;"",Tasks[[#This Row],[_Level]]=1),Tasks[[#This Row],[_Row]],"")</f>
        <v/>
      </c>
      <c r="EO93" s="38" t="str">
        <f aca="false">IF(AND(Tasks[[#This Row],[_IsLeaf]]=1,N(Tasks[[#This Row],[Duration]])=0),Tasks[[#This Row],[Planned Finish]]+Tasks[[#This Row],[_Row]]/100000,"")</f>
        <v/>
      </c>
      <c r="EP93" s="38" t="str">
        <f aca="false">IF(AND(Tasks[[#This Row],[_IsLeaf]]=1,Tasks[[#This Row],[_LeafProgress]]&lt;1,OR(N(Tasks[[#This Row],[Finish Var]])&gt;0,Tasks[[#This Row],[Status]]="Late Start")),MAX(0,Tasks[[#This Row],[Finish Var]])+1-Tasks[[#This Row],[_Row]]/1000000,"")</f>
        <v/>
      </c>
      <c r="EQ93" s="38" t="str">
        <f aca="false">IF(AND(Tasks[[#This Row],[_IsLeaf]]=1,N(Tasks[[#This Row],[Actual Start]])=0,Tasks[[#This Row],[_ShownFcstStart]]&gt;=StatusDate,Tasks[[#This Row],[_ShownFcstStart]]&lt;=LookaheadEnd),Tasks[[#This Row],[_ShownFcstStart]]+Tasks[[#This Row],[_Row]]/100000,"")</f>
        <v/>
      </c>
      <c r="ER93" s="38" t="str">
        <f aca="false">IF(AND(Tasks[[#This Row],[_IsLeaf]]=1,Tasks[[#This Row],[_LeafProgress]]&lt;1,Tasks[[#This Row],[_ShownFcstFinish]]&gt;=StatusDate,Tasks[[#This Row],[_ShownFcstFinish]]&lt;=LookaheadEnd),Tasks[[#This Row],[_ShownFcstFinish]]+Tasks[[#This Row],[_Row]]/100000,"")</f>
        <v/>
      </c>
      <c r="ES93" s="38" t="str">
        <f aca="false">IF(Tasks[[#This Row],[_LeafCritical]],Tasks[[#This Row],[_ShownFcstStart]]+Tasks[[#This Row],[_Row]]/100000,"")</f>
        <v/>
      </c>
      <c r="ET93" s="38" t="n">
        <f aca="false">Tasks[[#This Row],[_LeafWork]]*Tasks[[#This Row],[_LeafProgress]]</f>
        <v>0</v>
      </c>
      <c r="EU93" s="115" t="str">
        <f aca="false">IF(AND(Tasks[[#This Row],[_IsLeaf]]=1,Tasks[[#This Row],[_LeafProgress]]&gt;=1),IF(N(Tasks[[#This Row],[Actual Finish]])&gt;0,Tasks[[#This Row],[Actual Finish]],Tasks[[#This Row],[_ShownFcstFinish]]),"")</f>
        <v/>
      </c>
      <c r="EV93" s="38" t="n">
        <f aca="false">IF(Tasks[[#This Row],[_IsLeaf]]=1,N(Tasks[[#This Row],[Story Points]]),0)</f>
        <v>0</v>
      </c>
      <c r="EW93" s="38" t="str">
        <f aca="false">IF(AND(Tasks[[#This Row],[_IsLeaf]]=1,CurrentSprint&lt;&gt;"",Tasks[[#This Row],[Sprint]]=CurrentSprint),Tasks[[#This Row],[_Row]],"")</f>
        <v/>
      </c>
    </row>
    <row r="94" customFormat="false" ht="15" hidden="false" customHeight="false" outlineLevel="0" collapsed="false">
      <c r="A94" s="51" t="str">
        <f aca="false">IF(Tasks[[#This Row],[Task Name]]="","",COUNTA(Tasks[[#Headers],[Task Name]]:Tasks[[#This Row],[Task Name]])-1)</f>
        <v/>
      </c>
      <c r="B94" s="52" t="n">
        <v>89</v>
      </c>
      <c r="C9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52"/>
      <c r="E94" s="53"/>
      <c r="F94" s="52"/>
      <c r="G94" s="52"/>
      <c r="H94" s="52"/>
      <c r="I94" s="52"/>
      <c r="J94" s="52"/>
      <c r="K94" s="52"/>
      <c r="L94" s="52"/>
      <c r="M94" s="52"/>
      <c r="N94" s="52"/>
      <c r="O94" s="52"/>
      <c r="P94" s="52"/>
      <c r="Q94" s="52"/>
      <c r="R94" s="52"/>
      <c r="S94" s="53"/>
      <c r="T94" s="102"/>
      <c r="U94" s="102"/>
      <c r="V94" s="7"/>
      <c r="W94" s="7"/>
      <c r="X94" s="53"/>
      <c r="Y94" s="31" t="str">
        <f aca="false">IF(Tasks[[#This Row],[Task Name]]="","",IF(Tasks[[#This Row],[_IsSummary]],MIN(INDEX(Tasks[_ShownFcstStart],Tasks[[#This Row],[_Row]]+1):INDEX(Tasks[_ShownFcstStart],Tasks[[#This Row],[_Row]]+Tasks[[#This Row],[_Descendants]])),Tasks[[#This Row],[_ShownFcstStart]]))</f>
        <v/>
      </c>
      <c r="Z94" s="31" t="str">
        <f aca="false">IF(Tasks[[#This Row],[Task Name]]="","",IF(Tasks[[#This Row],[_IsSummary]],MAX(INDEX(Tasks[_ShownFcstFinish],Tasks[[#This Row],[_Row]]+1):INDEX(Tasks[_ShownFcstFinish],Tasks[[#This Row],[_Row]]+Tasks[[#This Row],[_Descendants]])),Tasks[[#This Row],[_ShownFcstFinish]]))</f>
        <v/>
      </c>
      <c r="AA94" s="51" t="str">
        <f aca="false">IF(Tasks[[#This Row],[Task Name]]="","",IF(Tasks[[#This Row],[Progress]]&gt;=1,"Complete",IF(OR(N(Tasks[[#This Row],[Actual Start]])&gt;0,Tasks[[#This Row],[Progress]]&gt;0),IF(Tasks[[#This Row],[Finish Var]]&gt;0,"Behind","In Progress"),IF(Tasks[[#This Row],[Planned Start]]&lt;StatusDate,"Late Start","Not Started"))))</f>
        <v/>
      </c>
      <c r="AB94" s="51" t="str">
        <f aca="false">IF(Tasks[[#This Row],[Task Name]]="","",IF(IF(Tasks[[#This Row],[_IsSummary]],COUNTIF(INDEX(Tasks[_LeafCritical],Tasks[[#This Row],[_Row]]+1):INDEX(Tasks[_LeafCritical],Tasks[[#This Row],[_Row]]+Tasks[[#This Row],[_Descendants]]),TRUE())&gt;0,Tasks[[#This Row],[_LeafCritical]]),"Yes",""))</f>
        <v/>
      </c>
      <c r="AC9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4" s="51" t="str">
        <f aca="false">IF(Tasks[[#This Row],[Task Name]]="","",IF(Tasks[[#This Row],[_Level]]&lt;=OutlineShowLevel,"Yes","No"))</f>
        <v/>
      </c>
      <c r="AE94" s="7"/>
      <c r="AF94" s="52"/>
      <c r="AG94" s="53"/>
      <c r="AH94" s="7"/>
      <c r="AI9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4" s="31" t="str">
        <f aca="false">IF(Tasks[[#This Row],[Task Name]]="","",IF(N(Tasks[[#This Row],[Baseline Start]])&gt;0,Tasks[[#This Row],[Baseline Start]],Tasks[[#This Row],[_CalcStart]]))</f>
        <v/>
      </c>
      <c r="AK94" s="31" t="str">
        <f aca="false">IF(Tasks[[#This Row],[Task Name]]="","",IF(N(Tasks[[#This Row],[Baseline Finish]])&gt;0,Tasks[[#This Row],[Baseline Finish]],Tasks[[#This Row],[_CalcFinish]]))</f>
        <v/>
      </c>
      <c r="AL9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4" s="31" t="str">
        <f aca="false">IF(Tasks[[#This Row],[Task Name]]="","",IF(Tasks[[#This Row],[_IsSummary]],MIN(INDEX(Tasks[_LeafLateStart],Tasks[[#This Row],[_Row]]+1):INDEX(Tasks[_LeafLateStart],Tasks[[#This Row],[_Row]]+Tasks[[#This Row],[_Descendants]])),Tasks[[#This Row],[_LeafLateStart]]))</f>
        <v/>
      </c>
      <c r="AN94" s="31" t="str">
        <f aca="false">IF(Tasks[[#This Row],[Task Name]]="","",IF(Tasks[[#This Row],[_IsSummary]],MAX(INDEX(Tasks[_LeafLateFinish],Tasks[[#This Row],[_Row]]+1):INDEX(Tasks[_LeafLateFinish],Tasks[[#This Row],[_Row]]+Tasks[[#This Row],[_Descendants]])),Tasks[[#This Row],[_LeafLateFinish]]))</f>
        <v/>
      </c>
      <c r="AO94" s="51" t="str">
        <f aca="false">IF(Tasks[[#This Row],[Task Name]]="","",IF(Tasks[[#This Row],[_IsSummary]],MIN(INDEX(Tasks[_LeafTotalSlack],Tasks[[#This Row],[_Row]]+1):INDEX(Tasks[_LeafTotalSlack],Tasks[[#This Row],[_Row]]+Tasks[[#This Row],[_Descendants]])),Tasks[[#This Row],[_LeafTotalSlack]]))</f>
        <v/>
      </c>
      <c r="AP9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4" s="110" t="str">
        <f aca="false">IF(Tasks[[#This Row],[Task Name]]="","",IF(Tasks[[#This Row],[_IsSummary]],SUM(INDEX(Tasks[_LeafTotalWork],Tasks[[#This Row],[_Row]]+1):INDEX(Tasks[_LeafTotalWork],Tasks[[#This Row],[_Row]]+Tasks[[#This Row],[_Descendants]])),Tasks[[#This Row],[_LeafTotalWork]]))</f>
        <v/>
      </c>
      <c r="AV9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4" s="111" t="str">
        <f aca="false">IF(Tasks[[#This Row],[Task Name]]="","",IF(Tasks[[#This Row],[_IsSummary]],SUM(INDEX(Tasks[_LeafTotalCost],Tasks[[#This Row],[_Row]]+1):INDEX(Tasks[_LeafTotalCost],Tasks[[#This Row],[_Row]]+Tasks[[#This Row],[_Descendants]])),Tasks[[#This Row],[_LeafTotalCost]]))</f>
        <v/>
      </c>
      <c r="AY94" s="112"/>
      <c r="AZ9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4" s="52"/>
      <c r="BB94" s="98"/>
      <c r="BC94" s="51" t="str">
        <f aca="false">IF(OR(Tasks[[#This Row],[Task Name]]="",Tasks[[#This Row],[Baseline Duration]]=""),"",Tasks[[#This Row],[BL Source Duration]]-N(Tasks[[#This Row],[Baseline Duration]]))</f>
        <v/>
      </c>
      <c r="BD94" s="110" t="str">
        <f aca="false">IF(OR(Tasks[[#This Row],[Task Name]]="",Tasks[[#This Row],[Baseline Work]]=""),"",Tasks[[#This Row],[Work]]-N(Tasks[[#This Row],[Baseline Work]]))</f>
        <v/>
      </c>
      <c r="BE94" s="111" t="str">
        <f aca="false">IF(OR(Tasks[[#This Row],[Task Name]]="",Tasks[[#This Row],[Baseline Cost]]=""),"",Tasks[[#This Row],[Cost]]-N(Tasks[[#This Row],[Baseline Cost]]))</f>
        <v/>
      </c>
      <c r="BF94" s="31" t="str">
        <f aca="false">IF(Tasks[[#This Row],[Task Name]]="","",Tasks[[#This Row],[Forecast Start]])</f>
        <v/>
      </c>
      <c r="BG94" s="31" t="str">
        <f aca="false">IF(Tasks[[#This Row],[Task Name]]="","",Tasks[[#This Row],[Forecast Finish]])</f>
        <v/>
      </c>
      <c r="BH94" s="51" t="str">
        <f aca="false">IF(Tasks[[#This Row],[Task Name]]="","",IF(Tasks[[#This Row],[_IsSummary]],NETWORKDAYS.INTL(Tasks[[#This Row],[Forecast Start]],Tasks[[#This Row],[Forecast Finish]],WorkWeek,Holidays),N(Tasks[[#This Row],[Duration]])))</f>
        <v/>
      </c>
      <c r="BI94" s="110" t="str">
        <f aca="false">IF(Tasks[[#This Row],[Task Name]]="","",Tasks[[#This Row],[Work]])</f>
        <v/>
      </c>
      <c r="BJ94" s="111" t="str">
        <f aca="false">IF(Tasks[[#This Row],[Task Name]]="","",Tasks[[#This Row],[Cost]])</f>
        <v/>
      </c>
      <c r="BK94" s="7"/>
      <c r="BL94" s="7"/>
      <c r="BM94" s="52"/>
      <c r="BN94" s="113"/>
      <c r="BO94" s="112"/>
      <c r="BP94" s="111" t="str">
        <f aca="false">IF(Tasks[[#This Row],[Task Name]]="","",IF(Tasks[[#This Row],[_IsSummary]],SUM(INDEX(Tasks[_LeafEV],Tasks[[#This Row],[_Row]]+1):INDEX(Tasks[_LeafEV],Tasks[[#This Row],[_Row]]+Tasks[[#This Row],[_Descendants]])),Tasks[[#This Row],[_LeafEV]]))</f>
        <v/>
      </c>
      <c r="BQ94" s="111" t="str">
        <f aca="false">IF(Tasks[[#This Row],[Task Name]]="","",IF(Tasks[[#This Row],[_IsSummary]],SUM(INDEX(Tasks[_LeafBudget],Tasks[[#This Row],[_Row]]+1):INDEX(Tasks[_LeafBudget],Tasks[[#This Row],[_Row]]+Tasks[[#This Row],[_Descendants]])),Tasks[[#This Row],[_LeafBudget]]))</f>
        <v/>
      </c>
      <c r="BR94" s="111" t="str">
        <f aca="false">IF(Tasks[[#This Row],[Task Name]]="","",IF(Tasks[[#This Row],[_IsSummary]],SUM(INDEX(Tasks[_LeafPV],Tasks[[#This Row],[_Row]]+1):INDEX(Tasks[_LeafPV],Tasks[[#This Row],[_Row]]+Tasks[[#This Row],[_Descendants]])),Tasks[[#This Row],[_LeafPV]]))</f>
        <v/>
      </c>
      <c r="BS94" s="111" t="str">
        <f aca="false">IF(Tasks[[#This Row],[Task Name]]="","",IF(Tasks[[#This Row],[_IsSummary]],SUM(INDEX(Tasks[_LeafAC],Tasks[[#This Row],[_Row]]+1):INDEX(Tasks[_LeafAC],Tasks[[#This Row],[_Row]]+Tasks[[#This Row],[_Descendants]])),Tasks[[#This Row],[_LeafAC]]))</f>
        <v/>
      </c>
      <c r="BT94" s="38" t="str">
        <f aca="false">IF(Tasks[[#This Row],[Task Name]]="","",MAX(1,N(Tasks[[#This Row],[Level]])))</f>
        <v/>
      </c>
      <c r="BU94" s="38" t="n">
        <f aca="false">ROW()-ROW(Tasks[[#Headers],[ID]])</f>
        <v>89</v>
      </c>
      <c r="BV94" s="38" t="n">
        <f aca="false">IF(OR(Tasks[[#This Row],[Task Name]]="",Tasks[[#This Row],[_Level]]&lt;=1),0,IFERROR(LOOKUP(2,1/(Tasks[[#Headers],[_Level]]:Tasks[[#This Row],[_Level]]=Tasks[[#This Row],[_Level]]-1),ROW(Tasks[[#Headers],[_Level]]:Tasks[[#This Row],[_Level]])),0))</f>
        <v>0</v>
      </c>
      <c r="BW94" s="38" t="n">
        <f aca="false">IFERROR(N(INDEX(Tasks[_Level],Tasks[[#This Row],[_Row]]+1)),0)</f>
        <v>0</v>
      </c>
      <c r="BX94" s="114" t="b">
        <f aca="false">AND(Tasks[[#This Row],[Task Name]]&lt;&gt;"",Tasks[[#This Row],[_NextLevel]]&gt;Tasks[[#This Row],[_Level]])</f>
        <v>0</v>
      </c>
      <c r="BY94" s="38" t="n">
        <f aca="false">IF(Tasks[[#This Row],[_IsSummary]],COUNTIF(Tasks[WBS],Tasks[[#This Row],[WBS]]&amp;".*"),0)</f>
        <v>0</v>
      </c>
      <c r="BZ94" s="38" t="n">
        <f aca="false">IF(AND(Tasks[[#This Row],[Task Name]]&lt;&gt;"",NOT(Tasks[[#This Row],[_IsSummary]])),1,0)</f>
        <v>0</v>
      </c>
      <c r="CA94" s="38" t="n">
        <f aca="false">IF(N(Tasks[[#This Row],[Pred1 UID]])=0,0,IFERROR(MATCH(Tasks[[#This Row],[Pred1 UID]],Tasks[UID],0),-1))</f>
        <v>0</v>
      </c>
      <c r="CB94" s="38" t="n">
        <f aca="false">IF(N(Tasks[[#This Row],[Pred2 UID]])=0,0,IFERROR(MATCH(Tasks[[#This Row],[Pred2 UID]],Tasks[UID],0),-1))</f>
        <v>0</v>
      </c>
      <c r="CC94" s="38" t="n">
        <f aca="false">IF(N(Tasks[[#This Row],[Pred3 UID]])=0,0,IFERROR(MATCH(Tasks[[#This Row],[Pred3 UID]],Tasks[UID],0),-1))</f>
        <v>0</v>
      </c>
      <c r="CD94" s="38" t="n">
        <f aca="false">IF(N(Tasks[[#This Row],[Pred4 UID]])=0,0,IFERROR(MATCH(Tasks[[#This Row],[Pred4 UID]],Tasks[UID],0),-1))</f>
        <v>0</v>
      </c>
      <c r="CE9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4" s="115" t="n">
        <f aca="false">IF(OR(Tasks[[#This Row],[_ConstraintCode]]=2,Tasks[[#This Row],[_ConstraintCode]]=3,Tasks[[#This Row],[_ConstraintCode]]=4,Tasks[[#This Row],[_ConstraintCode]]=6),Tasks[[#This Row],[_ConstraintStart]],0)</f>
        <v>0</v>
      </c>
      <c r="CH94" s="115" t="n">
        <f aca="false">IF(OR(Tasks[[#This Row],[_ConstraintCode]]=2,Tasks[[#This Row],[_ConstraintCode]]=3,Tasks[[#This Row],[_ConstraintCode]]=5,Tasks[[#This Row],[_ConstraintCode]]=7),Tasks[[#This Row],[_ConstraintStart]],2958465)</f>
        <v>2958465</v>
      </c>
      <c r="CI9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4" s="115" t="str">
        <f aca="false">IF(NOT(Tasks[[#This Row],[_IsLeaf]]=1),"",IF(N(Tasks[[#This Row],[Duration]])&lt;=0,Tasks[[#This Row],[_LeafCalcStart]],WORKDAY.INTL(Tasks[[#This Row],[_LeafCalcStart]],Tasks[[#This Row],[Duration]]-1,WorkWeek,Holidays)))</f>
        <v/>
      </c>
      <c r="CK9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4" s="38" t="n">
        <f aca="false">IF(NOT(Tasks[[#This Row],[_IsLeaf]]=1),0,IF(N(Tasks[[#This Row],[Actual Finish]])&gt;0,1,MIN(1,N(Tasks[[#This Row],[% Complete]]))))</f>
        <v>0</v>
      </c>
      <c r="CN94" s="38" t="n">
        <f aca="false">IF(OR(NOT(Tasks[[#This Row],[_IsLeaf]]=1),Tasks[[#This Row],[Resource]]=""),0,N(Tasks[[#This Row],[Duration]])*HoursPerDay*IF(Tasks[[#This Row],[Units]]="",DefaultUnits,Tasks[[#This Row],[Units]]))</f>
        <v>0</v>
      </c>
      <c r="CO94" s="38" t="n">
        <f aca="false">IF(Tasks[[#This Row],[_LeafWork]]=0,0,Tasks[[#This Row],[_LeafWork]]*IFERROR(INDEX(res_Rate,MATCH(Tasks[[#This Row],[Resource]],res_Name,0)),0))</f>
        <v>0</v>
      </c>
      <c r="CP94" s="38" t="n">
        <f aca="false">Tasks[[#This Row],[_LeafWork]]+IF(Tasks[[#This Row],[_IsLeaf]]=1,SUMIFS(asg_Work,asg_TaskUID,Tasks[[#This Row],[UID]],asg_Valid,1),0)</f>
        <v>0</v>
      </c>
      <c r="CQ94" s="38" t="n">
        <f aca="false">Tasks[[#This Row],[_LeafCost]]+IF(Tasks[[#This Row],[_IsLeaf]]=1,SUMIFS(asg_Cost,asg_TaskUID,Tasks[[#This Row],[UID]],asg_Valid,1),0)</f>
        <v>0</v>
      </c>
      <c r="CR94" s="38" t="n">
        <f aca="false">IF(Tasks[[#This Row],[_LeafTotalCost]]=0,Tasks[[#This Row],[_LeafAC]],Tasks[[#This Row],[_LeafAC]]*Tasks[[#This Row],[_LeafCost]]/Tasks[[#This Row],[_LeafTotalCost]])</f>
        <v>0</v>
      </c>
      <c r="CS9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4" s="38" t="n">
        <f aca="false">IF(NOT(Tasks[[#This Row],[_IsLeaf]]=1),0,MAX(_xlfn.MAXIFS(Tasks[_Row],Tasks[Pred1 UID],Tasks[[#This Row],[UID]]),_xlfn.MAXIFS(Tasks[_Row],Tasks[Pred2 UID],Tasks[[#This Row],[UID]]),_xlfn.MAXIFS(Tasks[_Row],Tasks[Pred3 UID],Tasks[[#This Row],[UID]]),_xlfn.MAXIFS(Tasks[_Row],Tasks[Pred4 UID],Tasks[[#This Row],[UID]])))</f>
        <v>0</v>
      </c>
      <c r="DB9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4" s="115" t="str">
        <f aca="false">IF(NOT(Tasks[[#This Row],[_IsLeaf]]=1),"",IF(N(Tasks[[#This Row],[Duration]])&lt;=0,Tasks[[#This Row],[_LeafLateFinish]],WORKDAY.INTL(Tasks[[#This Row],[_LeafLateFinish]],-(Tasks[[#This Row],[Duration]]-1),WorkWeek,Holidays)))</f>
        <v/>
      </c>
      <c r="DE9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4" s="114" t="b">
        <f aca="false">AND(Tasks[[#This Row],[_IsLeaf]]=1,Tasks[[#This Row],[_LeafProgress]]&lt;1,N(Tasks[[#This Row],[_LeafTotalSlack]])&lt;=CriticalSlackDays)</f>
        <v>0</v>
      </c>
      <c r="DG94" s="38" t="n">
        <f aca="false">IF(AND(Tasks[[#This Row],[_IsLeaf]]=1,Tasks[[#This Row],[_ConstraintCode]]=1,Tasks[[#This Row],[Mode]]&lt;&gt;"Manual",N(Tasks[[#This Row],[Actual Start]])=0),MAX(0,N(Tasks[[#This Row],[Free Slack]])),0)</f>
        <v>0</v>
      </c>
      <c r="DH94" s="115" t="str">
        <f aca="false">IF(NOT(Tasks[[#This Row],[_IsLeaf]]=1),"",IF(Tasks[[#This Row],[_AlapShift]]=0,Tasks[[#This Row],[_LeafCalcStart]],WORKDAY.INTL(Tasks[[#This Row],[_LeafCalcStart]],Tasks[[#This Row],[_AlapShift]],WorkWeek,Holidays)))</f>
        <v/>
      </c>
      <c r="DI94" s="115" t="str">
        <f aca="false">IF(NOT(Tasks[[#This Row],[_IsLeaf]]=1),"",IF(Tasks[[#This Row],[_AlapShift]]=0,Tasks[[#This Row],[_LeafCalcFinish]],WORKDAY.INTL(Tasks[[#This Row],[_LeafCalcFinish]],Tasks[[#This Row],[_AlapShift]],WorkWeek,Holidays)))</f>
        <v/>
      </c>
      <c r="DJ94" s="115" t="str">
        <f aca="false">IF(NOT(Tasks[[#This Row],[_IsLeaf]]=1),"",IF(Tasks[[#This Row],[_AlapShift]]=0,Tasks[[#This Row],[_LeafFcstStart]],WORKDAY.INTL(Tasks[[#This Row],[_LeafFcstStart]],Tasks[[#This Row],[_AlapShift]],WorkWeek,Holidays)))</f>
        <v/>
      </c>
      <c r="DK94" s="115" t="str">
        <f aca="false">IF(NOT(Tasks[[#This Row],[_IsLeaf]]=1),"",IF(Tasks[[#This Row],[_AlapShift]]=0,Tasks[[#This Row],[_LeafFcstFinish]],WORKDAY.INTL(Tasks[[#This Row],[_LeafFcstFinish]],Tasks[[#This Row],[_AlapShift]],WorkWeek,Holidays)))</f>
        <v/>
      </c>
      <c r="DL94" s="115" t="str">
        <f aca="false">IF(Tasks[[#This Row],[Task Name]]="","",IF(Tasks[[#This Row],[_IsSummary]],MIN(INDEX(Tasks[_ShownCalcStart],Tasks[[#This Row],[_Row]]+1):INDEX(Tasks[_ShownCalcStart],Tasks[[#This Row],[_Row]]+Tasks[[#This Row],[_Descendants]])),Tasks[[#This Row],[_ShownCalcStart]]))</f>
        <v/>
      </c>
      <c r="DM94" s="115" t="str">
        <f aca="false">IF(Tasks[[#This Row],[Task Name]]="","",IF(Tasks[[#This Row],[_IsSummary]],MAX(INDEX(Tasks[_ShownCalcFinish],Tasks[[#This Row],[_Row]]+1):INDEX(Tasks[_ShownCalcFinish],Tasks[[#This Row],[_Row]]+Tasks[[#This Row],[_Descendants]])),Tasks[[#This Row],[_ShownCalcFinish]]))</f>
        <v/>
      </c>
      <c r="DN9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4" s="38" t="n">
        <f aca="false">IF(AND(Tasks[[#This Row],[_IsLeaf]]=1,Tasks[[#This Row],[_LeafTotalWork]]&gt;0),NETWORKDAYS.INTL(ProjectStart,Tasks[[#This Row],[_ShownFcstStart]],WorkWeek,Holidays),0)</f>
        <v>0</v>
      </c>
      <c r="EA94" s="38" t="n">
        <f aca="false">IF(AND(Tasks[[#This Row],[_IsLeaf]]=1,Tasks[[#This Row],[_LeafTotalWork]]&gt;0),MAX(Tasks[[#This Row],[_StartWorkday]],NETWORKDAYS.INTL(ProjectStart,Tasks[[#This Row],[_ShownFcstFinish]],WorkWeek,Holidays)),0)</f>
        <v>0</v>
      </c>
      <c r="EB94" s="38" t="n">
        <f aca="false">IF(AND(Tasks[[#This Row],[_IsLeaf]]=1,Tasks[[#This Row],[_LeafTotalWork]]&gt;0),Tasks[[#This Row],[_LeafWork]]/(Tasks[[#This Row],[_FinishWorkday]]-Tasks[[#This Row],[_StartWorkday]]+1),0)</f>
        <v>0</v>
      </c>
      <c r="EC94" s="38" t="n">
        <f aca="false">Tasks[[#This Row],[_WorkPerWorkday]]*(Tasks[[#This Row],[_StartWorkday]]-1)</f>
        <v>-0</v>
      </c>
      <c r="ED94" s="38" t="n">
        <f aca="false">IF(Tasks[[#This Row],[_IsLeaf]]=1,MAX(N(Tasks[[#This Row],[Duration]]),0.1),0)</f>
        <v>0</v>
      </c>
      <c r="EE94" s="38" t="n">
        <f aca="false">Tasks[[#This Row],[_WeightDur]]*Tasks[[#This Row],[_LeafProgress]]</f>
        <v>0</v>
      </c>
      <c r="EF9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4" s="38" t="str">
        <f aca="false">IF(AND(Tasks[[#This Row],[_IsLeaf]]=1,N(Tasks[[#This Row],[Duration]])=0,Tasks[[#This Row],[_LeafProgress]]&lt;1),Tasks[[#This Row],[_ShownFcstFinish]]+Tasks[[#This Row],[_Row]]/100000,"")</f>
        <v/>
      </c>
      <c r="EH9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4" s="38" t="n">
        <f aca="false">IF(NOT(Tasks[[#This Row],[_IsLeaf]]=1),0,IF(Tasks[[#This Row],[Baseline Cost]]="",Tasks[[#This Row],[_LeafTotalCost]],N(Tasks[[#This Row],[Baseline Cost]])))</f>
        <v>0</v>
      </c>
      <c r="EJ94" s="38" t="n">
        <f aca="false">Tasks[[#This Row],[_LeafBudget]]*Tasks[[#This Row],[_PlannedPct]]</f>
        <v>0</v>
      </c>
      <c r="EK94" s="38" t="n">
        <f aca="false">Tasks[[#This Row],[_LeafBudget]]*Tasks[[#This Row],[_LeafProgress]]</f>
        <v>0</v>
      </c>
      <c r="EL94" s="38" t="n">
        <f aca="false">IF(NOT(Tasks[[#This Row],[_IsLeaf]]=1),0,IF(Tasks[[#This Row],[Actual Cost]]="",Tasks[[#This Row],[_LeafTotalCost]]*Tasks[[#This Row],[_LeafProgress]],N(Tasks[[#This Row],[Actual Cost]])))</f>
        <v>0</v>
      </c>
      <c r="EM94" s="38" t="str">
        <f aca="false">IF(Tasks[[#This Row],[Task Name]]="","",LEFT(Tasks[[#This Row],[WBS]],FIND(".",Tasks[[#This Row],[WBS]]&amp;".")-1))</f>
        <v/>
      </c>
      <c r="EN94" s="38" t="str">
        <f aca="false">IF(AND(Tasks[[#This Row],[Task Name]]&lt;&gt;"",Tasks[[#This Row],[_Level]]=1),Tasks[[#This Row],[_Row]],"")</f>
        <v/>
      </c>
      <c r="EO94" s="38" t="str">
        <f aca="false">IF(AND(Tasks[[#This Row],[_IsLeaf]]=1,N(Tasks[[#This Row],[Duration]])=0),Tasks[[#This Row],[Planned Finish]]+Tasks[[#This Row],[_Row]]/100000,"")</f>
        <v/>
      </c>
      <c r="EP94" s="38" t="str">
        <f aca="false">IF(AND(Tasks[[#This Row],[_IsLeaf]]=1,Tasks[[#This Row],[_LeafProgress]]&lt;1,OR(N(Tasks[[#This Row],[Finish Var]])&gt;0,Tasks[[#This Row],[Status]]="Late Start")),MAX(0,Tasks[[#This Row],[Finish Var]])+1-Tasks[[#This Row],[_Row]]/1000000,"")</f>
        <v/>
      </c>
      <c r="EQ94" s="38" t="str">
        <f aca="false">IF(AND(Tasks[[#This Row],[_IsLeaf]]=1,N(Tasks[[#This Row],[Actual Start]])=0,Tasks[[#This Row],[_ShownFcstStart]]&gt;=StatusDate,Tasks[[#This Row],[_ShownFcstStart]]&lt;=LookaheadEnd),Tasks[[#This Row],[_ShownFcstStart]]+Tasks[[#This Row],[_Row]]/100000,"")</f>
        <v/>
      </c>
      <c r="ER94" s="38" t="str">
        <f aca="false">IF(AND(Tasks[[#This Row],[_IsLeaf]]=1,Tasks[[#This Row],[_LeafProgress]]&lt;1,Tasks[[#This Row],[_ShownFcstFinish]]&gt;=StatusDate,Tasks[[#This Row],[_ShownFcstFinish]]&lt;=LookaheadEnd),Tasks[[#This Row],[_ShownFcstFinish]]+Tasks[[#This Row],[_Row]]/100000,"")</f>
        <v/>
      </c>
      <c r="ES94" s="38" t="str">
        <f aca="false">IF(Tasks[[#This Row],[_LeafCritical]],Tasks[[#This Row],[_ShownFcstStart]]+Tasks[[#This Row],[_Row]]/100000,"")</f>
        <v/>
      </c>
      <c r="ET94" s="38" t="n">
        <f aca="false">Tasks[[#This Row],[_LeafWork]]*Tasks[[#This Row],[_LeafProgress]]</f>
        <v>0</v>
      </c>
      <c r="EU94" s="115" t="str">
        <f aca="false">IF(AND(Tasks[[#This Row],[_IsLeaf]]=1,Tasks[[#This Row],[_LeafProgress]]&gt;=1),IF(N(Tasks[[#This Row],[Actual Finish]])&gt;0,Tasks[[#This Row],[Actual Finish]],Tasks[[#This Row],[_ShownFcstFinish]]),"")</f>
        <v/>
      </c>
      <c r="EV94" s="38" t="n">
        <f aca="false">IF(Tasks[[#This Row],[_IsLeaf]]=1,N(Tasks[[#This Row],[Story Points]]),0)</f>
        <v>0</v>
      </c>
      <c r="EW94" s="38" t="str">
        <f aca="false">IF(AND(Tasks[[#This Row],[_IsLeaf]]=1,CurrentSprint&lt;&gt;"",Tasks[[#This Row],[Sprint]]=CurrentSprint),Tasks[[#This Row],[_Row]],"")</f>
        <v/>
      </c>
    </row>
    <row r="95" customFormat="false" ht="15" hidden="false" customHeight="false" outlineLevel="0" collapsed="false">
      <c r="A95" s="51" t="str">
        <f aca="false">IF(Tasks[[#This Row],[Task Name]]="","",COUNTA(Tasks[[#Headers],[Task Name]]:Tasks[[#This Row],[Task Name]])-1)</f>
        <v/>
      </c>
      <c r="B95" s="52" t="n">
        <v>90</v>
      </c>
      <c r="C9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52"/>
      <c r="E95" s="53"/>
      <c r="F95" s="52"/>
      <c r="G95" s="52"/>
      <c r="H95" s="52"/>
      <c r="I95" s="52"/>
      <c r="J95" s="52"/>
      <c r="K95" s="52"/>
      <c r="L95" s="52"/>
      <c r="M95" s="52"/>
      <c r="N95" s="52"/>
      <c r="O95" s="52"/>
      <c r="P95" s="52"/>
      <c r="Q95" s="52"/>
      <c r="R95" s="52"/>
      <c r="S95" s="53"/>
      <c r="T95" s="102"/>
      <c r="U95" s="102"/>
      <c r="V95" s="7"/>
      <c r="W95" s="7"/>
      <c r="X95" s="53"/>
      <c r="Y95" s="31" t="str">
        <f aca="false">IF(Tasks[[#This Row],[Task Name]]="","",IF(Tasks[[#This Row],[_IsSummary]],MIN(INDEX(Tasks[_ShownFcstStart],Tasks[[#This Row],[_Row]]+1):INDEX(Tasks[_ShownFcstStart],Tasks[[#This Row],[_Row]]+Tasks[[#This Row],[_Descendants]])),Tasks[[#This Row],[_ShownFcstStart]]))</f>
        <v/>
      </c>
      <c r="Z95" s="31" t="str">
        <f aca="false">IF(Tasks[[#This Row],[Task Name]]="","",IF(Tasks[[#This Row],[_IsSummary]],MAX(INDEX(Tasks[_ShownFcstFinish],Tasks[[#This Row],[_Row]]+1):INDEX(Tasks[_ShownFcstFinish],Tasks[[#This Row],[_Row]]+Tasks[[#This Row],[_Descendants]])),Tasks[[#This Row],[_ShownFcstFinish]]))</f>
        <v/>
      </c>
      <c r="AA95" s="51" t="str">
        <f aca="false">IF(Tasks[[#This Row],[Task Name]]="","",IF(Tasks[[#This Row],[Progress]]&gt;=1,"Complete",IF(OR(N(Tasks[[#This Row],[Actual Start]])&gt;0,Tasks[[#This Row],[Progress]]&gt;0),IF(Tasks[[#This Row],[Finish Var]]&gt;0,"Behind","In Progress"),IF(Tasks[[#This Row],[Planned Start]]&lt;StatusDate,"Late Start","Not Started"))))</f>
        <v/>
      </c>
      <c r="AB95" s="51" t="str">
        <f aca="false">IF(Tasks[[#This Row],[Task Name]]="","",IF(IF(Tasks[[#This Row],[_IsSummary]],COUNTIF(INDEX(Tasks[_LeafCritical],Tasks[[#This Row],[_Row]]+1):INDEX(Tasks[_LeafCritical],Tasks[[#This Row],[_Row]]+Tasks[[#This Row],[_Descendants]]),TRUE())&gt;0,Tasks[[#This Row],[_LeafCritical]]),"Yes",""))</f>
        <v/>
      </c>
      <c r="AC9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5" s="51" t="str">
        <f aca="false">IF(Tasks[[#This Row],[Task Name]]="","",IF(Tasks[[#This Row],[_Level]]&lt;=OutlineShowLevel,"Yes","No"))</f>
        <v/>
      </c>
      <c r="AE95" s="7"/>
      <c r="AF95" s="52"/>
      <c r="AG95" s="53"/>
      <c r="AH95" s="7"/>
      <c r="AI9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5" s="31" t="str">
        <f aca="false">IF(Tasks[[#This Row],[Task Name]]="","",IF(N(Tasks[[#This Row],[Baseline Start]])&gt;0,Tasks[[#This Row],[Baseline Start]],Tasks[[#This Row],[_CalcStart]]))</f>
        <v/>
      </c>
      <c r="AK95" s="31" t="str">
        <f aca="false">IF(Tasks[[#This Row],[Task Name]]="","",IF(N(Tasks[[#This Row],[Baseline Finish]])&gt;0,Tasks[[#This Row],[Baseline Finish]],Tasks[[#This Row],[_CalcFinish]]))</f>
        <v/>
      </c>
      <c r="AL9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5" s="31" t="str">
        <f aca="false">IF(Tasks[[#This Row],[Task Name]]="","",IF(Tasks[[#This Row],[_IsSummary]],MIN(INDEX(Tasks[_LeafLateStart],Tasks[[#This Row],[_Row]]+1):INDEX(Tasks[_LeafLateStart],Tasks[[#This Row],[_Row]]+Tasks[[#This Row],[_Descendants]])),Tasks[[#This Row],[_LeafLateStart]]))</f>
        <v/>
      </c>
      <c r="AN95" s="31" t="str">
        <f aca="false">IF(Tasks[[#This Row],[Task Name]]="","",IF(Tasks[[#This Row],[_IsSummary]],MAX(INDEX(Tasks[_LeafLateFinish],Tasks[[#This Row],[_Row]]+1):INDEX(Tasks[_LeafLateFinish],Tasks[[#This Row],[_Row]]+Tasks[[#This Row],[_Descendants]])),Tasks[[#This Row],[_LeafLateFinish]]))</f>
        <v/>
      </c>
      <c r="AO95" s="51" t="str">
        <f aca="false">IF(Tasks[[#This Row],[Task Name]]="","",IF(Tasks[[#This Row],[_IsSummary]],MIN(INDEX(Tasks[_LeafTotalSlack],Tasks[[#This Row],[_Row]]+1):INDEX(Tasks[_LeafTotalSlack],Tasks[[#This Row],[_Row]]+Tasks[[#This Row],[_Descendants]])),Tasks[[#This Row],[_LeafTotalSlack]]))</f>
        <v/>
      </c>
      <c r="AP9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5" s="110" t="str">
        <f aca="false">IF(Tasks[[#This Row],[Task Name]]="","",IF(Tasks[[#This Row],[_IsSummary]],SUM(INDEX(Tasks[_LeafTotalWork],Tasks[[#This Row],[_Row]]+1):INDEX(Tasks[_LeafTotalWork],Tasks[[#This Row],[_Row]]+Tasks[[#This Row],[_Descendants]])),Tasks[[#This Row],[_LeafTotalWork]]))</f>
        <v/>
      </c>
      <c r="AV9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5" s="111" t="str">
        <f aca="false">IF(Tasks[[#This Row],[Task Name]]="","",IF(Tasks[[#This Row],[_IsSummary]],SUM(INDEX(Tasks[_LeafTotalCost],Tasks[[#This Row],[_Row]]+1):INDEX(Tasks[_LeafTotalCost],Tasks[[#This Row],[_Row]]+Tasks[[#This Row],[_Descendants]])),Tasks[[#This Row],[_LeafTotalCost]]))</f>
        <v/>
      </c>
      <c r="AY95" s="112"/>
      <c r="AZ9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5" s="52"/>
      <c r="BB95" s="98"/>
      <c r="BC95" s="51" t="str">
        <f aca="false">IF(OR(Tasks[[#This Row],[Task Name]]="",Tasks[[#This Row],[Baseline Duration]]=""),"",Tasks[[#This Row],[BL Source Duration]]-N(Tasks[[#This Row],[Baseline Duration]]))</f>
        <v/>
      </c>
      <c r="BD95" s="110" t="str">
        <f aca="false">IF(OR(Tasks[[#This Row],[Task Name]]="",Tasks[[#This Row],[Baseline Work]]=""),"",Tasks[[#This Row],[Work]]-N(Tasks[[#This Row],[Baseline Work]]))</f>
        <v/>
      </c>
      <c r="BE95" s="111" t="str">
        <f aca="false">IF(OR(Tasks[[#This Row],[Task Name]]="",Tasks[[#This Row],[Baseline Cost]]=""),"",Tasks[[#This Row],[Cost]]-N(Tasks[[#This Row],[Baseline Cost]]))</f>
        <v/>
      </c>
      <c r="BF95" s="31" t="str">
        <f aca="false">IF(Tasks[[#This Row],[Task Name]]="","",Tasks[[#This Row],[Forecast Start]])</f>
        <v/>
      </c>
      <c r="BG95" s="31" t="str">
        <f aca="false">IF(Tasks[[#This Row],[Task Name]]="","",Tasks[[#This Row],[Forecast Finish]])</f>
        <v/>
      </c>
      <c r="BH95" s="51" t="str">
        <f aca="false">IF(Tasks[[#This Row],[Task Name]]="","",IF(Tasks[[#This Row],[_IsSummary]],NETWORKDAYS.INTL(Tasks[[#This Row],[Forecast Start]],Tasks[[#This Row],[Forecast Finish]],WorkWeek,Holidays),N(Tasks[[#This Row],[Duration]])))</f>
        <v/>
      </c>
      <c r="BI95" s="110" t="str">
        <f aca="false">IF(Tasks[[#This Row],[Task Name]]="","",Tasks[[#This Row],[Work]])</f>
        <v/>
      </c>
      <c r="BJ95" s="111" t="str">
        <f aca="false">IF(Tasks[[#This Row],[Task Name]]="","",Tasks[[#This Row],[Cost]])</f>
        <v/>
      </c>
      <c r="BK95" s="7"/>
      <c r="BL95" s="7"/>
      <c r="BM95" s="52"/>
      <c r="BN95" s="113"/>
      <c r="BO95" s="112"/>
      <c r="BP95" s="111" t="str">
        <f aca="false">IF(Tasks[[#This Row],[Task Name]]="","",IF(Tasks[[#This Row],[_IsSummary]],SUM(INDEX(Tasks[_LeafEV],Tasks[[#This Row],[_Row]]+1):INDEX(Tasks[_LeafEV],Tasks[[#This Row],[_Row]]+Tasks[[#This Row],[_Descendants]])),Tasks[[#This Row],[_LeafEV]]))</f>
        <v/>
      </c>
      <c r="BQ95" s="111" t="str">
        <f aca="false">IF(Tasks[[#This Row],[Task Name]]="","",IF(Tasks[[#This Row],[_IsSummary]],SUM(INDEX(Tasks[_LeafBudget],Tasks[[#This Row],[_Row]]+1):INDEX(Tasks[_LeafBudget],Tasks[[#This Row],[_Row]]+Tasks[[#This Row],[_Descendants]])),Tasks[[#This Row],[_LeafBudget]]))</f>
        <v/>
      </c>
      <c r="BR95" s="111" t="str">
        <f aca="false">IF(Tasks[[#This Row],[Task Name]]="","",IF(Tasks[[#This Row],[_IsSummary]],SUM(INDEX(Tasks[_LeafPV],Tasks[[#This Row],[_Row]]+1):INDEX(Tasks[_LeafPV],Tasks[[#This Row],[_Row]]+Tasks[[#This Row],[_Descendants]])),Tasks[[#This Row],[_LeafPV]]))</f>
        <v/>
      </c>
      <c r="BS95" s="111" t="str">
        <f aca="false">IF(Tasks[[#This Row],[Task Name]]="","",IF(Tasks[[#This Row],[_IsSummary]],SUM(INDEX(Tasks[_LeafAC],Tasks[[#This Row],[_Row]]+1):INDEX(Tasks[_LeafAC],Tasks[[#This Row],[_Row]]+Tasks[[#This Row],[_Descendants]])),Tasks[[#This Row],[_LeafAC]]))</f>
        <v/>
      </c>
      <c r="BT95" s="38" t="str">
        <f aca="false">IF(Tasks[[#This Row],[Task Name]]="","",MAX(1,N(Tasks[[#This Row],[Level]])))</f>
        <v/>
      </c>
      <c r="BU95" s="38" t="n">
        <f aca="false">ROW()-ROW(Tasks[[#Headers],[ID]])</f>
        <v>90</v>
      </c>
      <c r="BV95" s="38" t="n">
        <f aca="false">IF(OR(Tasks[[#This Row],[Task Name]]="",Tasks[[#This Row],[_Level]]&lt;=1),0,IFERROR(LOOKUP(2,1/(Tasks[[#Headers],[_Level]]:Tasks[[#This Row],[_Level]]=Tasks[[#This Row],[_Level]]-1),ROW(Tasks[[#Headers],[_Level]]:Tasks[[#This Row],[_Level]])),0))</f>
        <v>0</v>
      </c>
      <c r="BW95" s="38" t="n">
        <f aca="false">IFERROR(N(INDEX(Tasks[_Level],Tasks[[#This Row],[_Row]]+1)),0)</f>
        <v>0</v>
      </c>
      <c r="BX95" s="114" t="b">
        <f aca="false">AND(Tasks[[#This Row],[Task Name]]&lt;&gt;"",Tasks[[#This Row],[_NextLevel]]&gt;Tasks[[#This Row],[_Level]])</f>
        <v>0</v>
      </c>
      <c r="BY95" s="38" t="n">
        <f aca="false">IF(Tasks[[#This Row],[_IsSummary]],COUNTIF(Tasks[WBS],Tasks[[#This Row],[WBS]]&amp;".*"),0)</f>
        <v>0</v>
      </c>
      <c r="BZ95" s="38" t="n">
        <f aca="false">IF(AND(Tasks[[#This Row],[Task Name]]&lt;&gt;"",NOT(Tasks[[#This Row],[_IsSummary]])),1,0)</f>
        <v>0</v>
      </c>
      <c r="CA95" s="38" t="n">
        <f aca="false">IF(N(Tasks[[#This Row],[Pred1 UID]])=0,0,IFERROR(MATCH(Tasks[[#This Row],[Pred1 UID]],Tasks[UID],0),-1))</f>
        <v>0</v>
      </c>
      <c r="CB95" s="38" t="n">
        <f aca="false">IF(N(Tasks[[#This Row],[Pred2 UID]])=0,0,IFERROR(MATCH(Tasks[[#This Row],[Pred2 UID]],Tasks[UID],0),-1))</f>
        <v>0</v>
      </c>
      <c r="CC95" s="38" t="n">
        <f aca="false">IF(N(Tasks[[#This Row],[Pred3 UID]])=0,0,IFERROR(MATCH(Tasks[[#This Row],[Pred3 UID]],Tasks[UID],0),-1))</f>
        <v>0</v>
      </c>
      <c r="CD95" s="38" t="n">
        <f aca="false">IF(N(Tasks[[#This Row],[Pred4 UID]])=0,0,IFERROR(MATCH(Tasks[[#This Row],[Pred4 UID]],Tasks[UID],0),-1))</f>
        <v>0</v>
      </c>
      <c r="CE9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5" s="115" t="n">
        <f aca="false">IF(OR(Tasks[[#This Row],[_ConstraintCode]]=2,Tasks[[#This Row],[_ConstraintCode]]=3,Tasks[[#This Row],[_ConstraintCode]]=4,Tasks[[#This Row],[_ConstraintCode]]=6),Tasks[[#This Row],[_ConstraintStart]],0)</f>
        <v>0</v>
      </c>
      <c r="CH95" s="115" t="n">
        <f aca="false">IF(OR(Tasks[[#This Row],[_ConstraintCode]]=2,Tasks[[#This Row],[_ConstraintCode]]=3,Tasks[[#This Row],[_ConstraintCode]]=5,Tasks[[#This Row],[_ConstraintCode]]=7),Tasks[[#This Row],[_ConstraintStart]],2958465)</f>
        <v>2958465</v>
      </c>
      <c r="CI9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5" s="115" t="str">
        <f aca="false">IF(NOT(Tasks[[#This Row],[_IsLeaf]]=1),"",IF(N(Tasks[[#This Row],[Duration]])&lt;=0,Tasks[[#This Row],[_LeafCalcStart]],WORKDAY.INTL(Tasks[[#This Row],[_LeafCalcStart]],Tasks[[#This Row],[Duration]]-1,WorkWeek,Holidays)))</f>
        <v/>
      </c>
      <c r="CK9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5" s="38" t="n">
        <f aca="false">IF(NOT(Tasks[[#This Row],[_IsLeaf]]=1),0,IF(N(Tasks[[#This Row],[Actual Finish]])&gt;0,1,MIN(1,N(Tasks[[#This Row],[% Complete]]))))</f>
        <v>0</v>
      </c>
      <c r="CN95" s="38" t="n">
        <f aca="false">IF(OR(NOT(Tasks[[#This Row],[_IsLeaf]]=1),Tasks[[#This Row],[Resource]]=""),0,N(Tasks[[#This Row],[Duration]])*HoursPerDay*IF(Tasks[[#This Row],[Units]]="",DefaultUnits,Tasks[[#This Row],[Units]]))</f>
        <v>0</v>
      </c>
      <c r="CO95" s="38" t="n">
        <f aca="false">IF(Tasks[[#This Row],[_LeafWork]]=0,0,Tasks[[#This Row],[_LeafWork]]*IFERROR(INDEX(res_Rate,MATCH(Tasks[[#This Row],[Resource]],res_Name,0)),0))</f>
        <v>0</v>
      </c>
      <c r="CP95" s="38" t="n">
        <f aca="false">Tasks[[#This Row],[_LeafWork]]+IF(Tasks[[#This Row],[_IsLeaf]]=1,SUMIFS(asg_Work,asg_TaskUID,Tasks[[#This Row],[UID]],asg_Valid,1),0)</f>
        <v>0</v>
      </c>
      <c r="CQ95" s="38" t="n">
        <f aca="false">Tasks[[#This Row],[_LeafCost]]+IF(Tasks[[#This Row],[_IsLeaf]]=1,SUMIFS(asg_Cost,asg_TaskUID,Tasks[[#This Row],[UID]],asg_Valid,1),0)</f>
        <v>0</v>
      </c>
      <c r="CR95" s="38" t="n">
        <f aca="false">IF(Tasks[[#This Row],[_LeafTotalCost]]=0,Tasks[[#This Row],[_LeafAC]],Tasks[[#This Row],[_LeafAC]]*Tasks[[#This Row],[_LeafCost]]/Tasks[[#This Row],[_LeafTotalCost]])</f>
        <v>0</v>
      </c>
      <c r="CS9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5" s="38" t="n">
        <f aca="false">IF(NOT(Tasks[[#This Row],[_IsLeaf]]=1),0,MAX(_xlfn.MAXIFS(Tasks[_Row],Tasks[Pred1 UID],Tasks[[#This Row],[UID]]),_xlfn.MAXIFS(Tasks[_Row],Tasks[Pred2 UID],Tasks[[#This Row],[UID]]),_xlfn.MAXIFS(Tasks[_Row],Tasks[Pred3 UID],Tasks[[#This Row],[UID]]),_xlfn.MAXIFS(Tasks[_Row],Tasks[Pred4 UID],Tasks[[#This Row],[UID]])))</f>
        <v>0</v>
      </c>
      <c r="DB9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5" s="115" t="str">
        <f aca="false">IF(NOT(Tasks[[#This Row],[_IsLeaf]]=1),"",IF(N(Tasks[[#This Row],[Duration]])&lt;=0,Tasks[[#This Row],[_LeafLateFinish]],WORKDAY.INTL(Tasks[[#This Row],[_LeafLateFinish]],-(Tasks[[#This Row],[Duration]]-1),WorkWeek,Holidays)))</f>
        <v/>
      </c>
      <c r="DE9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5" s="114" t="b">
        <f aca="false">AND(Tasks[[#This Row],[_IsLeaf]]=1,Tasks[[#This Row],[_LeafProgress]]&lt;1,N(Tasks[[#This Row],[_LeafTotalSlack]])&lt;=CriticalSlackDays)</f>
        <v>0</v>
      </c>
      <c r="DG95" s="38" t="n">
        <f aca="false">IF(AND(Tasks[[#This Row],[_IsLeaf]]=1,Tasks[[#This Row],[_ConstraintCode]]=1,Tasks[[#This Row],[Mode]]&lt;&gt;"Manual",N(Tasks[[#This Row],[Actual Start]])=0),MAX(0,N(Tasks[[#This Row],[Free Slack]])),0)</f>
        <v>0</v>
      </c>
      <c r="DH95" s="115" t="str">
        <f aca="false">IF(NOT(Tasks[[#This Row],[_IsLeaf]]=1),"",IF(Tasks[[#This Row],[_AlapShift]]=0,Tasks[[#This Row],[_LeafCalcStart]],WORKDAY.INTL(Tasks[[#This Row],[_LeafCalcStart]],Tasks[[#This Row],[_AlapShift]],WorkWeek,Holidays)))</f>
        <v/>
      </c>
      <c r="DI95" s="115" t="str">
        <f aca="false">IF(NOT(Tasks[[#This Row],[_IsLeaf]]=1),"",IF(Tasks[[#This Row],[_AlapShift]]=0,Tasks[[#This Row],[_LeafCalcFinish]],WORKDAY.INTL(Tasks[[#This Row],[_LeafCalcFinish]],Tasks[[#This Row],[_AlapShift]],WorkWeek,Holidays)))</f>
        <v/>
      </c>
      <c r="DJ95" s="115" t="str">
        <f aca="false">IF(NOT(Tasks[[#This Row],[_IsLeaf]]=1),"",IF(Tasks[[#This Row],[_AlapShift]]=0,Tasks[[#This Row],[_LeafFcstStart]],WORKDAY.INTL(Tasks[[#This Row],[_LeafFcstStart]],Tasks[[#This Row],[_AlapShift]],WorkWeek,Holidays)))</f>
        <v/>
      </c>
      <c r="DK95" s="115" t="str">
        <f aca="false">IF(NOT(Tasks[[#This Row],[_IsLeaf]]=1),"",IF(Tasks[[#This Row],[_AlapShift]]=0,Tasks[[#This Row],[_LeafFcstFinish]],WORKDAY.INTL(Tasks[[#This Row],[_LeafFcstFinish]],Tasks[[#This Row],[_AlapShift]],WorkWeek,Holidays)))</f>
        <v/>
      </c>
      <c r="DL95" s="115" t="str">
        <f aca="false">IF(Tasks[[#This Row],[Task Name]]="","",IF(Tasks[[#This Row],[_IsSummary]],MIN(INDEX(Tasks[_ShownCalcStart],Tasks[[#This Row],[_Row]]+1):INDEX(Tasks[_ShownCalcStart],Tasks[[#This Row],[_Row]]+Tasks[[#This Row],[_Descendants]])),Tasks[[#This Row],[_ShownCalcStart]]))</f>
        <v/>
      </c>
      <c r="DM95" s="115" t="str">
        <f aca="false">IF(Tasks[[#This Row],[Task Name]]="","",IF(Tasks[[#This Row],[_IsSummary]],MAX(INDEX(Tasks[_ShownCalcFinish],Tasks[[#This Row],[_Row]]+1):INDEX(Tasks[_ShownCalcFinish],Tasks[[#This Row],[_Row]]+Tasks[[#This Row],[_Descendants]])),Tasks[[#This Row],[_ShownCalcFinish]]))</f>
        <v/>
      </c>
      <c r="DN9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5" s="38" t="n">
        <f aca="false">IF(AND(Tasks[[#This Row],[_IsLeaf]]=1,Tasks[[#This Row],[_LeafTotalWork]]&gt;0),NETWORKDAYS.INTL(ProjectStart,Tasks[[#This Row],[_ShownFcstStart]],WorkWeek,Holidays),0)</f>
        <v>0</v>
      </c>
      <c r="EA95" s="38" t="n">
        <f aca="false">IF(AND(Tasks[[#This Row],[_IsLeaf]]=1,Tasks[[#This Row],[_LeafTotalWork]]&gt;0),MAX(Tasks[[#This Row],[_StartWorkday]],NETWORKDAYS.INTL(ProjectStart,Tasks[[#This Row],[_ShownFcstFinish]],WorkWeek,Holidays)),0)</f>
        <v>0</v>
      </c>
      <c r="EB95" s="38" t="n">
        <f aca="false">IF(AND(Tasks[[#This Row],[_IsLeaf]]=1,Tasks[[#This Row],[_LeafTotalWork]]&gt;0),Tasks[[#This Row],[_LeafWork]]/(Tasks[[#This Row],[_FinishWorkday]]-Tasks[[#This Row],[_StartWorkday]]+1),0)</f>
        <v>0</v>
      </c>
      <c r="EC95" s="38" t="n">
        <f aca="false">Tasks[[#This Row],[_WorkPerWorkday]]*(Tasks[[#This Row],[_StartWorkday]]-1)</f>
        <v>-0</v>
      </c>
      <c r="ED95" s="38" t="n">
        <f aca="false">IF(Tasks[[#This Row],[_IsLeaf]]=1,MAX(N(Tasks[[#This Row],[Duration]]),0.1),0)</f>
        <v>0</v>
      </c>
      <c r="EE95" s="38" t="n">
        <f aca="false">Tasks[[#This Row],[_WeightDur]]*Tasks[[#This Row],[_LeafProgress]]</f>
        <v>0</v>
      </c>
      <c r="EF9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5" s="38" t="str">
        <f aca="false">IF(AND(Tasks[[#This Row],[_IsLeaf]]=1,N(Tasks[[#This Row],[Duration]])=0,Tasks[[#This Row],[_LeafProgress]]&lt;1),Tasks[[#This Row],[_ShownFcstFinish]]+Tasks[[#This Row],[_Row]]/100000,"")</f>
        <v/>
      </c>
      <c r="EH9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5" s="38" t="n">
        <f aca="false">IF(NOT(Tasks[[#This Row],[_IsLeaf]]=1),0,IF(Tasks[[#This Row],[Baseline Cost]]="",Tasks[[#This Row],[_LeafTotalCost]],N(Tasks[[#This Row],[Baseline Cost]])))</f>
        <v>0</v>
      </c>
      <c r="EJ95" s="38" t="n">
        <f aca="false">Tasks[[#This Row],[_LeafBudget]]*Tasks[[#This Row],[_PlannedPct]]</f>
        <v>0</v>
      </c>
      <c r="EK95" s="38" t="n">
        <f aca="false">Tasks[[#This Row],[_LeafBudget]]*Tasks[[#This Row],[_LeafProgress]]</f>
        <v>0</v>
      </c>
      <c r="EL95" s="38" t="n">
        <f aca="false">IF(NOT(Tasks[[#This Row],[_IsLeaf]]=1),0,IF(Tasks[[#This Row],[Actual Cost]]="",Tasks[[#This Row],[_LeafTotalCost]]*Tasks[[#This Row],[_LeafProgress]],N(Tasks[[#This Row],[Actual Cost]])))</f>
        <v>0</v>
      </c>
      <c r="EM95" s="38" t="str">
        <f aca="false">IF(Tasks[[#This Row],[Task Name]]="","",LEFT(Tasks[[#This Row],[WBS]],FIND(".",Tasks[[#This Row],[WBS]]&amp;".")-1))</f>
        <v/>
      </c>
      <c r="EN95" s="38" t="str">
        <f aca="false">IF(AND(Tasks[[#This Row],[Task Name]]&lt;&gt;"",Tasks[[#This Row],[_Level]]=1),Tasks[[#This Row],[_Row]],"")</f>
        <v/>
      </c>
      <c r="EO95" s="38" t="str">
        <f aca="false">IF(AND(Tasks[[#This Row],[_IsLeaf]]=1,N(Tasks[[#This Row],[Duration]])=0),Tasks[[#This Row],[Planned Finish]]+Tasks[[#This Row],[_Row]]/100000,"")</f>
        <v/>
      </c>
      <c r="EP95" s="38" t="str">
        <f aca="false">IF(AND(Tasks[[#This Row],[_IsLeaf]]=1,Tasks[[#This Row],[_LeafProgress]]&lt;1,OR(N(Tasks[[#This Row],[Finish Var]])&gt;0,Tasks[[#This Row],[Status]]="Late Start")),MAX(0,Tasks[[#This Row],[Finish Var]])+1-Tasks[[#This Row],[_Row]]/1000000,"")</f>
        <v/>
      </c>
      <c r="EQ95" s="38" t="str">
        <f aca="false">IF(AND(Tasks[[#This Row],[_IsLeaf]]=1,N(Tasks[[#This Row],[Actual Start]])=0,Tasks[[#This Row],[_ShownFcstStart]]&gt;=StatusDate,Tasks[[#This Row],[_ShownFcstStart]]&lt;=LookaheadEnd),Tasks[[#This Row],[_ShownFcstStart]]+Tasks[[#This Row],[_Row]]/100000,"")</f>
        <v/>
      </c>
      <c r="ER95" s="38" t="str">
        <f aca="false">IF(AND(Tasks[[#This Row],[_IsLeaf]]=1,Tasks[[#This Row],[_LeafProgress]]&lt;1,Tasks[[#This Row],[_ShownFcstFinish]]&gt;=StatusDate,Tasks[[#This Row],[_ShownFcstFinish]]&lt;=LookaheadEnd),Tasks[[#This Row],[_ShownFcstFinish]]+Tasks[[#This Row],[_Row]]/100000,"")</f>
        <v/>
      </c>
      <c r="ES95" s="38" t="str">
        <f aca="false">IF(Tasks[[#This Row],[_LeafCritical]],Tasks[[#This Row],[_ShownFcstStart]]+Tasks[[#This Row],[_Row]]/100000,"")</f>
        <v/>
      </c>
      <c r="ET95" s="38" t="n">
        <f aca="false">Tasks[[#This Row],[_LeafWork]]*Tasks[[#This Row],[_LeafProgress]]</f>
        <v>0</v>
      </c>
      <c r="EU95" s="115" t="str">
        <f aca="false">IF(AND(Tasks[[#This Row],[_IsLeaf]]=1,Tasks[[#This Row],[_LeafProgress]]&gt;=1),IF(N(Tasks[[#This Row],[Actual Finish]])&gt;0,Tasks[[#This Row],[Actual Finish]],Tasks[[#This Row],[_ShownFcstFinish]]),"")</f>
        <v/>
      </c>
      <c r="EV95" s="38" t="n">
        <f aca="false">IF(Tasks[[#This Row],[_IsLeaf]]=1,N(Tasks[[#This Row],[Story Points]]),0)</f>
        <v>0</v>
      </c>
      <c r="EW95" s="38" t="str">
        <f aca="false">IF(AND(Tasks[[#This Row],[_IsLeaf]]=1,CurrentSprint&lt;&gt;"",Tasks[[#This Row],[Sprint]]=CurrentSprint),Tasks[[#This Row],[_Row]],"")</f>
        <v/>
      </c>
    </row>
    <row r="96" customFormat="false" ht="15" hidden="false" customHeight="false" outlineLevel="0" collapsed="false">
      <c r="A96" s="51" t="str">
        <f aca="false">IF(Tasks[[#This Row],[Task Name]]="","",COUNTA(Tasks[[#Headers],[Task Name]]:Tasks[[#This Row],[Task Name]])-1)</f>
        <v/>
      </c>
      <c r="B96" s="52" t="n">
        <v>91</v>
      </c>
      <c r="C9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52"/>
      <c r="E96" s="53"/>
      <c r="F96" s="52"/>
      <c r="G96" s="52"/>
      <c r="H96" s="52"/>
      <c r="I96" s="52"/>
      <c r="J96" s="52"/>
      <c r="K96" s="52"/>
      <c r="L96" s="52"/>
      <c r="M96" s="52"/>
      <c r="N96" s="52"/>
      <c r="O96" s="52"/>
      <c r="P96" s="52"/>
      <c r="Q96" s="52"/>
      <c r="R96" s="52"/>
      <c r="S96" s="53"/>
      <c r="T96" s="102"/>
      <c r="U96" s="102"/>
      <c r="V96" s="7"/>
      <c r="W96" s="7"/>
      <c r="X96" s="53"/>
      <c r="Y96" s="31" t="str">
        <f aca="false">IF(Tasks[[#This Row],[Task Name]]="","",IF(Tasks[[#This Row],[_IsSummary]],MIN(INDEX(Tasks[_ShownFcstStart],Tasks[[#This Row],[_Row]]+1):INDEX(Tasks[_ShownFcstStart],Tasks[[#This Row],[_Row]]+Tasks[[#This Row],[_Descendants]])),Tasks[[#This Row],[_ShownFcstStart]]))</f>
        <v/>
      </c>
      <c r="Z96" s="31" t="str">
        <f aca="false">IF(Tasks[[#This Row],[Task Name]]="","",IF(Tasks[[#This Row],[_IsSummary]],MAX(INDEX(Tasks[_ShownFcstFinish],Tasks[[#This Row],[_Row]]+1):INDEX(Tasks[_ShownFcstFinish],Tasks[[#This Row],[_Row]]+Tasks[[#This Row],[_Descendants]])),Tasks[[#This Row],[_ShownFcstFinish]]))</f>
        <v/>
      </c>
      <c r="AA96" s="51" t="str">
        <f aca="false">IF(Tasks[[#This Row],[Task Name]]="","",IF(Tasks[[#This Row],[Progress]]&gt;=1,"Complete",IF(OR(N(Tasks[[#This Row],[Actual Start]])&gt;0,Tasks[[#This Row],[Progress]]&gt;0),IF(Tasks[[#This Row],[Finish Var]]&gt;0,"Behind","In Progress"),IF(Tasks[[#This Row],[Planned Start]]&lt;StatusDate,"Late Start","Not Started"))))</f>
        <v/>
      </c>
      <c r="AB96" s="51" t="str">
        <f aca="false">IF(Tasks[[#This Row],[Task Name]]="","",IF(IF(Tasks[[#This Row],[_IsSummary]],COUNTIF(INDEX(Tasks[_LeafCritical],Tasks[[#This Row],[_Row]]+1):INDEX(Tasks[_LeafCritical],Tasks[[#This Row],[_Row]]+Tasks[[#This Row],[_Descendants]]),TRUE())&gt;0,Tasks[[#This Row],[_LeafCritical]]),"Yes",""))</f>
        <v/>
      </c>
      <c r="AC9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6" s="51" t="str">
        <f aca="false">IF(Tasks[[#This Row],[Task Name]]="","",IF(Tasks[[#This Row],[_Level]]&lt;=OutlineShowLevel,"Yes","No"))</f>
        <v/>
      </c>
      <c r="AE96" s="7"/>
      <c r="AF96" s="52"/>
      <c r="AG96" s="53"/>
      <c r="AH96" s="7"/>
      <c r="AI9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6" s="31" t="str">
        <f aca="false">IF(Tasks[[#This Row],[Task Name]]="","",IF(N(Tasks[[#This Row],[Baseline Start]])&gt;0,Tasks[[#This Row],[Baseline Start]],Tasks[[#This Row],[_CalcStart]]))</f>
        <v/>
      </c>
      <c r="AK96" s="31" t="str">
        <f aca="false">IF(Tasks[[#This Row],[Task Name]]="","",IF(N(Tasks[[#This Row],[Baseline Finish]])&gt;0,Tasks[[#This Row],[Baseline Finish]],Tasks[[#This Row],[_CalcFinish]]))</f>
        <v/>
      </c>
      <c r="AL9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6" s="31" t="str">
        <f aca="false">IF(Tasks[[#This Row],[Task Name]]="","",IF(Tasks[[#This Row],[_IsSummary]],MIN(INDEX(Tasks[_LeafLateStart],Tasks[[#This Row],[_Row]]+1):INDEX(Tasks[_LeafLateStart],Tasks[[#This Row],[_Row]]+Tasks[[#This Row],[_Descendants]])),Tasks[[#This Row],[_LeafLateStart]]))</f>
        <v/>
      </c>
      <c r="AN96" s="31" t="str">
        <f aca="false">IF(Tasks[[#This Row],[Task Name]]="","",IF(Tasks[[#This Row],[_IsSummary]],MAX(INDEX(Tasks[_LeafLateFinish],Tasks[[#This Row],[_Row]]+1):INDEX(Tasks[_LeafLateFinish],Tasks[[#This Row],[_Row]]+Tasks[[#This Row],[_Descendants]])),Tasks[[#This Row],[_LeafLateFinish]]))</f>
        <v/>
      </c>
      <c r="AO96" s="51" t="str">
        <f aca="false">IF(Tasks[[#This Row],[Task Name]]="","",IF(Tasks[[#This Row],[_IsSummary]],MIN(INDEX(Tasks[_LeafTotalSlack],Tasks[[#This Row],[_Row]]+1):INDEX(Tasks[_LeafTotalSlack],Tasks[[#This Row],[_Row]]+Tasks[[#This Row],[_Descendants]])),Tasks[[#This Row],[_LeafTotalSlack]]))</f>
        <v/>
      </c>
      <c r="AP9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6" s="110" t="str">
        <f aca="false">IF(Tasks[[#This Row],[Task Name]]="","",IF(Tasks[[#This Row],[_IsSummary]],SUM(INDEX(Tasks[_LeafTotalWork],Tasks[[#This Row],[_Row]]+1):INDEX(Tasks[_LeafTotalWork],Tasks[[#This Row],[_Row]]+Tasks[[#This Row],[_Descendants]])),Tasks[[#This Row],[_LeafTotalWork]]))</f>
        <v/>
      </c>
      <c r="AV9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6" s="111" t="str">
        <f aca="false">IF(Tasks[[#This Row],[Task Name]]="","",IF(Tasks[[#This Row],[_IsSummary]],SUM(INDEX(Tasks[_LeafTotalCost],Tasks[[#This Row],[_Row]]+1):INDEX(Tasks[_LeafTotalCost],Tasks[[#This Row],[_Row]]+Tasks[[#This Row],[_Descendants]])),Tasks[[#This Row],[_LeafTotalCost]]))</f>
        <v/>
      </c>
      <c r="AY96" s="112"/>
      <c r="AZ9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6" s="52"/>
      <c r="BB96" s="98"/>
      <c r="BC96" s="51" t="str">
        <f aca="false">IF(OR(Tasks[[#This Row],[Task Name]]="",Tasks[[#This Row],[Baseline Duration]]=""),"",Tasks[[#This Row],[BL Source Duration]]-N(Tasks[[#This Row],[Baseline Duration]]))</f>
        <v/>
      </c>
      <c r="BD96" s="110" t="str">
        <f aca="false">IF(OR(Tasks[[#This Row],[Task Name]]="",Tasks[[#This Row],[Baseline Work]]=""),"",Tasks[[#This Row],[Work]]-N(Tasks[[#This Row],[Baseline Work]]))</f>
        <v/>
      </c>
      <c r="BE96" s="111" t="str">
        <f aca="false">IF(OR(Tasks[[#This Row],[Task Name]]="",Tasks[[#This Row],[Baseline Cost]]=""),"",Tasks[[#This Row],[Cost]]-N(Tasks[[#This Row],[Baseline Cost]]))</f>
        <v/>
      </c>
      <c r="BF96" s="31" t="str">
        <f aca="false">IF(Tasks[[#This Row],[Task Name]]="","",Tasks[[#This Row],[Forecast Start]])</f>
        <v/>
      </c>
      <c r="BG96" s="31" t="str">
        <f aca="false">IF(Tasks[[#This Row],[Task Name]]="","",Tasks[[#This Row],[Forecast Finish]])</f>
        <v/>
      </c>
      <c r="BH96" s="51" t="str">
        <f aca="false">IF(Tasks[[#This Row],[Task Name]]="","",IF(Tasks[[#This Row],[_IsSummary]],NETWORKDAYS.INTL(Tasks[[#This Row],[Forecast Start]],Tasks[[#This Row],[Forecast Finish]],WorkWeek,Holidays),N(Tasks[[#This Row],[Duration]])))</f>
        <v/>
      </c>
      <c r="BI96" s="110" t="str">
        <f aca="false">IF(Tasks[[#This Row],[Task Name]]="","",Tasks[[#This Row],[Work]])</f>
        <v/>
      </c>
      <c r="BJ96" s="111" t="str">
        <f aca="false">IF(Tasks[[#This Row],[Task Name]]="","",Tasks[[#This Row],[Cost]])</f>
        <v/>
      </c>
      <c r="BK96" s="7"/>
      <c r="BL96" s="7"/>
      <c r="BM96" s="52"/>
      <c r="BN96" s="113"/>
      <c r="BO96" s="112"/>
      <c r="BP96" s="111" t="str">
        <f aca="false">IF(Tasks[[#This Row],[Task Name]]="","",IF(Tasks[[#This Row],[_IsSummary]],SUM(INDEX(Tasks[_LeafEV],Tasks[[#This Row],[_Row]]+1):INDEX(Tasks[_LeafEV],Tasks[[#This Row],[_Row]]+Tasks[[#This Row],[_Descendants]])),Tasks[[#This Row],[_LeafEV]]))</f>
        <v/>
      </c>
      <c r="BQ96" s="111" t="str">
        <f aca="false">IF(Tasks[[#This Row],[Task Name]]="","",IF(Tasks[[#This Row],[_IsSummary]],SUM(INDEX(Tasks[_LeafBudget],Tasks[[#This Row],[_Row]]+1):INDEX(Tasks[_LeafBudget],Tasks[[#This Row],[_Row]]+Tasks[[#This Row],[_Descendants]])),Tasks[[#This Row],[_LeafBudget]]))</f>
        <v/>
      </c>
      <c r="BR96" s="111" t="str">
        <f aca="false">IF(Tasks[[#This Row],[Task Name]]="","",IF(Tasks[[#This Row],[_IsSummary]],SUM(INDEX(Tasks[_LeafPV],Tasks[[#This Row],[_Row]]+1):INDEX(Tasks[_LeafPV],Tasks[[#This Row],[_Row]]+Tasks[[#This Row],[_Descendants]])),Tasks[[#This Row],[_LeafPV]]))</f>
        <v/>
      </c>
      <c r="BS96" s="111" t="str">
        <f aca="false">IF(Tasks[[#This Row],[Task Name]]="","",IF(Tasks[[#This Row],[_IsSummary]],SUM(INDEX(Tasks[_LeafAC],Tasks[[#This Row],[_Row]]+1):INDEX(Tasks[_LeafAC],Tasks[[#This Row],[_Row]]+Tasks[[#This Row],[_Descendants]])),Tasks[[#This Row],[_LeafAC]]))</f>
        <v/>
      </c>
      <c r="BT96" s="38" t="str">
        <f aca="false">IF(Tasks[[#This Row],[Task Name]]="","",MAX(1,N(Tasks[[#This Row],[Level]])))</f>
        <v/>
      </c>
      <c r="BU96" s="38" t="n">
        <f aca="false">ROW()-ROW(Tasks[[#Headers],[ID]])</f>
        <v>91</v>
      </c>
      <c r="BV96" s="38" t="n">
        <f aca="false">IF(OR(Tasks[[#This Row],[Task Name]]="",Tasks[[#This Row],[_Level]]&lt;=1),0,IFERROR(LOOKUP(2,1/(Tasks[[#Headers],[_Level]]:Tasks[[#This Row],[_Level]]=Tasks[[#This Row],[_Level]]-1),ROW(Tasks[[#Headers],[_Level]]:Tasks[[#This Row],[_Level]])),0))</f>
        <v>0</v>
      </c>
      <c r="BW96" s="38" t="n">
        <f aca="false">IFERROR(N(INDEX(Tasks[_Level],Tasks[[#This Row],[_Row]]+1)),0)</f>
        <v>0</v>
      </c>
      <c r="BX96" s="114" t="b">
        <f aca="false">AND(Tasks[[#This Row],[Task Name]]&lt;&gt;"",Tasks[[#This Row],[_NextLevel]]&gt;Tasks[[#This Row],[_Level]])</f>
        <v>0</v>
      </c>
      <c r="BY96" s="38" t="n">
        <f aca="false">IF(Tasks[[#This Row],[_IsSummary]],COUNTIF(Tasks[WBS],Tasks[[#This Row],[WBS]]&amp;".*"),0)</f>
        <v>0</v>
      </c>
      <c r="BZ96" s="38" t="n">
        <f aca="false">IF(AND(Tasks[[#This Row],[Task Name]]&lt;&gt;"",NOT(Tasks[[#This Row],[_IsSummary]])),1,0)</f>
        <v>0</v>
      </c>
      <c r="CA96" s="38" t="n">
        <f aca="false">IF(N(Tasks[[#This Row],[Pred1 UID]])=0,0,IFERROR(MATCH(Tasks[[#This Row],[Pred1 UID]],Tasks[UID],0),-1))</f>
        <v>0</v>
      </c>
      <c r="CB96" s="38" t="n">
        <f aca="false">IF(N(Tasks[[#This Row],[Pred2 UID]])=0,0,IFERROR(MATCH(Tasks[[#This Row],[Pred2 UID]],Tasks[UID],0),-1))</f>
        <v>0</v>
      </c>
      <c r="CC96" s="38" t="n">
        <f aca="false">IF(N(Tasks[[#This Row],[Pred3 UID]])=0,0,IFERROR(MATCH(Tasks[[#This Row],[Pred3 UID]],Tasks[UID],0),-1))</f>
        <v>0</v>
      </c>
      <c r="CD96" s="38" t="n">
        <f aca="false">IF(N(Tasks[[#This Row],[Pred4 UID]])=0,0,IFERROR(MATCH(Tasks[[#This Row],[Pred4 UID]],Tasks[UID],0),-1))</f>
        <v>0</v>
      </c>
      <c r="CE9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6" s="115" t="n">
        <f aca="false">IF(OR(Tasks[[#This Row],[_ConstraintCode]]=2,Tasks[[#This Row],[_ConstraintCode]]=3,Tasks[[#This Row],[_ConstraintCode]]=4,Tasks[[#This Row],[_ConstraintCode]]=6),Tasks[[#This Row],[_ConstraintStart]],0)</f>
        <v>0</v>
      </c>
      <c r="CH96" s="115" t="n">
        <f aca="false">IF(OR(Tasks[[#This Row],[_ConstraintCode]]=2,Tasks[[#This Row],[_ConstraintCode]]=3,Tasks[[#This Row],[_ConstraintCode]]=5,Tasks[[#This Row],[_ConstraintCode]]=7),Tasks[[#This Row],[_ConstraintStart]],2958465)</f>
        <v>2958465</v>
      </c>
      <c r="CI9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6" s="115" t="str">
        <f aca="false">IF(NOT(Tasks[[#This Row],[_IsLeaf]]=1),"",IF(N(Tasks[[#This Row],[Duration]])&lt;=0,Tasks[[#This Row],[_LeafCalcStart]],WORKDAY.INTL(Tasks[[#This Row],[_LeafCalcStart]],Tasks[[#This Row],[Duration]]-1,WorkWeek,Holidays)))</f>
        <v/>
      </c>
      <c r="CK9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6" s="38" t="n">
        <f aca="false">IF(NOT(Tasks[[#This Row],[_IsLeaf]]=1),0,IF(N(Tasks[[#This Row],[Actual Finish]])&gt;0,1,MIN(1,N(Tasks[[#This Row],[% Complete]]))))</f>
        <v>0</v>
      </c>
      <c r="CN96" s="38" t="n">
        <f aca="false">IF(OR(NOT(Tasks[[#This Row],[_IsLeaf]]=1),Tasks[[#This Row],[Resource]]=""),0,N(Tasks[[#This Row],[Duration]])*HoursPerDay*IF(Tasks[[#This Row],[Units]]="",DefaultUnits,Tasks[[#This Row],[Units]]))</f>
        <v>0</v>
      </c>
      <c r="CO96" s="38" t="n">
        <f aca="false">IF(Tasks[[#This Row],[_LeafWork]]=0,0,Tasks[[#This Row],[_LeafWork]]*IFERROR(INDEX(res_Rate,MATCH(Tasks[[#This Row],[Resource]],res_Name,0)),0))</f>
        <v>0</v>
      </c>
      <c r="CP96" s="38" t="n">
        <f aca="false">Tasks[[#This Row],[_LeafWork]]+IF(Tasks[[#This Row],[_IsLeaf]]=1,SUMIFS(asg_Work,asg_TaskUID,Tasks[[#This Row],[UID]],asg_Valid,1),0)</f>
        <v>0</v>
      </c>
      <c r="CQ96" s="38" t="n">
        <f aca="false">Tasks[[#This Row],[_LeafCost]]+IF(Tasks[[#This Row],[_IsLeaf]]=1,SUMIFS(asg_Cost,asg_TaskUID,Tasks[[#This Row],[UID]],asg_Valid,1),0)</f>
        <v>0</v>
      </c>
      <c r="CR96" s="38" t="n">
        <f aca="false">IF(Tasks[[#This Row],[_LeafTotalCost]]=0,Tasks[[#This Row],[_LeafAC]],Tasks[[#This Row],[_LeafAC]]*Tasks[[#This Row],[_LeafCost]]/Tasks[[#This Row],[_LeafTotalCost]])</f>
        <v>0</v>
      </c>
      <c r="CS9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6" s="38" t="n">
        <f aca="false">IF(NOT(Tasks[[#This Row],[_IsLeaf]]=1),0,MAX(_xlfn.MAXIFS(Tasks[_Row],Tasks[Pred1 UID],Tasks[[#This Row],[UID]]),_xlfn.MAXIFS(Tasks[_Row],Tasks[Pred2 UID],Tasks[[#This Row],[UID]]),_xlfn.MAXIFS(Tasks[_Row],Tasks[Pred3 UID],Tasks[[#This Row],[UID]]),_xlfn.MAXIFS(Tasks[_Row],Tasks[Pred4 UID],Tasks[[#This Row],[UID]])))</f>
        <v>0</v>
      </c>
      <c r="DB9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6" s="115" t="str">
        <f aca="false">IF(NOT(Tasks[[#This Row],[_IsLeaf]]=1),"",IF(N(Tasks[[#This Row],[Duration]])&lt;=0,Tasks[[#This Row],[_LeafLateFinish]],WORKDAY.INTL(Tasks[[#This Row],[_LeafLateFinish]],-(Tasks[[#This Row],[Duration]]-1),WorkWeek,Holidays)))</f>
        <v/>
      </c>
      <c r="DE9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6" s="114" t="b">
        <f aca="false">AND(Tasks[[#This Row],[_IsLeaf]]=1,Tasks[[#This Row],[_LeafProgress]]&lt;1,N(Tasks[[#This Row],[_LeafTotalSlack]])&lt;=CriticalSlackDays)</f>
        <v>0</v>
      </c>
      <c r="DG96" s="38" t="n">
        <f aca="false">IF(AND(Tasks[[#This Row],[_IsLeaf]]=1,Tasks[[#This Row],[_ConstraintCode]]=1,Tasks[[#This Row],[Mode]]&lt;&gt;"Manual",N(Tasks[[#This Row],[Actual Start]])=0),MAX(0,N(Tasks[[#This Row],[Free Slack]])),0)</f>
        <v>0</v>
      </c>
      <c r="DH96" s="115" t="str">
        <f aca="false">IF(NOT(Tasks[[#This Row],[_IsLeaf]]=1),"",IF(Tasks[[#This Row],[_AlapShift]]=0,Tasks[[#This Row],[_LeafCalcStart]],WORKDAY.INTL(Tasks[[#This Row],[_LeafCalcStart]],Tasks[[#This Row],[_AlapShift]],WorkWeek,Holidays)))</f>
        <v/>
      </c>
      <c r="DI96" s="115" t="str">
        <f aca="false">IF(NOT(Tasks[[#This Row],[_IsLeaf]]=1),"",IF(Tasks[[#This Row],[_AlapShift]]=0,Tasks[[#This Row],[_LeafCalcFinish]],WORKDAY.INTL(Tasks[[#This Row],[_LeafCalcFinish]],Tasks[[#This Row],[_AlapShift]],WorkWeek,Holidays)))</f>
        <v/>
      </c>
      <c r="DJ96" s="115" t="str">
        <f aca="false">IF(NOT(Tasks[[#This Row],[_IsLeaf]]=1),"",IF(Tasks[[#This Row],[_AlapShift]]=0,Tasks[[#This Row],[_LeafFcstStart]],WORKDAY.INTL(Tasks[[#This Row],[_LeafFcstStart]],Tasks[[#This Row],[_AlapShift]],WorkWeek,Holidays)))</f>
        <v/>
      </c>
      <c r="DK96" s="115" t="str">
        <f aca="false">IF(NOT(Tasks[[#This Row],[_IsLeaf]]=1),"",IF(Tasks[[#This Row],[_AlapShift]]=0,Tasks[[#This Row],[_LeafFcstFinish]],WORKDAY.INTL(Tasks[[#This Row],[_LeafFcstFinish]],Tasks[[#This Row],[_AlapShift]],WorkWeek,Holidays)))</f>
        <v/>
      </c>
      <c r="DL96" s="115" t="str">
        <f aca="false">IF(Tasks[[#This Row],[Task Name]]="","",IF(Tasks[[#This Row],[_IsSummary]],MIN(INDEX(Tasks[_ShownCalcStart],Tasks[[#This Row],[_Row]]+1):INDEX(Tasks[_ShownCalcStart],Tasks[[#This Row],[_Row]]+Tasks[[#This Row],[_Descendants]])),Tasks[[#This Row],[_ShownCalcStart]]))</f>
        <v/>
      </c>
      <c r="DM96" s="115" t="str">
        <f aca="false">IF(Tasks[[#This Row],[Task Name]]="","",IF(Tasks[[#This Row],[_IsSummary]],MAX(INDEX(Tasks[_ShownCalcFinish],Tasks[[#This Row],[_Row]]+1):INDEX(Tasks[_ShownCalcFinish],Tasks[[#This Row],[_Row]]+Tasks[[#This Row],[_Descendants]])),Tasks[[#This Row],[_ShownCalcFinish]]))</f>
        <v/>
      </c>
      <c r="DN9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6" s="38" t="n">
        <f aca="false">IF(AND(Tasks[[#This Row],[_IsLeaf]]=1,Tasks[[#This Row],[_LeafTotalWork]]&gt;0),NETWORKDAYS.INTL(ProjectStart,Tasks[[#This Row],[_ShownFcstStart]],WorkWeek,Holidays),0)</f>
        <v>0</v>
      </c>
      <c r="EA96" s="38" t="n">
        <f aca="false">IF(AND(Tasks[[#This Row],[_IsLeaf]]=1,Tasks[[#This Row],[_LeafTotalWork]]&gt;0),MAX(Tasks[[#This Row],[_StartWorkday]],NETWORKDAYS.INTL(ProjectStart,Tasks[[#This Row],[_ShownFcstFinish]],WorkWeek,Holidays)),0)</f>
        <v>0</v>
      </c>
      <c r="EB96" s="38" t="n">
        <f aca="false">IF(AND(Tasks[[#This Row],[_IsLeaf]]=1,Tasks[[#This Row],[_LeafTotalWork]]&gt;0),Tasks[[#This Row],[_LeafWork]]/(Tasks[[#This Row],[_FinishWorkday]]-Tasks[[#This Row],[_StartWorkday]]+1),0)</f>
        <v>0</v>
      </c>
      <c r="EC96" s="38" t="n">
        <f aca="false">Tasks[[#This Row],[_WorkPerWorkday]]*(Tasks[[#This Row],[_StartWorkday]]-1)</f>
        <v>-0</v>
      </c>
      <c r="ED96" s="38" t="n">
        <f aca="false">IF(Tasks[[#This Row],[_IsLeaf]]=1,MAX(N(Tasks[[#This Row],[Duration]]),0.1),0)</f>
        <v>0</v>
      </c>
      <c r="EE96" s="38" t="n">
        <f aca="false">Tasks[[#This Row],[_WeightDur]]*Tasks[[#This Row],[_LeafProgress]]</f>
        <v>0</v>
      </c>
      <c r="EF9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6" s="38" t="str">
        <f aca="false">IF(AND(Tasks[[#This Row],[_IsLeaf]]=1,N(Tasks[[#This Row],[Duration]])=0,Tasks[[#This Row],[_LeafProgress]]&lt;1),Tasks[[#This Row],[_ShownFcstFinish]]+Tasks[[#This Row],[_Row]]/100000,"")</f>
        <v/>
      </c>
      <c r="EH9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6" s="38" t="n">
        <f aca="false">IF(NOT(Tasks[[#This Row],[_IsLeaf]]=1),0,IF(Tasks[[#This Row],[Baseline Cost]]="",Tasks[[#This Row],[_LeafTotalCost]],N(Tasks[[#This Row],[Baseline Cost]])))</f>
        <v>0</v>
      </c>
      <c r="EJ96" s="38" t="n">
        <f aca="false">Tasks[[#This Row],[_LeafBudget]]*Tasks[[#This Row],[_PlannedPct]]</f>
        <v>0</v>
      </c>
      <c r="EK96" s="38" t="n">
        <f aca="false">Tasks[[#This Row],[_LeafBudget]]*Tasks[[#This Row],[_LeafProgress]]</f>
        <v>0</v>
      </c>
      <c r="EL96" s="38" t="n">
        <f aca="false">IF(NOT(Tasks[[#This Row],[_IsLeaf]]=1),0,IF(Tasks[[#This Row],[Actual Cost]]="",Tasks[[#This Row],[_LeafTotalCost]]*Tasks[[#This Row],[_LeafProgress]],N(Tasks[[#This Row],[Actual Cost]])))</f>
        <v>0</v>
      </c>
      <c r="EM96" s="38" t="str">
        <f aca="false">IF(Tasks[[#This Row],[Task Name]]="","",LEFT(Tasks[[#This Row],[WBS]],FIND(".",Tasks[[#This Row],[WBS]]&amp;".")-1))</f>
        <v/>
      </c>
      <c r="EN96" s="38" t="str">
        <f aca="false">IF(AND(Tasks[[#This Row],[Task Name]]&lt;&gt;"",Tasks[[#This Row],[_Level]]=1),Tasks[[#This Row],[_Row]],"")</f>
        <v/>
      </c>
      <c r="EO96" s="38" t="str">
        <f aca="false">IF(AND(Tasks[[#This Row],[_IsLeaf]]=1,N(Tasks[[#This Row],[Duration]])=0),Tasks[[#This Row],[Planned Finish]]+Tasks[[#This Row],[_Row]]/100000,"")</f>
        <v/>
      </c>
      <c r="EP96" s="38" t="str">
        <f aca="false">IF(AND(Tasks[[#This Row],[_IsLeaf]]=1,Tasks[[#This Row],[_LeafProgress]]&lt;1,OR(N(Tasks[[#This Row],[Finish Var]])&gt;0,Tasks[[#This Row],[Status]]="Late Start")),MAX(0,Tasks[[#This Row],[Finish Var]])+1-Tasks[[#This Row],[_Row]]/1000000,"")</f>
        <v/>
      </c>
      <c r="EQ96" s="38" t="str">
        <f aca="false">IF(AND(Tasks[[#This Row],[_IsLeaf]]=1,N(Tasks[[#This Row],[Actual Start]])=0,Tasks[[#This Row],[_ShownFcstStart]]&gt;=StatusDate,Tasks[[#This Row],[_ShownFcstStart]]&lt;=LookaheadEnd),Tasks[[#This Row],[_ShownFcstStart]]+Tasks[[#This Row],[_Row]]/100000,"")</f>
        <v/>
      </c>
      <c r="ER96" s="38" t="str">
        <f aca="false">IF(AND(Tasks[[#This Row],[_IsLeaf]]=1,Tasks[[#This Row],[_LeafProgress]]&lt;1,Tasks[[#This Row],[_ShownFcstFinish]]&gt;=StatusDate,Tasks[[#This Row],[_ShownFcstFinish]]&lt;=LookaheadEnd),Tasks[[#This Row],[_ShownFcstFinish]]+Tasks[[#This Row],[_Row]]/100000,"")</f>
        <v/>
      </c>
      <c r="ES96" s="38" t="str">
        <f aca="false">IF(Tasks[[#This Row],[_LeafCritical]],Tasks[[#This Row],[_ShownFcstStart]]+Tasks[[#This Row],[_Row]]/100000,"")</f>
        <v/>
      </c>
      <c r="ET96" s="38" t="n">
        <f aca="false">Tasks[[#This Row],[_LeafWork]]*Tasks[[#This Row],[_LeafProgress]]</f>
        <v>0</v>
      </c>
      <c r="EU96" s="115" t="str">
        <f aca="false">IF(AND(Tasks[[#This Row],[_IsLeaf]]=1,Tasks[[#This Row],[_LeafProgress]]&gt;=1),IF(N(Tasks[[#This Row],[Actual Finish]])&gt;0,Tasks[[#This Row],[Actual Finish]],Tasks[[#This Row],[_ShownFcstFinish]]),"")</f>
        <v/>
      </c>
      <c r="EV96" s="38" t="n">
        <f aca="false">IF(Tasks[[#This Row],[_IsLeaf]]=1,N(Tasks[[#This Row],[Story Points]]),0)</f>
        <v>0</v>
      </c>
      <c r="EW96" s="38" t="str">
        <f aca="false">IF(AND(Tasks[[#This Row],[_IsLeaf]]=1,CurrentSprint&lt;&gt;"",Tasks[[#This Row],[Sprint]]=CurrentSprint),Tasks[[#This Row],[_Row]],"")</f>
        <v/>
      </c>
    </row>
    <row r="97" customFormat="false" ht="15" hidden="false" customHeight="false" outlineLevel="0" collapsed="false">
      <c r="A97" s="51" t="str">
        <f aca="false">IF(Tasks[[#This Row],[Task Name]]="","",COUNTA(Tasks[[#Headers],[Task Name]]:Tasks[[#This Row],[Task Name]])-1)</f>
        <v/>
      </c>
      <c r="B97" s="52" t="n">
        <v>92</v>
      </c>
      <c r="C9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52"/>
      <c r="E97" s="53"/>
      <c r="F97" s="52"/>
      <c r="G97" s="52"/>
      <c r="H97" s="52"/>
      <c r="I97" s="52"/>
      <c r="J97" s="52"/>
      <c r="K97" s="52"/>
      <c r="L97" s="52"/>
      <c r="M97" s="52"/>
      <c r="N97" s="52"/>
      <c r="O97" s="52"/>
      <c r="P97" s="52"/>
      <c r="Q97" s="52"/>
      <c r="R97" s="52"/>
      <c r="S97" s="53"/>
      <c r="T97" s="102"/>
      <c r="U97" s="102"/>
      <c r="V97" s="7"/>
      <c r="W97" s="7"/>
      <c r="X97" s="53"/>
      <c r="Y97" s="31" t="str">
        <f aca="false">IF(Tasks[[#This Row],[Task Name]]="","",IF(Tasks[[#This Row],[_IsSummary]],MIN(INDEX(Tasks[_ShownFcstStart],Tasks[[#This Row],[_Row]]+1):INDEX(Tasks[_ShownFcstStart],Tasks[[#This Row],[_Row]]+Tasks[[#This Row],[_Descendants]])),Tasks[[#This Row],[_ShownFcstStart]]))</f>
        <v/>
      </c>
      <c r="Z97" s="31" t="str">
        <f aca="false">IF(Tasks[[#This Row],[Task Name]]="","",IF(Tasks[[#This Row],[_IsSummary]],MAX(INDEX(Tasks[_ShownFcstFinish],Tasks[[#This Row],[_Row]]+1):INDEX(Tasks[_ShownFcstFinish],Tasks[[#This Row],[_Row]]+Tasks[[#This Row],[_Descendants]])),Tasks[[#This Row],[_ShownFcstFinish]]))</f>
        <v/>
      </c>
      <c r="AA97" s="51" t="str">
        <f aca="false">IF(Tasks[[#This Row],[Task Name]]="","",IF(Tasks[[#This Row],[Progress]]&gt;=1,"Complete",IF(OR(N(Tasks[[#This Row],[Actual Start]])&gt;0,Tasks[[#This Row],[Progress]]&gt;0),IF(Tasks[[#This Row],[Finish Var]]&gt;0,"Behind","In Progress"),IF(Tasks[[#This Row],[Planned Start]]&lt;StatusDate,"Late Start","Not Started"))))</f>
        <v/>
      </c>
      <c r="AB97" s="51" t="str">
        <f aca="false">IF(Tasks[[#This Row],[Task Name]]="","",IF(IF(Tasks[[#This Row],[_IsSummary]],COUNTIF(INDEX(Tasks[_LeafCritical],Tasks[[#This Row],[_Row]]+1):INDEX(Tasks[_LeafCritical],Tasks[[#This Row],[_Row]]+Tasks[[#This Row],[_Descendants]]),TRUE())&gt;0,Tasks[[#This Row],[_LeafCritical]]),"Yes",""))</f>
        <v/>
      </c>
      <c r="AC9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7" s="51" t="str">
        <f aca="false">IF(Tasks[[#This Row],[Task Name]]="","",IF(Tasks[[#This Row],[_Level]]&lt;=OutlineShowLevel,"Yes","No"))</f>
        <v/>
      </c>
      <c r="AE97" s="7"/>
      <c r="AF97" s="52"/>
      <c r="AG97" s="53"/>
      <c r="AH97" s="7"/>
      <c r="AI9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7" s="31" t="str">
        <f aca="false">IF(Tasks[[#This Row],[Task Name]]="","",IF(N(Tasks[[#This Row],[Baseline Start]])&gt;0,Tasks[[#This Row],[Baseline Start]],Tasks[[#This Row],[_CalcStart]]))</f>
        <v/>
      </c>
      <c r="AK97" s="31" t="str">
        <f aca="false">IF(Tasks[[#This Row],[Task Name]]="","",IF(N(Tasks[[#This Row],[Baseline Finish]])&gt;0,Tasks[[#This Row],[Baseline Finish]],Tasks[[#This Row],[_CalcFinish]]))</f>
        <v/>
      </c>
      <c r="AL9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7" s="31" t="str">
        <f aca="false">IF(Tasks[[#This Row],[Task Name]]="","",IF(Tasks[[#This Row],[_IsSummary]],MIN(INDEX(Tasks[_LeafLateStart],Tasks[[#This Row],[_Row]]+1):INDEX(Tasks[_LeafLateStart],Tasks[[#This Row],[_Row]]+Tasks[[#This Row],[_Descendants]])),Tasks[[#This Row],[_LeafLateStart]]))</f>
        <v/>
      </c>
      <c r="AN97" s="31" t="str">
        <f aca="false">IF(Tasks[[#This Row],[Task Name]]="","",IF(Tasks[[#This Row],[_IsSummary]],MAX(INDEX(Tasks[_LeafLateFinish],Tasks[[#This Row],[_Row]]+1):INDEX(Tasks[_LeafLateFinish],Tasks[[#This Row],[_Row]]+Tasks[[#This Row],[_Descendants]])),Tasks[[#This Row],[_LeafLateFinish]]))</f>
        <v/>
      </c>
      <c r="AO97" s="51" t="str">
        <f aca="false">IF(Tasks[[#This Row],[Task Name]]="","",IF(Tasks[[#This Row],[_IsSummary]],MIN(INDEX(Tasks[_LeafTotalSlack],Tasks[[#This Row],[_Row]]+1):INDEX(Tasks[_LeafTotalSlack],Tasks[[#This Row],[_Row]]+Tasks[[#This Row],[_Descendants]])),Tasks[[#This Row],[_LeafTotalSlack]]))</f>
        <v/>
      </c>
      <c r="AP9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7" s="110" t="str">
        <f aca="false">IF(Tasks[[#This Row],[Task Name]]="","",IF(Tasks[[#This Row],[_IsSummary]],SUM(INDEX(Tasks[_LeafTotalWork],Tasks[[#This Row],[_Row]]+1):INDEX(Tasks[_LeafTotalWork],Tasks[[#This Row],[_Row]]+Tasks[[#This Row],[_Descendants]])),Tasks[[#This Row],[_LeafTotalWork]]))</f>
        <v/>
      </c>
      <c r="AV9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7" s="111" t="str">
        <f aca="false">IF(Tasks[[#This Row],[Task Name]]="","",IF(Tasks[[#This Row],[_IsSummary]],SUM(INDEX(Tasks[_LeafTotalCost],Tasks[[#This Row],[_Row]]+1):INDEX(Tasks[_LeafTotalCost],Tasks[[#This Row],[_Row]]+Tasks[[#This Row],[_Descendants]])),Tasks[[#This Row],[_LeafTotalCost]]))</f>
        <v/>
      </c>
      <c r="AY97" s="112"/>
      <c r="AZ9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7" s="52"/>
      <c r="BB97" s="98"/>
      <c r="BC97" s="51" t="str">
        <f aca="false">IF(OR(Tasks[[#This Row],[Task Name]]="",Tasks[[#This Row],[Baseline Duration]]=""),"",Tasks[[#This Row],[BL Source Duration]]-N(Tasks[[#This Row],[Baseline Duration]]))</f>
        <v/>
      </c>
      <c r="BD97" s="110" t="str">
        <f aca="false">IF(OR(Tasks[[#This Row],[Task Name]]="",Tasks[[#This Row],[Baseline Work]]=""),"",Tasks[[#This Row],[Work]]-N(Tasks[[#This Row],[Baseline Work]]))</f>
        <v/>
      </c>
      <c r="BE97" s="111" t="str">
        <f aca="false">IF(OR(Tasks[[#This Row],[Task Name]]="",Tasks[[#This Row],[Baseline Cost]]=""),"",Tasks[[#This Row],[Cost]]-N(Tasks[[#This Row],[Baseline Cost]]))</f>
        <v/>
      </c>
      <c r="BF97" s="31" t="str">
        <f aca="false">IF(Tasks[[#This Row],[Task Name]]="","",Tasks[[#This Row],[Forecast Start]])</f>
        <v/>
      </c>
      <c r="BG97" s="31" t="str">
        <f aca="false">IF(Tasks[[#This Row],[Task Name]]="","",Tasks[[#This Row],[Forecast Finish]])</f>
        <v/>
      </c>
      <c r="BH97" s="51" t="str">
        <f aca="false">IF(Tasks[[#This Row],[Task Name]]="","",IF(Tasks[[#This Row],[_IsSummary]],NETWORKDAYS.INTL(Tasks[[#This Row],[Forecast Start]],Tasks[[#This Row],[Forecast Finish]],WorkWeek,Holidays),N(Tasks[[#This Row],[Duration]])))</f>
        <v/>
      </c>
      <c r="BI97" s="110" t="str">
        <f aca="false">IF(Tasks[[#This Row],[Task Name]]="","",Tasks[[#This Row],[Work]])</f>
        <v/>
      </c>
      <c r="BJ97" s="111" t="str">
        <f aca="false">IF(Tasks[[#This Row],[Task Name]]="","",Tasks[[#This Row],[Cost]])</f>
        <v/>
      </c>
      <c r="BK97" s="7"/>
      <c r="BL97" s="7"/>
      <c r="BM97" s="52"/>
      <c r="BN97" s="113"/>
      <c r="BO97" s="112"/>
      <c r="BP97" s="111" t="str">
        <f aca="false">IF(Tasks[[#This Row],[Task Name]]="","",IF(Tasks[[#This Row],[_IsSummary]],SUM(INDEX(Tasks[_LeafEV],Tasks[[#This Row],[_Row]]+1):INDEX(Tasks[_LeafEV],Tasks[[#This Row],[_Row]]+Tasks[[#This Row],[_Descendants]])),Tasks[[#This Row],[_LeafEV]]))</f>
        <v/>
      </c>
      <c r="BQ97" s="111" t="str">
        <f aca="false">IF(Tasks[[#This Row],[Task Name]]="","",IF(Tasks[[#This Row],[_IsSummary]],SUM(INDEX(Tasks[_LeafBudget],Tasks[[#This Row],[_Row]]+1):INDEX(Tasks[_LeafBudget],Tasks[[#This Row],[_Row]]+Tasks[[#This Row],[_Descendants]])),Tasks[[#This Row],[_LeafBudget]]))</f>
        <v/>
      </c>
      <c r="BR97" s="111" t="str">
        <f aca="false">IF(Tasks[[#This Row],[Task Name]]="","",IF(Tasks[[#This Row],[_IsSummary]],SUM(INDEX(Tasks[_LeafPV],Tasks[[#This Row],[_Row]]+1):INDEX(Tasks[_LeafPV],Tasks[[#This Row],[_Row]]+Tasks[[#This Row],[_Descendants]])),Tasks[[#This Row],[_LeafPV]]))</f>
        <v/>
      </c>
      <c r="BS97" s="111" t="str">
        <f aca="false">IF(Tasks[[#This Row],[Task Name]]="","",IF(Tasks[[#This Row],[_IsSummary]],SUM(INDEX(Tasks[_LeafAC],Tasks[[#This Row],[_Row]]+1):INDEX(Tasks[_LeafAC],Tasks[[#This Row],[_Row]]+Tasks[[#This Row],[_Descendants]])),Tasks[[#This Row],[_LeafAC]]))</f>
        <v/>
      </c>
      <c r="BT97" s="38" t="str">
        <f aca="false">IF(Tasks[[#This Row],[Task Name]]="","",MAX(1,N(Tasks[[#This Row],[Level]])))</f>
        <v/>
      </c>
      <c r="BU97" s="38" t="n">
        <f aca="false">ROW()-ROW(Tasks[[#Headers],[ID]])</f>
        <v>92</v>
      </c>
      <c r="BV97" s="38" t="n">
        <f aca="false">IF(OR(Tasks[[#This Row],[Task Name]]="",Tasks[[#This Row],[_Level]]&lt;=1),0,IFERROR(LOOKUP(2,1/(Tasks[[#Headers],[_Level]]:Tasks[[#This Row],[_Level]]=Tasks[[#This Row],[_Level]]-1),ROW(Tasks[[#Headers],[_Level]]:Tasks[[#This Row],[_Level]])),0))</f>
        <v>0</v>
      </c>
      <c r="BW97" s="38" t="n">
        <f aca="false">IFERROR(N(INDEX(Tasks[_Level],Tasks[[#This Row],[_Row]]+1)),0)</f>
        <v>0</v>
      </c>
      <c r="BX97" s="114" t="b">
        <f aca="false">AND(Tasks[[#This Row],[Task Name]]&lt;&gt;"",Tasks[[#This Row],[_NextLevel]]&gt;Tasks[[#This Row],[_Level]])</f>
        <v>0</v>
      </c>
      <c r="BY97" s="38" t="n">
        <f aca="false">IF(Tasks[[#This Row],[_IsSummary]],COUNTIF(Tasks[WBS],Tasks[[#This Row],[WBS]]&amp;".*"),0)</f>
        <v>0</v>
      </c>
      <c r="BZ97" s="38" t="n">
        <f aca="false">IF(AND(Tasks[[#This Row],[Task Name]]&lt;&gt;"",NOT(Tasks[[#This Row],[_IsSummary]])),1,0)</f>
        <v>0</v>
      </c>
      <c r="CA97" s="38" t="n">
        <f aca="false">IF(N(Tasks[[#This Row],[Pred1 UID]])=0,0,IFERROR(MATCH(Tasks[[#This Row],[Pred1 UID]],Tasks[UID],0),-1))</f>
        <v>0</v>
      </c>
      <c r="CB97" s="38" t="n">
        <f aca="false">IF(N(Tasks[[#This Row],[Pred2 UID]])=0,0,IFERROR(MATCH(Tasks[[#This Row],[Pred2 UID]],Tasks[UID],0),-1))</f>
        <v>0</v>
      </c>
      <c r="CC97" s="38" t="n">
        <f aca="false">IF(N(Tasks[[#This Row],[Pred3 UID]])=0,0,IFERROR(MATCH(Tasks[[#This Row],[Pred3 UID]],Tasks[UID],0),-1))</f>
        <v>0</v>
      </c>
      <c r="CD97" s="38" t="n">
        <f aca="false">IF(N(Tasks[[#This Row],[Pred4 UID]])=0,0,IFERROR(MATCH(Tasks[[#This Row],[Pred4 UID]],Tasks[UID],0),-1))</f>
        <v>0</v>
      </c>
      <c r="CE9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7" s="115" t="n">
        <f aca="false">IF(OR(Tasks[[#This Row],[_ConstraintCode]]=2,Tasks[[#This Row],[_ConstraintCode]]=3,Tasks[[#This Row],[_ConstraintCode]]=4,Tasks[[#This Row],[_ConstraintCode]]=6),Tasks[[#This Row],[_ConstraintStart]],0)</f>
        <v>0</v>
      </c>
      <c r="CH97" s="115" t="n">
        <f aca="false">IF(OR(Tasks[[#This Row],[_ConstraintCode]]=2,Tasks[[#This Row],[_ConstraintCode]]=3,Tasks[[#This Row],[_ConstraintCode]]=5,Tasks[[#This Row],[_ConstraintCode]]=7),Tasks[[#This Row],[_ConstraintStart]],2958465)</f>
        <v>2958465</v>
      </c>
      <c r="CI9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7" s="115" t="str">
        <f aca="false">IF(NOT(Tasks[[#This Row],[_IsLeaf]]=1),"",IF(N(Tasks[[#This Row],[Duration]])&lt;=0,Tasks[[#This Row],[_LeafCalcStart]],WORKDAY.INTL(Tasks[[#This Row],[_LeafCalcStart]],Tasks[[#This Row],[Duration]]-1,WorkWeek,Holidays)))</f>
        <v/>
      </c>
      <c r="CK9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7" s="38" t="n">
        <f aca="false">IF(NOT(Tasks[[#This Row],[_IsLeaf]]=1),0,IF(N(Tasks[[#This Row],[Actual Finish]])&gt;0,1,MIN(1,N(Tasks[[#This Row],[% Complete]]))))</f>
        <v>0</v>
      </c>
      <c r="CN97" s="38" t="n">
        <f aca="false">IF(OR(NOT(Tasks[[#This Row],[_IsLeaf]]=1),Tasks[[#This Row],[Resource]]=""),0,N(Tasks[[#This Row],[Duration]])*HoursPerDay*IF(Tasks[[#This Row],[Units]]="",DefaultUnits,Tasks[[#This Row],[Units]]))</f>
        <v>0</v>
      </c>
      <c r="CO97" s="38" t="n">
        <f aca="false">IF(Tasks[[#This Row],[_LeafWork]]=0,0,Tasks[[#This Row],[_LeafWork]]*IFERROR(INDEX(res_Rate,MATCH(Tasks[[#This Row],[Resource]],res_Name,0)),0))</f>
        <v>0</v>
      </c>
      <c r="CP97" s="38" t="n">
        <f aca="false">Tasks[[#This Row],[_LeafWork]]+IF(Tasks[[#This Row],[_IsLeaf]]=1,SUMIFS(asg_Work,asg_TaskUID,Tasks[[#This Row],[UID]],asg_Valid,1),0)</f>
        <v>0</v>
      </c>
      <c r="CQ97" s="38" t="n">
        <f aca="false">Tasks[[#This Row],[_LeafCost]]+IF(Tasks[[#This Row],[_IsLeaf]]=1,SUMIFS(asg_Cost,asg_TaskUID,Tasks[[#This Row],[UID]],asg_Valid,1),0)</f>
        <v>0</v>
      </c>
      <c r="CR97" s="38" t="n">
        <f aca="false">IF(Tasks[[#This Row],[_LeafTotalCost]]=0,Tasks[[#This Row],[_LeafAC]],Tasks[[#This Row],[_LeafAC]]*Tasks[[#This Row],[_LeafCost]]/Tasks[[#This Row],[_LeafTotalCost]])</f>
        <v>0</v>
      </c>
      <c r="CS9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7" s="38" t="n">
        <f aca="false">IF(NOT(Tasks[[#This Row],[_IsLeaf]]=1),0,MAX(_xlfn.MAXIFS(Tasks[_Row],Tasks[Pred1 UID],Tasks[[#This Row],[UID]]),_xlfn.MAXIFS(Tasks[_Row],Tasks[Pred2 UID],Tasks[[#This Row],[UID]]),_xlfn.MAXIFS(Tasks[_Row],Tasks[Pred3 UID],Tasks[[#This Row],[UID]]),_xlfn.MAXIFS(Tasks[_Row],Tasks[Pred4 UID],Tasks[[#This Row],[UID]])))</f>
        <v>0</v>
      </c>
      <c r="DB9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7" s="115" t="str">
        <f aca="false">IF(NOT(Tasks[[#This Row],[_IsLeaf]]=1),"",IF(N(Tasks[[#This Row],[Duration]])&lt;=0,Tasks[[#This Row],[_LeafLateFinish]],WORKDAY.INTL(Tasks[[#This Row],[_LeafLateFinish]],-(Tasks[[#This Row],[Duration]]-1),WorkWeek,Holidays)))</f>
        <v/>
      </c>
      <c r="DE9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7" s="114" t="b">
        <f aca="false">AND(Tasks[[#This Row],[_IsLeaf]]=1,Tasks[[#This Row],[_LeafProgress]]&lt;1,N(Tasks[[#This Row],[_LeafTotalSlack]])&lt;=CriticalSlackDays)</f>
        <v>0</v>
      </c>
      <c r="DG97" s="38" t="n">
        <f aca="false">IF(AND(Tasks[[#This Row],[_IsLeaf]]=1,Tasks[[#This Row],[_ConstraintCode]]=1,Tasks[[#This Row],[Mode]]&lt;&gt;"Manual",N(Tasks[[#This Row],[Actual Start]])=0),MAX(0,N(Tasks[[#This Row],[Free Slack]])),0)</f>
        <v>0</v>
      </c>
      <c r="DH97" s="115" t="str">
        <f aca="false">IF(NOT(Tasks[[#This Row],[_IsLeaf]]=1),"",IF(Tasks[[#This Row],[_AlapShift]]=0,Tasks[[#This Row],[_LeafCalcStart]],WORKDAY.INTL(Tasks[[#This Row],[_LeafCalcStart]],Tasks[[#This Row],[_AlapShift]],WorkWeek,Holidays)))</f>
        <v/>
      </c>
      <c r="DI97" s="115" t="str">
        <f aca="false">IF(NOT(Tasks[[#This Row],[_IsLeaf]]=1),"",IF(Tasks[[#This Row],[_AlapShift]]=0,Tasks[[#This Row],[_LeafCalcFinish]],WORKDAY.INTL(Tasks[[#This Row],[_LeafCalcFinish]],Tasks[[#This Row],[_AlapShift]],WorkWeek,Holidays)))</f>
        <v/>
      </c>
      <c r="DJ97" s="115" t="str">
        <f aca="false">IF(NOT(Tasks[[#This Row],[_IsLeaf]]=1),"",IF(Tasks[[#This Row],[_AlapShift]]=0,Tasks[[#This Row],[_LeafFcstStart]],WORKDAY.INTL(Tasks[[#This Row],[_LeafFcstStart]],Tasks[[#This Row],[_AlapShift]],WorkWeek,Holidays)))</f>
        <v/>
      </c>
      <c r="DK97" s="115" t="str">
        <f aca="false">IF(NOT(Tasks[[#This Row],[_IsLeaf]]=1),"",IF(Tasks[[#This Row],[_AlapShift]]=0,Tasks[[#This Row],[_LeafFcstFinish]],WORKDAY.INTL(Tasks[[#This Row],[_LeafFcstFinish]],Tasks[[#This Row],[_AlapShift]],WorkWeek,Holidays)))</f>
        <v/>
      </c>
      <c r="DL97" s="115" t="str">
        <f aca="false">IF(Tasks[[#This Row],[Task Name]]="","",IF(Tasks[[#This Row],[_IsSummary]],MIN(INDEX(Tasks[_ShownCalcStart],Tasks[[#This Row],[_Row]]+1):INDEX(Tasks[_ShownCalcStart],Tasks[[#This Row],[_Row]]+Tasks[[#This Row],[_Descendants]])),Tasks[[#This Row],[_ShownCalcStart]]))</f>
        <v/>
      </c>
      <c r="DM97" s="115" t="str">
        <f aca="false">IF(Tasks[[#This Row],[Task Name]]="","",IF(Tasks[[#This Row],[_IsSummary]],MAX(INDEX(Tasks[_ShownCalcFinish],Tasks[[#This Row],[_Row]]+1):INDEX(Tasks[_ShownCalcFinish],Tasks[[#This Row],[_Row]]+Tasks[[#This Row],[_Descendants]])),Tasks[[#This Row],[_ShownCalcFinish]]))</f>
        <v/>
      </c>
      <c r="DN9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7" s="38" t="n">
        <f aca="false">IF(AND(Tasks[[#This Row],[_IsLeaf]]=1,Tasks[[#This Row],[_LeafTotalWork]]&gt;0),NETWORKDAYS.INTL(ProjectStart,Tasks[[#This Row],[_ShownFcstStart]],WorkWeek,Holidays),0)</f>
        <v>0</v>
      </c>
      <c r="EA97" s="38" t="n">
        <f aca="false">IF(AND(Tasks[[#This Row],[_IsLeaf]]=1,Tasks[[#This Row],[_LeafTotalWork]]&gt;0),MAX(Tasks[[#This Row],[_StartWorkday]],NETWORKDAYS.INTL(ProjectStart,Tasks[[#This Row],[_ShownFcstFinish]],WorkWeek,Holidays)),0)</f>
        <v>0</v>
      </c>
      <c r="EB97" s="38" t="n">
        <f aca="false">IF(AND(Tasks[[#This Row],[_IsLeaf]]=1,Tasks[[#This Row],[_LeafTotalWork]]&gt;0),Tasks[[#This Row],[_LeafWork]]/(Tasks[[#This Row],[_FinishWorkday]]-Tasks[[#This Row],[_StartWorkday]]+1),0)</f>
        <v>0</v>
      </c>
      <c r="EC97" s="38" t="n">
        <f aca="false">Tasks[[#This Row],[_WorkPerWorkday]]*(Tasks[[#This Row],[_StartWorkday]]-1)</f>
        <v>-0</v>
      </c>
      <c r="ED97" s="38" t="n">
        <f aca="false">IF(Tasks[[#This Row],[_IsLeaf]]=1,MAX(N(Tasks[[#This Row],[Duration]]),0.1),0)</f>
        <v>0</v>
      </c>
      <c r="EE97" s="38" t="n">
        <f aca="false">Tasks[[#This Row],[_WeightDur]]*Tasks[[#This Row],[_LeafProgress]]</f>
        <v>0</v>
      </c>
      <c r="EF9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7" s="38" t="str">
        <f aca="false">IF(AND(Tasks[[#This Row],[_IsLeaf]]=1,N(Tasks[[#This Row],[Duration]])=0,Tasks[[#This Row],[_LeafProgress]]&lt;1),Tasks[[#This Row],[_ShownFcstFinish]]+Tasks[[#This Row],[_Row]]/100000,"")</f>
        <v/>
      </c>
      <c r="EH9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7" s="38" t="n">
        <f aca="false">IF(NOT(Tasks[[#This Row],[_IsLeaf]]=1),0,IF(Tasks[[#This Row],[Baseline Cost]]="",Tasks[[#This Row],[_LeafTotalCost]],N(Tasks[[#This Row],[Baseline Cost]])))</f>
        <v>0</v>
      </c>
      <c r="EJ97" s="38" t="n">
        <f aca="false">Tasks[[#This Row],[_LeafBudget]]*Tasks[[#This Row],[_PlannedPct]]</f>
        <v>0</v>
      </c>
      <c r="EK97" s="38" t="n">
        <f aca="false">Tasks[[#This Row],[_LeafBudget]]*Tasks[[#This Row],[_LeafProgress]]</f>
        <v>0</v>
      </c>
      <c r="EL97" s="38" t="n">
        <f aca="false">IF(NOT(Tasks[[#This Row],[_IsLeaf]]=1),0,IF(Tasks[[#This Row],[Actual Cost]]="",Tasks[[#This Row],[_LeafTotalCost]]*Tasks[[#This Row],[_LeafProgress]],N(Tasks[[#This Row],[Actual Cost]])))</f>
        <v>0</v>
      </c>
      <c r="EM97" s="38" t="str">
        <f aca="false">IF(Tasks[[#This Row],[Task Name]]="","",LEFT(Tasks[[#This Row],[WBS]],FIND(".",Tasks[[#This Row],[WBS]]&amp;".")-1))</f>
        <v/>
      </c>
      <c r="EN97" s="38" t="str">
        <f aca="false">IF(AND(Tasks[[#This Row],[Task Name]]&lt;&gt;"",Tasks[[#This Row],[_Level]]=1),Tasks[[#This Row],[_Row]],"")</f>
        <v/>
      </c>
      <c r="EO97" s="38" t="str">
        <f aca="false">IF(AND(Tasks[[#This Row],[_IsLeaf]]=1,N(Tasks[[#This Row],[Duration]])=0),Tasks[[#This Row],[Planned Finish]]+Tasks[[#This Row],[_Row]]/100000,"")</f>
        <v/>
      </c>
      <c r="EP97" s="38" t="str">
        <f aca="false">IF(AND(Tasks[[#This Row],[_IsLeaf]]=1,Tasks[[#This Row],[_LeafProgress]]&lt;1,OR(N(Tasks[[#This Row],[Finish Var]])&gt;0,Tasks[[#This Row],[Status]]="Late Start")),MAX(0,Tasks[[#This Row],[Finish Var]])+1-Tasks[[#This Row],[_Row]]/1000000,"")</f>
        <v/>
      </c>
      <c r="EQ97" s="38" t="str">
        <f aca="false">IF(AND(Tasks[[#This Row],[_IsLeaf]]=1,N(Tasks[[#This Row],[Actual Start]])=0,Tasks[[#This Row],[_ShownFcstStart]]&gt;=StatusDate,Tasks[[#This Row],[_ShownFcstStart]]&lt;=LookaheadEnd),Tasks[[#This Row],[_ShownFcstStart]]+Tasks[[#This Row],[_Row]]/100000,"")</f>
        <v/>
      </c>
      <c r="ER97" s="38" t="str">
        <f aca="false">IF(AND(Tasks[[#This Row],[_IsLeaf]]=1,Tasks[[#This Row],[_LeafProgress]]&lt;1,Tasks[[#This Row],[_ShownFcstFinish]]&gt;=StatusDate,Tasks[[#This Row],[_ShownFcstFinish]]&lt;=LookaheadEnd),Tasks[[#This Row],[_ShownFcstFinish]]+Tasks[[#This Row],[_Row]]/100000,"")</f>
        <v/>
      </c>
      <c r="ES97" s="38" t="str">
        <f aca="false">IF(Tasks[[#This Row],[_LeafCritical]],Tasks[[#This Row],[_ShownFcstStart]]+Tasks[[#This Row],[_Row]]/100000,"")</f>
        <v/>
      </c>
      <c r="ET97" s="38" t="n">
        <f aca="false">Tasks[[#This Row],[_LeafWork]]*Tasks[[#This Row],[_LeafProgress]]</f>
        <v>0</v>
      </c>
      <c r="EU97" s="115" t="str">
        <f aca="false">IF(AND(Tasks[[#This Row],[_IsLeaf]]=1,Tasks[[#This Row],[_LeafProgress]]&gt;=1),IF(N(Tasks[[#This Row],[Actual Finish]])&gt;0,Tasks[[#This Row],[Actual Finish]],Tasks[[#This Row],[_ShownFcstFinish]]),"")</f>
        <v/>
      </c>
      <c r="EV97" s="38" t="n">
        <f aca="false">IF(Tasks[[#This Row],[_IsLeaf]]=1,N(Tasks[[#This Row],[Story Points]]),0)</f>
        <v>0</v>
      </c>
      <c r="EW97" s="38" t="str">
        <f aca="false">IF(AND(Tasks[[#This Row],[_IsLeaf]]=1,CurrentSprint&lt;&gt;"",Tasks[[#This Row],[Sprint]]=CurrentSprint),Tasks[[#This Row],[_Row]],"")</f>
        <v/>
      </c>
    </row>
    <row r="98" customFormat="false" ht="15" hidden="false" customHeight="false" outlineLevel="0" collapsed="false">
      <c r="A98" s="51" t="str">
        <f aca="false">IF(Tasks[[#This Row],[Task Name]]="","",COUNTA(Tasks[[#Headers],[Task Name]]:Tasks[[#This Row],[Task Name]])-1)</f>
        <v/>
      </c>
      <c r="B98" s="52" t="n">
        <v>93</v>
      </c>
      <c r="C9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52"/>
      <c r="E98" s="53"/>
      <c r="F98" s="52"/>
      <c r="G98" s="52"/>
      <c r="H98" s="52"/>
      <c r="I98" s="52"/>
      <c r="J98" s="52"/>
      <c r="K98" s="52"/>
      <c r="L98" s="52"/>
      <c r="M98" s="52"/>
      <c r="N98" s="52"/>
      <c r="O98" s="52"/>
      <c r="P98" s="52"/>
      <c r="Q98" s="52"/>
      <c r="R98" s="52"/>
      <c r="S98" s="53"/>
      <c r="T98" s="102"/>
      <c r="U98" s="102"/>
      <c r="V98" s="7"/>
      <c r="W98" s="7"/>
      <c r="X98" s="53"/>
      <c r="Y98" s="31" t="str">
        <f aca="false">IF(Tasks[[#This Row],[Task Name]]="","",IF(Tasks[[#This Row],[_IsSummary]],MIN(INDEX(Tasks[_ShownFcstStart],Tasks[[#This Row],[_Row]]+1):INDEX(Tasks[_ShownFcstStart],Tasks[[#This Row],[_Row]]+Tasks[[#This Row],[_Descendants]])),Tasks[[#This Row],[_ShownFcstStart]]))</f>
        <v/>
      </c>
      <c r="Z98" s="31" t="str">
        <f aca="false">IF(Tasks[[#This Row],[Task Name]]="","",IF(Tasks[[#This Row],[_IsSummary]],MAX(INDEX(Tasks[_ShownFcstFinish],Tasks[[#This Row],[_Row]]+1):INDEX(Tasks[_ShownFcstFinish],Tasks[[#This Row],[_Row]]+Tasks[[#This Row],[_Descendants]])),Tasks[[#This Row],[_ShownFcstFinish]]))</f>
        <v/>
      </c>
      <c r="AA98" s="51" t="str">
        <f aca="false">IF(Tasks[[#This Row],[Task Name]]="","",IF(Tasks[[#This Row],[Progress]]&gt;=1,"Complete",IF(OR(N(Tasks[[#This Row],[Actual Start]])&gt;0,Tasks[[#This Row],[Progress]]&gt;0),IF(Tasks[[#This Row],[Finish Var]]&gt;0,"Behind","In Progress"),IF(Tasks[[#This Row],[Planned Start]]&lt;StatusDate,"Late Start","Not Started"))))</f>
        <v/>
      </c>
      <c r="AB98" s="51" t="str">
        <f aca="false">IF(Tasks[[#This Row],[Task Name]]="","",IF(IF(Tasks[[#This Row],[_IsSummary]],COUNTIF(INDEX(Tasks[_LeafCritical],Tasks[[#This Row],[_Row]]+1):INDEX(Tasks[_LeafCritical],Tasks[[#This Row],[_Row]]+Tasks[[#This Row],[_Descendants]]),TRUE())&gt;0,Tasks[[#This Row],[_LeafCritical]]),"Yes",""))</f>
        <v/>
      </c>
      <c r="AC9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8" s="51" t="str">
        <f aca="false">IF(Tasks[[#This Row],[Task Name]]="","",IF(Tasks[[#This Row],[_Level]]&lt;=OutlineShowLevel,"Yes","No"))</f>
        <v/>
      </c>
      <c r="AE98" s="7"/>
      <c r="AF98" s="52"/>
      <c r="AG98" s="53"/>
      <c r="AH98" s="7"/>
      <c r="AI9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8" s="31" t="str">
        <f aca="false">IF(Tasks[[#This Row],[Task Name]]="","",IF(N(Tasks[[#This Row],[Baseline Start]])&gt;0,Tasks[[#This Row],[Baseline Start]],Tasks[[#This Row],[_CalcStart]]))</f>
        <v/>
      </c>
      <c r="AK98" s="31" t="str">
        <f aca="false">IF(Tasks[[#This Row],[Task Name]]="","",IF(N(Tasks[[#This Row],[Baseline Finish]])&gt;0,Tasks[[#This Row],[Baseline Finish]],Tasks[[#This Row],[_CalcFinish]]))</f>
        <v/>
      </c>
      <c r="AL9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8" s="31" t="str">
        <f aca="false">IF(Tasks[[#This Row],[Task Name]]="","",IF(Tasks[[#This Row],[_IsSummary]],MIN(INDEX(Tasks[_LeafLateStart],Tasks[[#This Row],[_Row]]+1):INDEX(Tasks[_LeafLateStart],Tasks[[#This Row],[_Row]]+Tasks[[#This Row],[_Descendants]])),Tasks[[#This Row],[_LeafLateStart]]))</f>
        <v/>
      </c>
      <c r="AN98" s="31" t="str">
        <f aca="false">IF(Tasks[[#This Row],[Task Name]]="","",IF(Tasks[[#This Row],[_IsSummary]],MAX(INDEX(Tasks[_LeafLateFinish],Tasks[[#This Row],[_Row]]+1):INDEX(Tasks[_LeafLateFinish],Tasks[[#This Row],[_Row]]+Tasks[[#This Row],[_Descendants]])),Tasks[[#This Row],[_LeafLateFinish]]))</f>
        <v/>
      </c>
      <c r="AO98" s="51" t="str">
        <f aca="false">IF(Tasks[[#This Row],[Task Name]]="","",IF(Tasks[[#This Row],[_IsSummary]],MIN(INDEX(Tasks[_LeafTotalSlack],Tasks[[#This Row],[_Row]]+1):INDEX(Tasks[_LeafTotalSlack],Tasks[[#This Row],[_Row]]+Tasks[[#This Row],[_Descendants]])),Tasks[[#This Row],[_LeafTotalSlack]]))</f>
        <v/>
      </c>
      <c r="AP9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8" s="110" t="str">
        <f aca="false">IF(Tasks[[#This Row],[Task Name]]="","",IF(Tasks[[#This Row],[_IsSummary]],SUM(INDEX(Tasks[_LeafTotalWork],Tasks[[#This Row],[_Row]]+1):INDEX(Tasks[_LeafTotalWork],Tasks[[#This Row],[_Row]]+Tasks[[#This Row],[_Descendants]])),Tasks[[#This Row],[_LeafTotalWork]]))</f>
        <v/>
      </c>
      <c r="AV9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8" s="111" t="str">
        <f aca="false">IF(Tasks[[#This Row],[Task Name]]="","",IF(Tasks[[#This Row],[_IsSummary]],SUM(INDEX(Tasks[_LeafTotalCost],Tasks[[#This Row],[_Row]]+1):INDEX(Tasks[_LeafTotalCost],Tasks[[#This Row],[_Row]]+Tasks[[#This Row],[_Descendants]])),Tasks[[#This Row],[_LeafTotalCost]]))</f>
        <v/>
      </c>
      <c r="AY98" s="112"/>
      <c r="AZ9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8" s="52"/>
      <c r="BB98" s="98"/>
      <c r="BC98" s="51" t="str">
        <f aca="false">IF(OR(Tasks[[#This Row],[Task Name]]="",Tasks[[#This Row],[Baseline Duration]]=""),"",Tasks[[#This Row],[BL Source Duration]]-N(Tasks[[#This Row],[Baseline Duration]]))</f>
        <v/>
      </c>
      <c r="BD98" s="110" t="str">
        <f aca="false">IF(OR(Tasks[[#This Row],[Task Name]]="",Tasks[[#This Row],[Baseline Work]]=""),"",Tasks[[#This Row],[Work]]-N(Tasks[[#This Row],[Baseline Work]]))</f>
        <v/>
      </c>
      <c r="BE98" s="111" t="str">
        <f aca="false">IF(OR(Tasks[[#This Row],[Task Name]]="",Tasks[[#This Row],[Baseline Cost]]=""),"",Tasks[[#This Row],[Cost]]-N(Tasks[[#This Row],[Baseline Cost]]))</f>
        <v/>
      </c>
      <c r="BF98" s="31" t="str">
        <f aca="false">IF(Tasks[[#This Row],[Task Name]]="","",Tasks[[#This Row],[Forecast Start]])</f>
        <v/>
      </c>
      <c r="BG98" s="31" t="str">
        <f aca="false">IF(Tasks[[#This Row],[Task Name]]="","",Tasks[[#This Row],[Forecast Finish]])</f>
        <v/>
      </c>
      <c r="BH98" s="51" t="str">
        <f aca="false">IF(Tasks[[#This Row],[Task Name]]="","",IF(Tasks[[#This Row],[_IsSummary]],NETWORKDAYS.INTL(Tasks[[#This Row],[Forecast Start]],Tasks[[#This Row],[Forecast Finish]],WorkWeek,Holidays),N(Tasks[[#This Row],[Duration]])))</f>
        <v/>
      </c>
      <c r="BI98" s="110" t="str">
        <f aca="false">IF(Tasks[[#This Row],[Task Name]]="","",Tasks[[#This Row],[Work]])</f>
        <v/>
      </c>
      <c r="BJ98" s="111" t="str">
        <f aca="false">IF(Tasks[[#This Row],[Task Name]]="","",Tasks[[#This Row],[Cost]])</f>
        <v/>
      </c>
      <c r="BK98" s="7"/>
      <c r="BL98" s="7"/>
      <c r="BM98" s="52"/>
      <c r="BN98" s="113"/>
      <c r="BO98" s="112"/>
      <c r="BP98" s="111" t="str">
        <f aca="false">IF(Tasks[[#This Row],[Task Name]]="","",IF(Tasks[[#This Row],[_IsSummary]],SUM(INDEX(Tasks[_LeafEV],Tasks[[#This Row],[_Row]]+1):INDEX(Tasks[_LeafEV],Tasks[[#This Row],[_Row]]+Tasks[[#This Row],[_Descendants]])),Tasks[[#This Row],[_LeafEV]]))</f>
        <v/>
      </c>
      <c r="BQ98" s="111" t="str">
        <f aca="false">IF(Tasks[[#This Row],[Task Name]]="","",IF(Tasks[[#This Row],[_IsSummary]],SUM(INDEX(Tasks[_LeafBudget],Tasks[[#This Row],[_Row]]+1):INDEX(Tasks[_LeafBudget],Tasks[[#This Row],[_Row]]+Tasks[[#This Row],[_Descendants]])),Tasks[[#This Row],[_LeafBudget]]))</f>
        <v/>
      </c>
      <c r="BR98" s="111" t="str">
        <f aca="false">IF(Tasks[[#This Row],[Task Name]]="","",IF(Tasks[[#This Row],[_IsSummary]],SUM(INDEX(Tasks[_LeafPV],Tasks[[#This Row],[_Row]]+1):INDEX(Tasks[_LeafPV],Tasks[[#This Row],[_Row]]+Tasks[[#This Row],[_Descendants]])),Tasks[[#This Row],[_LeafPV]]))</f>
        <v/>
      </c>
      <c r="BS98" s="111" t="str">
        <f aca="false">IF(Tasks[[#This Row],[Task Name]]="","",IF(Tasks[[#This Row],[_IsSummary]],SUM(INDEX(Tasks[_LeafAC],Tasks[[#This Row],[_Row]]+1):INDEX(Tasks[_LeafAC],Tasks[[#This Row],[_Row]]+Tasks[[#This Row],[_Descendants]])),Tasks[[#This Row],[_LeafAC]]))</f>
        <v/>
      </c>
      <c r="BT98" s="38" t="str">
        <f aca="false">IF(Tasks[[#This Row],[Task Name]]="","",MAX(1,N(Tasks[[#This Row],[Level]])))</f>
        <v/>
      </c>
      <c r="BU98" s="38" t="n">
        <f aca="false">ROW()-ROW(Tasks[[#Headers],[ID]])</f>
        <v>93</v>
      </c>
      <c r="BV98" s="38" t="n">
        <f aca="false">IF(OR(Tasks[[#This Row],[Task Name]]="",Tasks[[#This Row],[_Level]]&lt;=1),0,IFERROR(LOOKUP(2,1/(Tasks[[#Headers],[_Level]]:Tasks[[#This Row],[_Level]]=Tasks[[#This Row],[_Level]]-1),ROW(Tasks[[#Headers],[_Level]]:Tasks[[#This Row],[_Level]])),0))</f>
        <v>0</v>
      </c>
      <c r="BW98" s="38" t="n">
        <f aca="false">IFERROR(N(INDEX(Tasks[_Level],Tasks[[#This Row],[_Row]]+1)),0)</f>
        <v>0</v>
      </c>
      <c r="BX98" s="114" t="b">
        <f aca="false">AND(Tasks[[#This Row],[Task Name]]&lt;&gt;"",Tasks[[#This Row],[_NextLevel]]&gt;Tasks[[#This Row],[_Level]])</f>
        <v>0</v>
      </c>
      <c r="BY98" s="38" t="n">
        <f aca="false">IF(Tasks[[#This Row],[_IsSummary]],COUNTIF(Tasks[WBS],Tasks[[#This Row],[WBS]]&amp;".*"),0)</f>
        <v>0</v>
      </c>
      <c r="BZ98" s="38" t="n">
        <f aca="false">IF(AND(Tasks[[#This Row],[Task Name]]&lt;&gt;"",NOT(Tasks[[#This Row],[_IsSummary]])),1,0)</f>
        <v>0</v>
      </c>
      <c r="CA98" s="38" t="n">
        <f aca="false">IF(N(Tasks[[#This Row],[Pred1 UID]])=0,0,IFERROR(MATCH(Tasks[[#This Row],[Pred1 UID]],Tasks[UID],0),-1))</f>
        <v>0</v>
      </c>
      <c r="CB98" s="38" t="n">
        <f aca="false">IF(N(Tasks[[#This Row],[Pred2 UID]])=0,0,IFERROR(MATCH(Tasks[[#This Row],[Pred2 UID]],Tasks[UID],0),-1))</f>
        <v>0</v>
      </c>
      <c r="CC98" s="38" t="n">
        <f aca="false">IF(N(Tasks[[#This Row],[Pred3 UID]])=0,0,IFERROR(MATCH(Tasks[[#This Row],[Pred3 UID]],Tasks[UID],0),-1))</f>
        <v>0</v>
      </c>
      <c r="CD98" s="38" t="n">
        <f aca="false">IF(N(Tasks[[#This Row],[Pred4 UID]])=0,0,IFERROR(MATCH(Tasks[[#This Row],[Pred4 UID]],Tasks[UID],0),-1))</f>
        <v>0</v>
      </c>
      <c r="CE9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8" s="115" t="n">
        <f aca="false">IF(OR(Tasks[[#This Row],[_ConstraintCode]]=2,Tasks[[#This Row],[_ConstraintCode]]=3,Tasks[[#This Row],[_ConstraintCode]]=4,Tasks[[#This Row],[_ConstraintCode]]=6),Tasks[[#This Row],[_ConstraintStart]],0)</f>
        <v>0</v>
      </c>
      <c r="CH98" s="115" t="n">
        <f aca="false">IF(OR(Tasks[[#This Row],[_ConstraintCode]]=2,Tasks[[#This Row],[_ConstraintCode]]=3,Tasks[[#This Row],[_ConstraintCode]]=5,Tasks[[#This Row],[_ConstraintCode]]=7),Tasks[[#This Row],[_ConstraintStart]],2958465)</f>
        <v>2958465</v>
      </c>
      <c r="CI9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8" s="115" t="str">
        <f aca="false">IF(NOT(Tasks[[#This Row],[_IsLeaf]]=1),"",IF(N(Tasks[[#This Row],[Duration]])&lt;=0,Tasks[[#This Row],[_LeafCalcStart]],WORKDAY.INTL(Tasks[[#This Row],[_LeafCalcStart]],Tasks[[#This Row],[Duration]]-1,WorkWeek,Holidays)))</f>
        <v/>
      </c>
      <c r="CK9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8" s="38" t="n">
        <f aca="false">IF(NOT(Tasks[[#This Row],[_IsLeaf]]=1),0,IF(N(Tasks[[#This Row],[Actual Finish]])&gt;0,1,MIN(1,N(Tasks[[#This Row],[% Complete]]))))</f>
        <v>0</v>
      </c>
      <c r="CN98" s="38" t="n">
        <f aca="false">IF(OR(NOT(Tasks[[#This Row],[_IsLeaf]]=1),Tasks[[#This Row],[Resource]]=""),0,N(Tasks[[#This Row],[Duration]])*HoursPerDay*IF(Tasks[[#This Row],[Units]]="",DefaultUnits,Tasks[[#This Row],[Units]]))</f>
        <v>0</v>
      </c>
      <c r="CO98" s="38" t="n">
        <f aca="false">IF(Tasks[[#This Row],[_LeafWork]]=0,0,Tasks[[#This Row],[_LeafWork]]*IFERROR(INDEX(res_Rate,MATCH(Tasks[[#This Row],[Resource]],res_Name,0)),0))</f>
        <v>0</v>
      </c>
      <c r="CP98" s="38" t="n">
        <f aca="false">Tasks[[#This Row],[_LeafWork]]+IF(Tasks[[#This Row],[_IsLeaf]]=1,SUMIFS(asg_Work,asg_TaskUID,Tasks[[#This Row],[UID]],asg_Valid,1),0)</f>
        <v>0</v>
      </c>
      <c r="CQ98" s="38" t="n">
        <f aca="false">Tasks[[#This Row],[_LeafCost]]+IF(Tasks[[#This Row],[_IsLeaf]]=1,SUMIFS(asg_Cost,asg_TaskUID,Tasks[[#This Row],[UID]],asg_Valid,1),0)</f>
        <v>0</v>
      </c>
      <c r="CR98" s="38" t="n">
        <f aca="false">IF(Tasks[[#This Row],[_LeafTotalCost]]=0,Tasks[[#This Row],[_LeafAC]],Tasks[[#This Row],[_LeafAC]]*Tasks[[#This Row],[_LeafCost]]/Tasks[[#This Row],[_LeafTotalCost]])</f>
        <v>0</v>
      </c>
      <c r="CS9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8" s="38" t="n">
        <f aca="false">IF(NOT(Tasks[[#This Row],[_IsLeaf]]=1),0,MAX(_xlfn.MAXIFS(Tasks[_Row],Tasks[Pred1 UID],Tasks[[#This Row],[UID]]),_xlfn.MAXIFS(Tasks[_Row],Tasks[Pred2 UID],Tasks[[#This Row],[UID]]),_xlfn.MAXIFS(Tasks[_Row],Tasks[Pred3 UID],Tasks[[#This Row],[UID]]),_xlfn.MAXIFS(Tasks[_Row],Tasks[Pred4 UID],Tasks[[#This Row],[UID]])))</f>
        <v>0</v>
      </c>
      <c r="DB9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8" s="115" t="str">
        <f aca="false">IF(NOT(Tasks[[#This Row],[_IsLeaf]]=1),"",IF(N(Tasks[[#This Row],[Duration]])&lt;=0,Tasks[[#This Row],[_LeafLateFinish]],WORKDAY.INTL(Tasks[[#This Row],[_LeafLateFinish]],-(Tasks[[#This Row],[Duration]]-1),WorkWeek,Holidays)))</f>
        <v/>
      </c>
      <c r="DE9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8" s="114" t="b">
        <f aca="false">AND(Tasks[[#This Row],[_IsLeaf]]=1,Tasks[[#This Row],[_LeafProgress]]&lt;1,N(Tasks[[#This Row],[_LeafTotalSlack]])&lt;=CriticalSlackDays)</f>
        <v>0</v>
      </c>
      <c r="DG98" s="38" t="n">
        <f aca="false">IF(AND(Tasks[[#This Row],[_IsLeaf]]=1,Tasks[[#This Row],[_ConstraintCode]]=1,Tasks[[#This Row],[Mode]]&lt;&gt;"Manual",N(Tasks[[#This Row],[Actual Start]])=0),MAX(0,N(Tasks[[#This Row],[Free Slack]])),0)</f>
        <v>0</v>
      </c>
      <c r="DH98" s="115" t="str">
        <f aca="false">IF(NOT(Tasks[[#This Row],[_IsLeaf]]=1),"",IF(Tasks[[#This Row],[_AlapShift]]=0,Tasks[[#This Row],[_LeafCalcStart]],WORKDAY.INTL(Tasks[[#This Row],[_LeafCalcStart]],Tasks[[#This Row],[_AlapShift]],WorkWeek,Holidays)))</f>
        <v/>
      </c>
      <c r="DI98" s="115" t="str">
        <f aca="false">IF(NOT(Tasks[[#This Row],[_IsLeaf]]=1),"",IF(Tasks[[#This Row],[_AlapShift]]=0,Tasks[[#This Row],[_LeafCalcFinish]],WORKDAY.INTL(Tasks[[#This Row],[_LeafCalcFinish]],Tasks[[#This Row],[_AlapShift]],WorkWeek,Holidays)))</f>
        <v/>
      </c>
      <c r="DJ98" s="115" t="str">
        <f aca="false">IF(NOT(Tasks[[#This Row],[_IsLeaf]]=1),"",IF(Tasks[[#This Row],[_AlapShift]]=0,Tasks[[#This Row],[_LeafFcstStart]],WORKDAY.INTL(Tasks[[#This Row],[_LeafFcstStart]],Tasks[[#This Row],[_AlapShift]],WorkWeek,Holidays)))</f>
        <v/>
      </c>
      <c r="DK98" s="115" t="str">
        <f aca="false">IF(NOT(Tasks[[#This Row],[_IsLeaf]]=1),"",IF(Tasks[[#This Row],[_AlapShift]]=0,Tasks[[#This Row],[_LeafFcstFinish]],WORKDAY.INTL(Tasks[[#This Row],[_LeafFcstFinish]],Tasks[[#This Row],[_AlapShift]],WorkWeek,Holidays)))</f>
        <v/>
      </c>
      <c r="DL98" s="115" t="str">
        <f aca="false">IF(Tasks[[#This Row],[Task Name]]="","",IF(Tasks[[#This Row],[_IsSummary]],MIN(INDEX(Tasks[_ShownCalcStart],Tasks[[#This Row],[_Row]]+1):INDEX(Tasks[_ShownCalcStart],Tasks[[#This Row],[_Row]]+Tasks[[#This Row],[_Descendants]])),Tasks[[#This Row],[_ShownCalcStart]]))</f>
        <v/>
      </c>
      <c r="DM98" s="115" t="str">
        <f aca="false">IF(Tasks[[#This Row],[Task Name]]="","",IF(Tasks[[#This Row],[_IsSummary]],MAX(INDEX(Tasks[_ShownCalcFinish],Tasks[[#This Row],[_Row]]+1):INDEX(Tasks[_ShownCalcFinish],Tasks[[#This Row],[_Row]]+Tasks[[#This Row],[_Descendants]])),Tasks[[#This Row],[_ShownCalcFinish]]))</f>
        <v/>
      </c>
      <c r="DN9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8" s="38" t="n">
        <f aca="false">IF(AND(Tasks[[#This Row],[_IsLeaf]]=1,Tasks[[#This Row],[_LeafTotalWork]]&gt;0),NETWORKDAYS.INTL(ProjectStart,Tasks[[#This Row],[_ShownFcstStart]],WorkWeek,Holidays),0)</f>
        <v>0</v>
      </c>
      <c r="EA98" s="38" t="n">
        <f aca="false">IF(AND(Tasks[[#This Row],[_IsLeaf]]=1,Tasks[[#This Row],[_LeafTotalWork]]&gt;0),MAX(Tasks[[#This Row],[_StartWorkday]],NETWORKDAYS.INTL(ProjectStart,Tasks[[#This Row],[_ShownFcstFinish]],WorkWeek,Holidays)),0)</f>
        <v>0</v>
      </c>
      <c r="EB98" s="38" t="n">
        <f aca="false">IF(AND(Tasks[[#This Row],[_IsLeaf]]=1,Tasks[[#This Row],[_LeafTotalWork]]&gt;0),Tasks[[#This Row],[_LeafWork]]/(Tasks[[#This Row],[_FinishWorkday]]-Tasks[[#This Row],[_StartWorkday]]+1),0)</f>
        <v>0</v>
      </c>
      <c r="EC98" s="38" t="n">
        <f aca="false">Tasks[[#This Row],[_WorkPerWorkday]]*(Tasks[[#This Row],[_StartWorkday]]-1)</f>
        <v>-0</v>
      </c>
      <c r="ED98" s="38" t="n">
        <f aca="false">IF(Tasks[[#This Row],[_IsLeaf]]=1,MAX(N(Tasks[[#This Row],[Duration]]),0.1),0)</f>
        <v>0</v>
      </c>
      <c r="EE98" s="38" t="n">
        <f aca="false">Tasks[[#This Row],[_WeightDur]]*Tasks[[#This Row],[_LeafProgress]]</f>
        <v>0</v>
      </c>
      <c r="EF9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8" s="38" t="str">
        <f aca="false">IF(AND(Tasks[[#This Row],[_IsLeaf]]=1,N(Tasks[[#This Row],[Duration]])=0,Tasks[[#This Row],[_LeafProgress]]&lt;1),Tasks[[#This Row],[_ShownFcstFinish]]+Tasks[[#This Row],[_Row]]/100000,"")</f>
        <v/>
      </c>
      <c r="EH9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8" s="38" t="n">
        <f aca="false">IF(NOT(Tasks[[#This Row],[_IsLeaf]]=1),0,IF(Tasks[[#This Row],[Baseline Cost]]="",Tasks[[#This Row],[_LeafTotalCost]],N(Tasks[[#This Row],[Baseline Cost]])))</f>
        <v>0</v>
      </c>
      <c r="EJ98" s="38" t="n">
        <f aca="false">Tasks[[#This Row],[_LeafBudget]]*Tasks[[#This Row],[_PlannedPct]]</f>
        <v>0</v>
      </c>
      <c r="EK98" s="38" t="n">
        <f aca="false">Tasks[[#This Row],[_LeafBudget]]*Tasks[[#This Row],[_LeafProgress]]</f>
        <v>0</v>
      </c>
      <c r="EL98" s="38" t="n">
        <f aca="false">IF(NOT(Tasks[[#This Row],[_IsLeaf]]=1),0,IF(Tasks[[#This Row],[Actual Cost]]="",Tasks[[#This Row],[_LeafTotalCost]]*Tasks[[#This Row],[_LeafProgress]],N(Tasks[[#This Row],[Actual Cost]])))</f>
        <v>0</v>
      </c>
      <c r="EM98" s="38" t="str">
        <f aca="false">IF(Tasks[[#This Row],[Task Name]]="","",LEFT(Tasks[[#This Row],[WBS]],FIND(".",Tasks[[#This Row],[WBS]]&amp;".")-1))</f>
        <v/>
      </c>
      <c r="EN98" s="38" t="str">
        <f aca="false">IF(AND(Tasks[[#This Row],[Task Name]]&lt;&gt;"",Tasks[[#This Row],[_Level]]=1),Tasks[[#This Row],[_Row]],"")</f>
        <v/>
      </c>
      <c r="EO98" s="38" t="str">
        <f aca="false">IF(AND(Tasks[[#This Row],[_IsLeaf]]=1,N(Tasks[[#This Row],[Duration]])=0),Tasks[[#This Row],[Planned Finish]]+Tasks[[#This Row],[_Row]]/100000,"")</f>
        <v/>
      </c>
      <c r="EP98" s="38" t="str">
        <f aca="false">IF(AND(Tasks[[#This Row],[_IsLeaf]]=1,Tasks[[#This Row],[_LeafProgress]]&lt;1,OR(N(Tasks[[#This Row],[Finish Var]])&gt;0,Tasks[[#This Row],[Status]]="Late Start")),MAX(0,Tasks[[#This Row],[Finish Var]])+1-Tasks[[#This Row],[_Row]]/1000000,"")</f>
        <v/>
      </c>
      <c r="EQ98" s="38" t="str">
        <f aca="false">IF(AND(Tasks[[#This Row],[_IsLeaf]]=1,N(Tasks[[#This Row],[Actual Start]])=0,Tasks[[#This Row],[_ShownFcstStart]]&gt;=StatusDate,Tasks[[#This Row],[_ShownFcstStart]]&lt;=LookaheadEnd),Tasks[[#This Row],[_ShownFcstStart]]+Tasks[[#This Row],[_Row]]/100000,"")</f>
        <v/>
      </c>
      <c r="ER98" s="38" t="str">
        <f aca="false">IF(AND(Tasks[[#This Row],[_IsLeaf]]=1,Tasks[[#This Row],[_LeafProgress]]&lt;1,Tasks[[#This Row],[_ShownFcstFinish]]&gt;=StatusDate,Tasks[[#This Row],[_ShownFcstFinish]]&lt;=LookaheadEnd),Tasks[[#This Row],[_ShownFcstFinish]]+Tasks[[#This Row],[_Row]]/100000,"")</f>
        <v/>
      </c>
      <c r="ES98" s="38" t="str">
        <f aca="false">IF(Tasks[[#This Row],[_LeafCritical]],Tasks[[#This Row],[_ShownFcstStart]]+Tasks[[#This Row],[_Row]]/100000,"")</f>
        <v/>
      </c>
      <c r="ET98" s="38" t="n">
        <f aca="false">Tasks[[#This Row],[_LeafWork]]*Tasks[[#This Row],[_LeafProgress]]</f>
        <v>0</v>
      </c>
      <c r="EU98" s="115" t="str">
        <f aca="false">IF(AND(Tasks[[#This Row],[_IsLeaf]]=1,Tasks[[#This Row],[_LeafProgress]]&gt;=1),IF(N(Tasks[[#This Row],[Actual Finish]])&gt;0,Tasks[[#This Row],[Actual Finish]],Tasks[[#This Row],[_ShownFcstFinish]]),"")</f>
        <v/>
      </c>
      <c r="EV98" s="38" t="n">
        <f aca="false">IF(Tasks[[#This Row],[_IsLeaf]]=1,N(Tasks[[#This Row],[Story Points]]),0)</f>
        <v>0</v>
      </c>
      <c r="EW98" s="38" t="str">
        <f aca="false">IF(AND(Tasks[[#This Row],[_IsLeaf]]=1,CurrentSprint&lt;&gt;"",Tasks[[#This Row],[Sprint]]=CurrentSprint),Tasks[[#This Row],[_Row]],"")</f>
        <v/>
      </c>
    </row>
    <row r="99" customFormat="false" ht="15" hidden="false" customHeight="false" outlineLevel="0" collapsed="false">
      <c r="A99" s="51" t="str">
        <f aca="false">IF(Tasks[[#This Row],[Task Name]]="","",COUNTA(Tasks[[#Headers],[Task Name]]:Tasks[[#This Row],[Task Name]])-1)</f>
        <v/>
      </c>
      <c r="B99" s="52" t="n">
        <v>94</v>
      </c>
      <c r="C9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52"/>
      <c r="E99" s="53"/>
      <c r="F99" s="52"/>
      <c r="G99" s="52"/>
      <c r="H99" s="52"/>
      <c r="I99" s="52"/>
      <c r="J99" s="52"/>
      <c r="K99" s="52"/>
      <c r="L99" s="52"/>
      <c r="M99" s="52"/>
      <c r="N99" s="52"/>
      <c r="O99" s="52"/>
      <c r="P99" s="52"/>
      <c r="Q99" s="52"/>
      <c r="R99" s="52"/>
      <c r="S99" s="53"/>
      <c r="T99" s="102"/>
      <c r="U99" s="102"/>
      <c r="V99" s="7"/>
      <c r="W99" s="7"/>
      <c r="X99" s="53"/>
      <c r="Y99" s="31" t="str">
        <f aca="false">IF(Tasks[[#This Row],[Task Name]]="","",IF(Tasks[[#This Row],[_IsSummary]],MIN(INDEX(Tasks[_ShownFcstStart],Tasks[[#This Row],[_Row]]+1):INDEX(Tasks[_ShownFcstStart],Tasks[[#This Row],[_Row]]+Tasks[[#This Row],[_Descendants]])),Tasks[[#This Row],[_ShownFcstStart]]))</f>
        <v/>
      </c>
      <c r="Z99" s="31" t="str">
        <f aca="false">IF(Tasks[[#This Row],[Task Name]]="","",IF(Tasks[[#This Row],[_IsSummary]],MAX(INDEX(Tasks[_ShownFcstFinish],Tasks[[#This Row],[_Row]]+1):INDEX(Tasks[_ShownFcstFinish],Tasks[[#This Row],[_Row]]+Tasks[[#This Row],[_Descendants]])),Tasks[[#This Row],[_ShownFcstFinish]]))</f>
        <v/>
      </c>
      <c r="AA99" s="51" t="str">
        <f aca="false">IF(Tasks[[#This Row],[Task Name]]="","",IF(Tasks[[#This Row],[Progress]]&gt;=1,"Complete",IF(OR(N(Tasks[[#This Row],[Actual Start]])&gt;0,Tasks[[#This Row],[Progress]]&gt;0),IF(Tasks[[#This Row],[Finish Var]]&gt;0,"Behind","In Progress"),IF(Tasks[[#This Row],[Planned Start]]&lt;StatusDate,"Late Start","Not Started"))))</f>
        <v/>
      </c>
      <c r="AB99" s="51" t="str">
        <f aca="false">IF(Tasks[[#This Row],[Task Name]]="","",IF(IF(Tasks[[#This Row],[_IsSummary]],COUNTIF(INDEX(Tasks[_LeafCritical],Tasks[[#This Row],[_Row]]+1):INDEX(Tasks[_LeafCritical],Tasks[[#This Row],[_Row]]+Tasks[[#This Row],[_Descendants]]),TRUE())&gt;0,Tasks[[#This Row],[_LeafCritical]]),"Yes",""))</f>
        <v/>
      </c>
      <c r="AC9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9" s="51" t="str">
        <f aca="false">IF(Tasks[[#This Row],[Task Name]]="","",IF(Tasks[[#This Row],[_Level]]&lt;=OutlineShowLevel,"Yes","No"))</f>
        <v/>
      </c>
      <c r="AE99" s="7"/>
      <c r="AF99" s="52"/>
      <c r="AG99" s="53"/>
      <c r="AH99" s="7"/>
      <c r="AI9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9" s="31" t="str">
        <f aca="false">IF(Tasks[[#This Row],[Task Name]]="","",IF(N(Tasks[[#This Row],[Baseline Start]])&gt;0,Tasks[[#This Row],[Baseline Start]],Tasks[[#This Row],[_CalcStart]]))</f>
        <v/>
      </c>
      <c r="AK99" s="31" t="str">
        <f aca="false">IF(Tasks[[#This Row],[Task Name]]="","",IF(N(Tasks[[#This Row],[Baseline Finish]])&gt;0,Tasks[[#This Row],[Baseline Finish]],Tasks[[#This Row],[_CalcFinish]]))</f>
        <v/>
      </c>
      <c r="AL9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9" s="31" t="str">
        <f aca="false">IF(Tasks[[#This Row],[Task Name]]="","",IF(Tasks[[#This Row],[_IsSummary]],MIN(INDEX(Tasks[_LeafLateStart],Tasks[[#This Row],[_Row]]+1):INDEX(Tasks[_LeafLateStart],Tasks[[#This Row],[_Row]]+Tasks[[#This Row],[_Descendants]])),Tasks[[#This Row],[_LeafLateStart]]))</f>
        <v/>
      </c>
      <c r="AN99" s="31" t="str">
        <f aca="false">IF(Tasks[[#This Row],[Task Name]]="","",IF(Tasks[[#This Row],[_IsSummary]],MAX(INDEX(Tasks[_LeafLateFinish],Tasks[[#This Row],[_Row]]+1):INDEX(Tasks[_LeafLateFinish],Tasks[[#This Row],[_Row]]+Tasks[[#This Row],[_Descendants]])),Tasks[[#This Row],[_LeafLateFinish]]))</f>
        <v/>
      </c>
      <c r="AO99" s="51" t="str">
        <f aca="false">IF(Tasks[[#This Row],[Task Name]]="","",IF(Tasks[[#This Row],[_IsSummary]],MIN(INDEX(Tasks[_LeafTotalSlack],Tasks[[#This Row],[_Row]]+1):INDEX(Tasks[_LeafTotalSlack],Tasks[[#This Row],[_Row]]+Tasks[[#This Row],[_Descendants]])),Tasks[[#This Row],[_LeafTotalSlack]]))</f>
        <v/>
      </c>
      <c r="AP9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9" s="110" t="str">
        <f aca="false">IF(Tasks[[#This Row],[Task Name]]="","",IF(Tasks[[#This Row],[_IsSummary]],SUM(INDEX(Tasks[_LeafTotalWork],Tasks[[#This Row],[_Row]]+1):INDEX(Tasks[_LeafTotalWork],Tasks[[#This Row],[_Row]]+Tasks[[#This Row],[_Descendants]])),Tasks[[#This Row],[_LeafTotalWork]]))</f>
        <v/>
      </c>
      <c r="AV9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9" s="111" t="str">
        <f aca="false">IF(Tasks[[#This Row],[Task Name]]="","",IF(Tasks[[#This Row],[_IsSummary]],SUM(INDEX(Tasks[_LeafTotalCost],Tasks[[#This Row],[_Row]]+1):INDEX(Tasks[_LeafTotalCost],Tasks[[#This Row],[_Row]]+Tasks[[#This Row],[_Descendants]])),Tasks[[#This Row],[_LeafTotalCost]]))</f>
        <v/>
      </c>
      <c r="AY99" s="112"/>
      <c r="AZ9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9" s="52"/>
      <c r="BB99" s="98"/>
      <c r="BC99" s="51" t="str">
        <f aca="false">IF(OR(Tasks[[#This Row],[Task Name]]="",Tasks[[#This Row],[Baseline Duration]]=""),"",Tasks[[#This Row],[BL Source Duration]]-N(Tasks[[#This Row],[Baseline Duration]]))</f>
        <v/>
      </c>
      <c r="BD99" s="110" t="str">
        <f aca="false">IF(OR(Tasks[[#This Row],[Task Name]]="",Tasks[[#This Row],[Baseline Work]]=""),"",Tasks[[#This Row],[Work]]-N(Tasks[[#This Row],[Baseline Work]]))</f>
        <v/>
      </c>
      <c r="BE99" s="111" t="str">
        <f aca="false">IF(OR(Tasks[[#This Row],[Task Name]]="",Tasks[[#This Row],[Baseline Cost]]=""),"",Tasks[[#This Row],[Cost]]-N(Tasks[[#This Row],[Baseline Cost]]))</f>
        <v/>
      </c>
      <c r="BF99" s="31" t="str">
        <f aca="false">IF(Tasks[[#This Row],[Task Name]]="","",Tasks[[#This Row],[Forecast Start]])</f>
        <v/>
      </c>
      <c r="BG99" s="31" t="str">
        <f aca="false">IF(Tasks[[#This Row],[Task Name]]="","",Tasks[[#This Row],[Forecast Finish]])</f>
        <v/>
      </c>
      <c r="BH99" s="51" t="str">
        <f aca="false">IF(Tasks[[#This Row],[Task Name]]="","",IF(Tasks[[#This Row],[_IsSummary]],NETWORKDAYS.INTL(Tasks[[#This Row],[Forecast Start]],Tasks[[#This Row],[Forecast Finish]],WorkWeek,Holidays),N(Tasks[[#This Row],[Duration]])))</f>
        <v/>
      </c>
      <c r="BI99" s="110" t="str">
        <f aca="false">IF(Tasks[[#This Row],[Task Name]]="","",Tasks[[#This Row],[Work]])</f>
        <v/>
      </c>
      <c r="BJ99" s="111" t="str">
        <f aca="false">IF(Tasks[[#This Row],[Task Name]]="","",Tasks[[#This Row],[Cost]])</f>
        <v/>
      </c>
      <c r="BK99" s="7"/>
      <c r="BL99" s="7"/>
      <c r="BM99" s="52"/>
      <c r="BN99" s="113"/>
      <c r="BO99" s="112"/>
      <c r="BP99" s="111" t="str">
        <f aca="false">IF(Tasks[[#This Row],[Task Name]]="","",IF(Tasks[[#This Row],[_IsSummary]],SUM(INDEX(Tasks[_LeafEV],Tasks[[#This Row],[_Row]]+1):INDEX(Tasks[_LeafEV],Tasks[[#This Row],[_Row]]+Tasks[[#This Row],[_Descendants]])),Tasks[[#This Row],[_LeafEV]]))</f>
        <v/>
      </c>
      <c r="BQ99" s="111" t="str">
        <f aca="false">IF(Tasks[[#This Row],[Task Name]]="","",IF(Tasks[[#This Row],[_IsSummary]],SUM(INDEX(Tasks[_LeafBudget],Tasks[[#This Row],[_Row]]+1):INDEX(Tasks[_LeafBudget],Tasks[[#This Row],[_Row]]+Tasks[[#This Row],[_Descendants]])),Tasks[[#This Row],[_LeafBudget]]))</f>
        <v/>
      </c>
      <c r="BR99" s="111" t="str">
        <f aca="false">IF(Tasks[[#This Row],[Task Name]]="","",IF(Tasks[[#This Row],[_IsSummary]],SUM(INDEX(Tasks[_LeafPV],Tasks[[#This Row],[_Row]]+1):INDEX(Tasks[_LeafPV],Tasks[[#This Row],[_Row]]+Tasks[[#This Row],[_Descendants]])),Tasks[[#This Row],[_LeafPV]]))</f>
        <v/>
      </c>
      <c r="BS99" s="111" t="str">
        <f aca="false">IF(Tasks[[#This Row],[Task Name]]="","",IF(Tasks[[#This Row],[_IsSummary]],SUM(INDEX(Tasks[_LeafAC],Tasks[[#This Row],[_Row]]+1):INDEX(Tasks[_LeafAC],Tasks[[#This Row],[_Row]]+Tasks[[#This Row],[_Descendants]])),Tasks[[#This Row],[_LeafAC]]))</f>
        <v/>
      </c>
      <c r="BT99" s="38" t="str">
        <f aca="false">IF(Tasks[[#This Row],[Task Name]]="","",MAX(1,N(Tasks[[#This Row],[Level]])))</f>
        <v/>
      </c>
      <c r="BU99" s="38" t="n">
        <f aca="false">ROW()-ROW(Tasks[[#Headers],[ID]])</f>
        <v>94</v>
      </c>
      <c r="BV99" s="38" t="n">
        <f aca="false">IF(OR(Tasks[[#This Row],[Task Name]]="",Tasks[[#This Row],[_Level]]&lt;=1),0,IFERROR(LOOKUP(2,1/(Tasks[[#Headers],[_Level]]:Tasks[[#This Row],[_Level]]=Tasks[[#This Row],[_Level]]-1),ROW(Tasks[[#Headers],[_Level]]:Tasks[[#This Row],[_Level]])),0))</f>
        <v>0</v>
      </c>
      <c r="BW99" s="38" t="n">
        <f aca="false">IFERROR(N(INDEX(Tasks[_Level],Tasks[[#This Row],[_Row]]+1)),0)</f>
        <v>0</v>
      </c>
      <c r="BX99" s="114" t="b">
        <f aca="false">AND(Tasks[[#This Row],[Task Name]]&lt;&gt;"",Tasks[[#This Row],[_NextLevel]]&gt;Tasks[[#This Row],[_Level]])</f>
        <v>0</v>
      </c>
      <c r="BY99" s="38" t="n">
        <f aca="false">IF(Tasks[[#This Row],[_IsSummary]],COUNTIF(Tasks[WBS],Tasks[[#This Row],[WBS]]&amp;".*"),0)</f>
        <v>0</v>
      </c>
      <c r="BZ99" s="38" t="n">
        <f aca="false">IF(AND(Tasks[[#This Row],[Task Name]]&lt;&gt;"",NOT(Tasks[[#This Row],[_IsSummary]])),1,0)</f>
        <v>0</v>
      </c>
      <c r="CA99" s="38" t="n">
        <f aca="false">IF(N(Tasks[[#This Row],[Pred1 UID]])=0,0,IFERROR(MATCH(Tasks[[#This Row],[Pred1 UID]],Tasks[UID],0),-1))</f>
        <v>0</v>
      </c>
      <c r="CB99" s="38" t="n">
        <f aca="false">IF(N(Tasks[[#This Row],[Pred2 UID]])=0,0,IFERROR(MATCH(Tasks[[#This Row],[Pred2 UID]],Tasks[UID],0),-1))</f>
        <v>0</v>
      </c>
      <c r="CC99" s="38" t="n">
        <f aca="false">IF(N(Tasks[[#This Row],[Pred3 UID]])=0,0,IFERROR(MATCH(Tasks[[#This Row],[Pred3 UID]],Tasks[UID],0),-1))</f>
        <v>0</v>
      </c>
      <c r="CD99" s="38" t="n">
        <f aca="false">IF(N(Tasks[[#This Row],[Pred4 UID]])=0,0,IFERROR(MATCH(Tasks[[#This Row],[Pred4 UID]],Tasks[UID],0),-1))</f>
        <v>0</v>
      </c>
      <c r="CE9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9" s="115" t="n">
        <f aca="false">IF(OR(Tasks[[#This Row],[_ConstraintCode]]=2,Tasks[[#This Row],[_ConstraintCode]]=3,Tasks[[#This Row],[_ConstraintCode]]=4,Tasks[[#This Row],[_ConstraintCode]]=6),Tasks[[#This Row],[_ConstraintStart]],0)</f>
        <v>0</v>
      </c>
      <c r="CH99" s="115" t="n">
        <f aca="false">IF(OR(Tasks[[#This Row],[_ConstraintCode]]=2,Tasks[[#This Row],[_ConstraintCode]]=3,Tasks[[#This Row],[_ConstraintCode]]=5,Tasks[[#This Row],[_ConstraintCode]]=7),Tasks[[#This Row],[_ConstraintStart]],2958465)</f>
        <v>2958465</v>
      </c>
      <c r="CI9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9" s="115" t="str">
        <f aca="false">IF(NOT(Tasks[[#This Row],[_IsLeaf]]=1),"",IF(N(Tasks[[#This Row],[Duration]])&lt;=0,Tasks[[#This Row],[_LeafCalcStart]],WORKDAY.INTL(Tasks[[#This Row],[_LeafCalcStart]],Tasks[[#This Row],[Duration]]-1,WorkWeek,Holidays)))</f>
        <v/>
      </c>
      <c r="CK9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9" s="38" t="n">
        <f aca="false">IF(NOT(Tasks[[#This Row],[_IsLeaf]]=1),0,IF(N(Tasks[[#This Row],[Actual Finish]])&gt;0,1,MIN(1,N(Tasks[[#This Row],[% Complete]]))))</f>
        <v>0</v>
      </c>
      <c r="CN99" s="38" t="n">
        <f aca="false">IF(OR(NOT(Tasks[[#This Row],[_IsLeaf]]=1),Tasks[[#This Row],[Resource]]=""),0,N(Tasks[[#This Row],[Duration]])*HoursPerDay*IF(Tasks[[#This Row],[Units]]="",DefaultUnits,Tasks[[#This Row],[Units]]))</f>
        <v>0</v>
      </c>
      <c r="CO99" s="38" t="n">
        <f aca="false">IF(Tasks[[#This Row],[_LeafWork]]=0,0,Tasks[[#This Row],[_LeafWork]]*IFERROR(INDEX(res_Rate,MATCH(Tasks[[#This Row],[Resource]],res_Name,0)),0))</f>
        <v>0</v>
      </c>
      <c r="CP99" s="38" t="n">
        <f aca="false">Tasks[[#This Row],[_LeafWork]]+IF(Tasks[[#This Row],[_IsLeaf]]=1,SUMIFS(asg_Work,asg_TaskUID,Tasks[[#This Row],[UID]],asg_Valid,1),0)</f>
        <v>0</v>
      </c>
      <c r="CQ99" s="38" t="n">
        <f aca="false">Tasks[[#This Row],[_LeafCost]]+IF(Tasks[[#This Row],[_IsLeaf]]=1,SUMIFS(asg_Cost,asg_TaskUID,Tasks[[#This Row],[UID]],asg_Valid,1),0)</f>
        <v>0</v>
      </c>
      <c r="CR99" s="38" t="n">
        <f aca="false">IF(Tasks[[#This Row],[_LeafTotalCost]]=0,Tasks[[#This Row],[_LeafAC]],Tasks[[#This Row],[_LeafAC]]*Tasks[[#This Row],[_LeafCost]]/Tasks[[#This Row],[_LeafTotalCost]])</f>
        <v>0</v>
      </c>
      <c r="CS9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9" s="38" t="n">
        <f aca="false">IF(NOT(Tasks[[#This Row],[_IsLeaf]]=1),0,MAX(_xlfn.MAXIFS(Tasks[_Row],Tasks[Pred1 UID],Tasks[[#This Row],[UID]]),_xlfn.MAXIFS(Tasks[_Row],Tasks[Pred2 UID],Tasks[[#This Row],[UID]]),_xlfn.MAXIFS(Tasks[_Row],Tasks[Pred3 UID],Tasks[[#This Row],[UID]]),_xlfn.MAXIFS(Tasks[_Row],Tasks[Pred4 UID],Tasks[[#This Row],[UID]])))</f>
        <v>0</v>
      </c>
      <c r="DB9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9" s="115" t="str">
        <f aca="false">IF(NOT(Tasks[[#This Row],[_IsLeaf]]=1),"",IF(N(Tasks[[#This Row],[Duration]])&lt;=0,Tasks[[#This Row],[_LeafLateFinish]],WORKDAY.INTL(Tasks[[#This Row],[_LeafLateFinish]],-(Tasks[[#This Row],[Duration]]-1),WorkWeek,Holidays)))</f>
        <v/>
      </c>
      <c r="DE9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9" s="114" t="b">
        <f aca="false">AND(Tasks[[#This Row],[_IsLeaf]]=1,Tasks[[#This Row],[_LeafProgress]]&lt;1,N(Tasks[[#This Row],[_LeafTotalSlack]])&lt;=CriticalSlackDays)</f>
        <v>0</v>
      </c>
      <c r="DG99" s="38" t="n">
        <f aca="false">IF(AND(Tasks[[#This Row],[_IsLeaf]]=1,Tasks[[#This Row],[_ConstraintCode]]=1,Tasks[[#This Row],[Mode]]&lt;&gt;"Manual",N(Tasks[[#This Row],[Actual Start]])=0),MAX(0,N(Tasks[[#This Row],[Free Slack]])),0)</f>
        <v>0</v>
      </c>
      <c r="DH99" s="115" t="str">
        <f aca="false">IF(NOT(Tasks[[#This Row],[_IsLeaf]]=1),"",IF(Tasks[[#This Row],[_AlapShift]]=0,Tasks[[#This Row],[_LeafCalcStart]],WORKDAY.INTL(Tasks[[#This Row],[_LeafCalcStart]],Tasks[[#This Row],[_AlapShift]],WorkWeek,Holidays)))</f>
        <v/>
      </c>
      <c r="DI99" s="115" t="str">
        <f aca="false">IF(NOT(Tasks[[#This Row],[_IsLeaf]]=1),"",IF(Tasks[[#This Row],[_AlapShift]]=0,Tasks[[#This Row],[_LeafCalcFinish]],WORKDAY.INTL(Tasks[[#This Row],[_LeafCalcFinish]],Tasks[[#This Row],[_AlapShift]],WorkWeek,Holidays)))</f>
        <v/>
      </c>
      <c r="DJ99" s="115" t="str">
        <f aca="false">IF(NOT(Tasks[[#This Row],[_IsLeaf]]=1),"",IF(Tasks[[#This Row],[_AlapShift]]=0,Tasks[[#This Row],[_LeafFcstStart]],WORKDAY.INTL(Tasks[[#This Row],[_LeafFcstStart]],Tasks[[#This Row],[_AlapShift]],WorkWeek,Holidays)))</f>
        <v/>
      </c>
      <c r="DK99" s="115" t="str">
        <f aca="false">IF(NOT(Tasks[[#This Row],[_IsLeaf]]=1),"",IF(Tasks[[#This Row],[_AlapShift]]=0,Tasks[[#This Row],[_LeafFcstFinish]],WORKDAY.INTL(Tasks[[#This Row],[_LeafFcstFinish]],Tasks[[#This Row],[_AlapShift]],WorkWeek,Holidays)))</f>
        <v/>
      </c>
      <c r="DL99" s="115" t="str">
        <f aca="false">IF(Tasks[[#This Row],[Task Name]]="","",IF(Tasks[[#This Row],[_IsSummary]],MIN(INDEX(Tasks[_ShownCalcStart],Tasks[[#This Row],[_Row]]+1):INDEX(Tasks[_ShownCalcStart],Tasks[[#This Row],[_Row]]+Tasks[[#This Row],[_Descendants]])),Tasks[[#This Row],[_ShownCalcStart]]))</f>
        <v/>
      </c>
      <c r="DM99" s="115" t="str">
        <f aca="false">IF(Tasks[[#This Row],[Task Name]]="","",IF(Tasks[[#This Row],[_IsSummary]],MAX(INDEX(Tasks[_ShownCalcFinish],Tasks[[#This Row],[_Row]]+1):INDEX(Tasks[_ShownCalcFinish],Tasks[[#This Row],[_Row]]+Tasks[[#This Row],[_Descendants]])),Tasks[[#This Row],[_ShownCalcFinish]]))</f>
        <v/>
      </c>
      <c r="DN9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9" s="38" t="n">
        <f aca="false">IF(AND(Tasks[[#This Row],[_IsLeaf]]=1,Tasks[[#This Row],[_LeafTotalWork]]&gt;0),NETWORKDAYS.INTL(ProjectStart,Tasks[[#This Row],[_ShownFcstStart]],WorkWeek,Holidays),0)</f>
        <v>0</v>
      </c>
      <c r="EA99" s="38" t="n">
        <f aca="false">IF(AND(Tasks[[#This Row],[_IsLeaf]]=1,Tasks[[#This Row],[_LeafTotalWork]]&gt;0),MAX(Tasks[[#This Row],[_StartWorkday]],NETWORKDAYS.INTL(ProjectStart,Tasks[[#This Row],[_ShownFcstFinish]],WorkWeek,Holidays)),0)</f>
        <v>0</v>
      </c>
      <c r="EB99" s="38" t="n">
        <f aca="false">IF(AND(Tasks[[#This Row],[_IsLeaf]]=1,Tasks[[#This Row],[_LeafTotalWork]]&gt;0),Tasks[[#This Row],[_LeafWork]]/(Tasks[[#This Row],[_FinishWorkday]]-Tasks[[#This Row],[_StartWorkday]]+1),0)</f>
        <v>0</v>
      </c>
      <c r="EC99" s="38" t="n">
        <f aca="false">Tasks[[#This Row],[_WorkPerWorkday]]*(Tasks[[#This Row],[_StartWorkday]]-1)</f>
        <v>-0</v>
      </c>
      <c r="ED99" s="38" t="n">
        <f aca="false">IF(Tasks[[#This Row],[_IsLeaf]]=1,MAX(N(Tasks[[#This Row],[Duration]]),0.1),0)</f>
        <v>0</v>
      </c>
      <c r="EE99" s="38" t="n">
        <f aca="false">Tasks[[#This Row],[_WeightDur]]*Tasks[[#This Row],[_LeafProgress]]</f>
        <v>0</v>
      </c>
      <c r="EF9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9" s="38" t="str">
        <f aca="false">IF(AND(Tasks[[#This Row],[_IsLeaf]]=1,N(Tasks[[#This Row],[Duration]])=0,Tasks[[#This Row],[_LeafProgress]]&lt;1),Tasks[[#This Row],[_ShownFcstFinish]]+Tasks[[#This Row],[_Row]]/100000,"")</f>
        <v/>
      </c>
      <c r="EH9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9" s="38" t="n">
        <f aca="false">IF(NOT(Tasks[[#This Row],[_IsLeaf]]=1),0,IF(Tasks[[#This Row],[Baseline Cost]]="",Tasks[[#This Row],[_LeafTotalCost]],N(Tasks[[#This Row],[Baseline Cost]])))</f>
        <v>0</v>
      </c>
      <c r="EJ99" s="38" t="n">
        <f aca="false">Tasks[[#This Row],[_LeafBudget]]*Tasks[[#This Row],[_PlannedPct]]</f>
        <v>0</v>
      </c>
      <c r="EK99" s="38" t="n">
        <f aca="false">Tasks[[#This Row],[_LeafBudget]]*Tasks[[#This Row],[_LeafProgress]]</f>
        <v>0</v>
      </c>
      <c r="EL99" s="38" t="n">
        <f aca="false">IF(NOT(Tasks[[#This Row],[_IsLeaf]]=1),0,IF(Tasks[[#This Row],[Actual Cost]]="",Tasks[[#This Row],[_LeafTotalCost]]*Tasks[[#This Row],[_LeafProgress]],N(Tasks[[#This Row],[Actual Cost]])))</f>
        <v>0</v>
      </c>
      <c r="EM99" s="38" t="str">
        <f aca="false">IF(Tasks[[#This Row],[Task Name]]="","",LEFT(Tasks[[#This Row],[WBS]],FIND(".",Tasks[[#This Row],[WBS]]&amp;".")-1))</f>
        <v/>
      </c>
      <c r="EN99" s="38" t="str">
        <f aca="false">IF(AND(Tasks[[#This Row],[Task Name]]&lt;&gt;"",Tasks[[#This Row],[_Level]]=1),Tasks[[#This Row],[_Row]],"")</f>
        <v/>
      </c>
      <c r="EO99" s="38" t="str">
        <f aca="false">IF(AND(Tasks[[#This Row],[_IsLeaf]]=1,N(Tasks[[#This Row],[Duration]])=0),Tasks[[#This Row],[Planned Finish]]+Tasks[[#This Row],[_Row]]/100000,"")</f>
        <v/>
      </c>
      <c r="EP99" s="38" t="str">
        <f aca="false">IF(AND(Tasks[[#This Row],[_IsLeaf]]=1,Tasks[[#This Row],[_LeafProgress]]&lt;1,OR(N(Tasks[[#This Row],[Finish Var]])&gt;0,Tasks[[#This Row],[Status]]="Late Start")),MAX(0,Tasks[[#This Row],[Finish Var]])+1-Tasks[[#This Row],[_Row]]/1000000,"")</f>
        <v/>
      </c>
      <c r="EQ99" s="38" t="str">
        <f aca="false">IF(AND(Tasks[[#This Row],[_IsLeaf]]=1,N(Tasks[[#This Row],[Actual Start]])=0,Tasks[[#This Row],[_ShownFcstStart]]&gt;=StatusDate,Tasks[[#This Row],[_ShownFcstStart]]&lt;=LookaheadEnd),Tasks[[#This Row],[_ShownFcstStart]]+Tasks[[#This Row],[_Row]]/100000,"")</f>
        <v/>
      </c>
      <c r="ER99" s="38" t="str">
        <f aca="false">IF(AND(Tasks[[#This Row],[_IsLeaf]]=1,Tasks[[#This Row],[_LeafProgress]]&lt;1,Tasks[[#This Row],[_ShownFcstFinish]]&gt;=StatusDate,Tasks[[#This Row],[_ShownFcstFinish]]&lt;=LookaheadEnd),Tasks[[#This Row],[_ShownFcstFinish]]+Tasks[[#This Row],[_Row]]/100000,"")</f>
        <v/>
      </c>
      <c r="ES99" s="38" t="str">
        <f aca="false">IF(Tasks[[#This Row],[_LeafCritical]],Tasks[[#This Row],[_ShownFcstStart]]+Tasks[[#This Row],[_Row]]/100000,"")</f>
        <v/>
      </c>
      <c r="ET99" s="38" t="n">
        <f aca="false">Tasks[[#This Row],[_LeafWork]]*Tasks[[#This Row],[_LeafProgress]]</f>
        <v>0</v>
      </c>
      <c r="EU99" s="115" t="str">
        <f aca="false">IF(AND(Tasks[[#This Row],[_IsLeaf]]=1,Tasks[[#This Row],[_LeafProgress]]&gt;=1),IF(N(Tasks[[#This Row],[Actual Finish]])&gt;0,Tasks[[#This Row],[Actual Finish]],Tasks[[#This Row],[_ShownFcstFinish]]),"")</f>
        <v/>
      </c>
      <c r="EV99" s="38" t="n">
        <f aca="false">IF(Tasks[[#This Row],[_IsLeaf]]=1,N(Tasks[[#This Row],[Story Points]]),0)</f>
        <v>0</v>
      </c>
      <c r="EW99" s="38" t="str">
        <f aca="false">IF(AND(Tasks[[#This Row],[_IsLeaf]]=1,CurrentSprint&lt;&gt;"",Tasks[[#This Row],[Sprint]]=CurrentSprint),Tasks[[#This Row],[_Row]],"")</f>
        <v/>
      </c>
    </row>
    <row r="100" customFormat="false" ht="15" hidden="false" customHeight="false" outlineLevel="0" collapsed="false">
      <c r="A100" s="51" t="str">
        <f aca="false">IF(Tasks[[#This Row],[Task Name]]="","",COUNTA(Tasks[[#Headers],[Task Name]]:Tasks[[#This Row],[Task Name]])-1)</f>
        <v/>
      </c>
      <c r="B100" s="52" t="n">
        <v>95</v>
      </c>
      <c r="C10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52"/>
      <c r="E100" s="53"/>
      <c r="F100" s="52"/>
      <c r="G100" s="52"/>
      <c r="H100" s="52"/>
      <c r="I100" s="52"/>
      <c r="J100" s="52"/>
      <c r="K100" s="52"/>
      <c r="L100" s="52"/>
      <c r="M100" s="52"/>
      <c r="N100" s="52"/>
      <c r="O100" s="52"/>
      <c r="P100" s="52"/>
      <c r="Q100" s="52"/>
      <c r="R100" s="52"/>
      <c r="S100" s="53"/>
      <c r="T100" s="102"/>
      <c r="U100" s="102"/>
      <c r="V100" s="7"/>
      <c r="W100" s="7"/>
      <c r="X100" s="53"/>
      <c r="Y100" s="31" t="str">
        <f aca="false">IF(Tasks[[#This Row],[Task Name]]="","",IF(Tasks[[#This Row],[_IsSummary]],MIN(INDEX(Tasks[_ShownFcstStart],Tasks[[#This Row],[_Row]]+1):INDEX(Tasks[_ShownFcstStart],Tasks[[#This Row],[_Row]]+Tasks[[#This Row],[_Descendants]])),Tasks[[#This Row],[_ShownFcstStart]]))</f>
        <v/>
      </c>
      <c r="Z100" s="31" t="str">
        <f aca="false">IF(Tasks[[#This Row],[Task Name]]="","",IF(Tasks[[#This Row],[_IsSummary]],MAX(INDEX(Tasks[_ShownFcstFinish],Tasks[[#This Row],[_Row]]+1):INDEX(Tasks[_ShownFcstFinish],Tasks[[#This Row],[_Row]]+Tasks[[#This Row],[_Descendants]])),Tasks[[#This Row],[_ShownFcstFinish]]))</f>
        <v/>
      </c>
      <c r="AA100" s="51" t="str">
        <f aca="false">IF(Tasks[[#This Row],[Task Name]]="","",IF(Tasks[[#This Row],[Progress]]&gt;=1,"Complete",IF(OR(N(Tasks[[#This Row],[Actual Start]])&gt;0,Tasks[[#This Row],[Progress]]&gt;0),IF(Tasks[[#This Row],[Finish Var]]&gt;0,"Behind","In Progress"),IF(Tasks[[#This Row],[Planned Start]]&lt;StatusDate,"Late Start","Not Started"))))</f>
        <v/>
      </c>
      <c r="AB100" s="51" t="str">
        <f aca="false">IF(Tasks[[#This Row],[Task Name]]="","",IF(IF(Tasks[[#This Row],[_IsSummary]],COUNTIF(INDEX(Tasks[_LeafCritical],Tasks[[#This Row],[_Row]]+1):INDEX(Tasks[_LeafCritical],Tasks[[#This Row],[_Row]]+Tasks[[#This Row],[_Descendants]]),TRUE())&gt;0,Tasks[[#This Row],[_LeafCritical]]),"Yes",""))</f>
        <v/>
      </c>
      <c r="AC10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0" s="51" t="str">
        <f aca="false">IF(Tasks[[#This Row],[Task Name]]="","",IF(Tasks[[#This Row],[_Level]]&lt;=OutlineShowLevel,"Yes","No"))</f>
        <v/>
      </c>
      <c r="AE100" s="7"/>
      <c r="AF100" s="52"/>
      <c r="AG100" s="53"/>
      <c r="AH100" s="7"/>
      <c r="AI10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0" s="31" t="str">
        <f aca="false">IF(Tasks[[#This Row],[Task Name]]="","",IF(N(Tasks[[#This Row],[Baseline Start]])&gt;0,Tasks[[#This Row],[Baseline Start]],Tasks[[#This Row],[_CalcStart]]))</f>
        <v/>
      </c>
      <c r="AK100" s="31" t="str">
        <f aca="false">IF(Tasks[[#This Row],[Task Name]]="","",IF(N(Tasks[[#This Row],[Baseline Finish]])&gt;0,Tasks[[#This Row],[Baseline Finish]],Tasks[[#This Row],[_CalcFinish]]))</f>
        <v/>
      </c>
      <c r="AL10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0" s="31" t="str">
        <f aca="false">IF(Tasks[[#This Row],[Task Name]]="","",IF(Tasks[[#This Row],[_IsSummary]],MIN(INDEX(Tasks[_LeafLateStart],Tasks[[#This Row],[_Row]]+1):INDEX(Tasks[_LeafLateStart],Tasks[[#This Row],[_Row]]+Tasks[[#This Row],[_Descendants]])),Tasks[[#This Row],[_LeafLateStart]]))</f>
        <v/>
      </c>
      <c r="AN100" s="31" t="str">
        <f aca="false">IF(Tasks[[#This Row],[Task Name]]="","",IF(Tasks[[#This Row],[_IsSummary]],MAX(INDEX(Tasks[_LeafLateFinish],Tasks[[#This Row],[_Row]]+1):INDEX(Tasks[_LeafLateFinish],Tasks[[#This Row],[_Row]]+Tasks[[#This Row],[_Descendants]])),Tasks[[#This Row],[_LeafLateFinish]]))</f>
        <v/>
      </c>
      <c r="AO100" s="51" t="str">
        <f aca="false">IF(Tasks[[#This Row],[Task Name]]="","",IF(Tasks[[#This Row],[_IsSummary]],MIN(INDEX(Tasks[_LeafTotalSlack],Tasks[[#This Row],[_Row]]+1):INDEX(Tasks[_LeafTotalSlack],Tasks[[#This Row],[_Row]]+Tasks[[#This Row],[_Descendants]])),Tasks[[#This Row],[_LeafTotalSlack]]))</f>
        <v/>
      </c>
      <c r="AP10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0" s="110" t="str">
        <f aca="false">IF(Tasks[[#This Row],[Task Name]]="","",IF(Tasks[[#This Row],[_IsSummary]],SUM(INDEX(Tasks[_LeafTotalWork],Tasks[[#This Row],[_Row]]+1):INDEX(Tasks[_LeafTotalWork],Tasks[[#This Row],[_Row]]+Tasks[[#This Row],[_Descendants]])),Tasks[[#This Row],[_LeafTotalWork]]))</f>
        <v/>
      </c>
      <c r="AV10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0" s="111" t="str">
        <f aca="false">IF(Tasks[[#This Row],[Task Name]]="","",IF(Tasks[[#This Row],[_IsSummary]],SUM(INDEX(Tasks[_LeafTotalCost],Tasks[[#This Row],[_Row]]+1):INDEX(Tasks[_LeafTotalCost],Tasks[[#This Row],[_Row]]+Tasks[[#This Row],[_Descendants]])),Tasks[[#This Row],[_LeafTotalCost]]))</f>
        <v/>
      </c>
      <c r="AY100" s="112"/>
      <c r="AZ10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0" s="52"/>
      <c r="BB100" s="98"/>
      <c r="BC100" s="51" t="str">
        <f aca="false">IF(OR(Tasks[[#This Row],[Task Name]]="",Tasks[[#This Row],[Baseline Duration]]=""),"",Tasks[[#This Row],[BL Source Duration]]-N(Tasks[[#This Row],[Baseline Duration]]))</f>
        <v/>
      </c>
      <c r="BD100" s="110" t="str">
        <f aca="false">IF(OR(Tasks[[#This Row],[Task Name]]="",Tasks[[#This Row],[Baseline Work]]=""),"",Tasks[[#This Row],[Work]]-N(Tasks[[#This Row],[Baseline Work]]))</f>
        <v/>
      </c>
      <c r="BE100" s="111" t="str">
        <f aca="false">IF(OR(Tasks[[#This Row],[Task Name]]="",Tasks[[#This Row],[Baseline Cost]]=""),"",Tasks[[#This Row],[Cost]]-N(Tasks[[#This Row],[Baseline Cost]]))</f>
        <v/>
      </c>
      <c r="BF100" s="31" t="str">
        <f aca="false">IF(Tasks[[#This Row],[Task Name]]="","",Tasks[[#This Row],[Forecast Start]])</f>
        <v/>
      </c>
      <c r="BG100" s="31" t="str">
        <f aca="false">IF(Tasks[[#This Row],[Task Name]]="","",Tasks[[#This Row],[Forecast Finish]])</f>
        <v/>
      </c>
      <c r="BH100" s="51" t="str">
        <f aca="false">IF(Tasks[[#This Row],[Task Name]]="","",IF(Tasks[[#This Row],[_IsSummary]],NETWORKDAYS.INTL(Tasks[[#This Row],[Forecast Start]],Tasks[[#This Row],[Forecast Finish]],WorkWeek,Holidays),N(Tasks[[#This Row],[Duration]])))</f>
        <v/>
      </c>
      <c r="BI100" s="110" t="str">
        <f aca="false">IF(Tasks[[#This Row],[Task Name]]="","",Tasks[[#This Row],[Work]])</f>
        <v/>
      </c>
      <c r="BJ100" s="111" t="str">
        <f aca="false">IF(Tasks[[#This Row],[Task Name]]="","",Tasks[[#This Row],[Cost]])</f>
        <v/>
      </c>
      <c r="BK100" s="7"/>
      <c r="BL100" s="7"/>
      <c r="BM100" s="52"/>
      <c r="BN100" s="113"/>
      <c r="BO100" s="112"/>
      <c r="BP100" s="111" t="str">
        <f aca="false">IF(Tasks[[#This Row],[Task Name]]="","",IF(Tasks[[#This Row],[_IsSummary]],SUM(INDEX(Tasks[_LeafEV],Tasks[[#This Row],[_Row]]+1):INDEX(Tasks[_LeafEV],Tasks[[#This Row],[_Row]]+Tasks[[#This Row],[_Descendants]])),Tasks[[#This Row],[_LeafEV]]))</f>
        <v/>
      </c>
      <c r="BQ100" s="111" t="str">
        <f aca="false">IF(Tasks[[#This Row],[Task Name]]="","",IF(Tasks[[#This Row],[_IsSummary]],SUM(INDEX(Tasks[_LeafBudget],Tasks[[#This Row],[_Row]]+1):INDEX(Tasks[_LeafBudget],Tasks[[#This Row],[_Row]]+Tasks[[#This Row],[_Descendants]])),Tasks[[#This Row],[_LeafBudget]]))</f>
        <v/>
      </c>
      <c r="BR100" s="111" t="str">
        <f aca="false">IF(Tasks[[#This Row],[Task Name]]="","",IF(Tasks[[#This Row],[_IsSummary]],SUM(INDEX(Tasks[_LeafPV],Tasks[[#This Row],[_Row]]+1):INDEX(Tasks[_LeafPV],Tasks[[#This Row],[_Row]]+Tasks[[#This Row],[_Descendants]])),Tasks[[#This Row],[_LeafPV]]))</f>
        <v/>
      </c>
      <c r="BS100" s="111" t="str">
        <f aca="false">IF(Tasks[[#This Row],[Task Name]]="","",IF(Tasks[[#This Row],[_IsSummary]],SUM(INDEX(Tasks[_LeafAC],Tasks[[#This Row],[_Row]]+1):INDEX(Tasks[_LeafAC],Tasks[[#This Row],[_Row]]+Tasks[[#This Row],[_Descendants]])),Tasks[[#This Row],[_LeafAC]]))</f>
        <v/>
      </c>
      <c r="BT100" s="38" t="str">
        <f aca="false">IF(Tasks[[#This Row],[Task Name]]="","",MAX(1,N(Tasks[[#This Row],[Level]])))</f>
        <v/>
      </c>
      <c r="BU100" s="38" t="n">
        <f aca="false">ROW()-ROW(Tasks[[#Headers],[ID]])</f>
        <v>95</v>
      </c>
      <c r="BV100" s="38" t="n">
        <f aca="false">IF(OR(Tasks[[#This Row],[Task Name]]="",Tasks[[#This Row],[_Level]]&lt;=1),0,IFERROR(LOOKUP(2,1/(Tasks[[#Headers],[_Level]]:Tasks[[#This Row],[_Level]]=Tasks[[#This Row],[_Level]]-1),ROW(Tasks[[#Headers],[_Level]]:Tasks[[#This Row],[_Level]])),0))</f>
        <v>0</v>
      </c>
      <c r="BW100" s="38" t="n">
        <f aca="false">IFERROR(N(INDEX(Tasks[_Level],Tasks[[#This Row],[_Row]]+1)),0)</f>
        <v>0</v>
      </c>
      <c r="BX100" s="114" t="b">
        <f aca="false">AND(Tasks[[#This Row],[Task Name]]&lt;&gt;"",Tasks[[#This Row],[_NextLevel]]&gt;Tasks[[#This Row],[_Level]])</f>
        <v>0</v>
      </c>
      <c r="BY100" s="38" t="n">
        <f aca="false">IF(Tasks[[#This Row],[_IsSummary]],COUNTIF(Tasks[WBS],Tasks[[#This Row],[WBS]]&amp;".*"),0)</f>
        <v>0</v>
      </c>
      <c r="BZ100" s="38" t="n">
        <f aca="false">IF(AND(Tasks[[#This Row],[Task Name]]&lt;&gt;"",NOT(Tasks[[#This Row],[_IsSummary]])),1,0)</f>
        <v>0</v>
      </c>
      <c r="CA100" s="38" t="n">
        <f aca="false">IF(N(Tasks[[#This Row],[Pred1 UID]])=0,0,IFERROR(MATCH(Tasks[[#This Row],[Pred1 UID]],Tasks[UID],0),-1))</f>
        <v>0</v>
      </c>
      <c r="CB100" s="38" t="n">
        <f aca="false">IF(N(Tasks[[#This Row],[Pred2 UID]])=0,0,IFERROR(MATCH(Tasks[[#This Row],[Pred2 UID]],Tasks[UID],0),-1))</f>
        <v>0</v>
      </c>
      <c r="CC100" s="38" t="n">
        <f aca="false">IF(N(Tasks[[#This Row],[Pred3 UID]])=0,0,IFERROR(MATCH(Tasks[[#This Row],[Pred3 UID]],Tasks[UID],0),-1))</f>
        <v>0</v>
      </c>
      <c r="CD100" s="38" t="n">
        <f aca="false">IF(N(Tasks[[#This Row],[Pred4 UID]])=0,0,IFERROR(MATCH(Tasks[[#This Row],[Pred4 UID]],Tasks[UID],0),-1))</f>
        <v>0</v>
      </c>
      <c r="CE10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0" s="115" t="n">
        <f aca="false">IF(OR(Tasks[[#This Row],[_ConstraintCode]]=2,Tasks[[#This Row],[_ConstraintCode]]=3,Tasks[[#This Row],[_ConstraintCode]]=4,Tasks[[#This Row],[_ConstraintCode]]=6),Tasks[[#This Row],[_ConstraintStart]],0)</f>
        <v>0</v>
      </c>
      <c r="CH100" s="115" t="n">
        <f aca="false">IF(OR(Tasks[[#This Row],[_ConstraintCode]]=2,Tasks[[#This Row],[_ConstraintCode]]=3,Tasks[[#This Row],[_ConstraintCode]]=5,Tasks[[#This Row],[_ConstraintCode]]=7),Tasks[[#This Row],[_ConstraintStart]],2958465)</f>
        <v>2958465</v>
      </c>
      <c r="CI10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0" s="115" t="str">
        <f aca="false">IF(NOT(Tasks[[#This Row],[_IsLeaf]]=1),"",IF(N(Tasks[[#This Row],[Duration]])&lt;=0,Tasks[[#This Row],[_LeafCalcStart]],WORKDAY.INTL(Tasks[[#This Row],[_LeafCalcStart]],Tasks[[#This Row],[Duration]]-1,WorkWeek,Holidays)))</f>
        <v/>
      </c>
      <c r="CK10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0" s="38" t="n">
        <f aca="false">IF(NOT(Tasks[[#This Row],[_IsLeaf]]=1),0,IF(N(Tasks[[#This Row],[Actual Finish]])&gt;0,1,MIN(1,N(Tasks[[#This Row],[% Complete]]))))</f>
        <v>0</v>
      </c>
      <c r="CN100" s="38" t="n">
        <f aca="false">IF(OR(NOT(Tasks[[#This Row],[_IsLeaf]]=1),Tasks[[#This Row],[Resource]]=""),0,N(Tasks[[#This Row],[Duration]])*HoursPerDay*IF(Tasks[[#This Row],[Units]]="",DefaultUnits,Tasks[[#This Row],[Units]]))</f>
        <v>0</v>
      </c>
      <c r="CO100" s="38" t="n">
        <f aca="false">IF(Tasks[[#This Row],[_LeafWork]]=0,0,Tasks[[#This Row],[_LeafWork]]*IFERROR(INDEX(res_Rate,MATCH(Tasks[[#This Row],[Resource]],res_Name,0)),0))</f>
        <v>0</v>
      </c>
      <c r="CP100" s="38" t="n">
        <f aca="false">Tasks[[#This Row],[_LeafWork]]+IF(Tasks[[#This Row],[_IsLeaf]]=1,SUMIFS(asg_Work,asg_TaskUID,Tasks[[#This Row],[UID]],asg_Valid,1),0)</f>
        <v>0</v>
      </c>
      <c r="CQ100" s="38" t="n">
        <f aca="false">Tasks[[#This Row],[_LeafCost]]+IF(Tasks[[#This Row],[_IsLeaf]]=1,SUMIFS(asg_Cost,asg_TaskUID,Tasks[[#This Row],[UID]],asg_Valid,1),0)</f>
        <v>0</v>
      </c>
      <c r="CR100" s="38" t="n">
        <f aca="false">IF(Tasks[[#This Row],[_LeafTotalCost]]=0,Tasks[[#This Row],[_LeafAC]],Tasks[[#This Row],[_LeafAC]]*Tasks[[#This Row],[_LeafCost]]/Tasks[[#This Row],[_LeafTotalCost]])</f>
        <v>0</v>
      </c>
      <c r="CS10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0" s="38" t="n">
        <f aca="false">IF(NOT(Tasks[[#This Row],[_IsLeaf]]=1),0,MAX(_xlfn.MAXIFS(Tasks[_Row],Tasks[Pred1 UID],Tasks[[#This Row],[UID]]),_xlfn.MAXIFS(Tasks[_Row],Tasks[Pred2 UID],Tasks[[#This Row],[UID]]),_xlfn.MAXIFS(Tasks[_Row],Tasks[Pred3 UID],Tasks[[#This Row],[UID]]),_xlfn.MAXIFS(Tasks[_Row],Tasks[Pred4 UID],Tasks[[#This Row],[UID]])))</f>
        <v>0</v>
      </c>
      <c r="DB10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0" s="115" t="str">
        <f aca="false">IF(NOT(Tasks[[#This Row],[_IsLeaf]]=1),"",IF(N(Tasks[[#This Row],[Duration]])&lt;=0,Tasks[[#This Row],[_LeafLateFinish]],WORKDAY.INTL(Tasks[[#This Row],[_LeafLateFinish]],-(Tasks[[#This Row],[Duration]]-1),WorkWeek,Holidays)))</f>
        <v/>
      </c>
      <c r="DE10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0" s="114" t="b">
        <f aca="false">AND(Tasks[[#This Row],[_IsLeaf]]=1,Tasks[[#This Row],[_LeafProgress]]&lt;1,N(Tasks[[#This Row],[_LeafTotalSlack]])&lt;=CriticalSlackDays)</f>
        <v>0</v>
      </c>
      <c r="DG100" s="38" t="n">
        <f aca="false">IF(AND(Tasks[[#This Row],[_IsLeaf]]=1,Tasks[[#This Row],[_ConstraintCode]]=1,Tasks[[#This Row],[Mode]]&lt;&gt;"Manual",N(Tasks[[#This Row],[Actual Start]])=0),MAX(0,N(Tasks[[#This Row],[Free Slack]])),0)</f>
        <v>0</v>
      </c>
      <c r="DH100" s="115" t="str">
        <f aca="false">IF(NOT(Tasks[[#This Row],[_IsLeaf]]=1),"",IF(Tasks[[#This Row],[_AlapShift]]=0,Tasks[[#This Row],[_LeafCalcStart]],WORKDAY.INTL(Tasks[[#This Row],[_LeafCalcStart]],Tasks[[#This Row],[_AlapShift]],WorkWeek,Holidays)))</f>
        <v/>
      </c>
      <c r="DI100" s="115" t="str">
        <f aca="false">IF(NOT(Tasks[[#This Row],[_IsLeaf]]=1),"",IF(Tasks[[#This Row],[_AlapShift]]=0,Tasks[[#This Row],[_LeafCalcFinish]],WORKDAY.INTL(Tasks[[#This Row],[_LeafCalcFinish]],Tasks[[#This Row],[_AlapShift]],WorkWeek,Holidays)))</f>
        <v/>
      </c>
      <c r="DJ100" s="115" t="str">
        <f aca="false">IF(NOT(Tasks[[#This Row],[_IsLeaf]]=1),"",IF(Tasks[[#This Row],[_AlapShift]]=0,Tasks[[#This Row],[_LeafFcstStart]],WORKDAY.INTL(Tasks[[#This Row],[_LeafFcstStart]],Tasks[[#This Row],[_AlapShift]],WorkWeek,Holidays)))</f>
        <v/>
      </c>
      <c r="DK100" s="115" t="str">
        <f aca="false">IF(NOT(Tasks[[#This Row],[_IsLeaf]]=1),"",IF(Tasks[[#This Row],[_AlapShift]]=0,Tasks[[#This Row],[_LeafFcstFinish]],WORKDAY.INTL(Tasks[[#This Row],[_LeafFcstFinish]],Tasks[[#This Row],[_AlapShift]],WorkWeek,Holidays)))</f>
        <v/>
      </c>
      <c r="DL100" s="115" t="str">
        <f aca="false">IF(Tasks[[#This Row],[Task Name]]="","",IF(Tasks[[#This Row],[_IsSummary]],MIN(INDEX(Tasks[_ShownCalcStart],Tasks[[#This Row],[_Row]]+1):INDEX(Tasks[_ShownCalcStart],Tasks[[#This Row],[_Row]]+Tasks[[#This Row],[_Descendants]])),Tasks[[#This Row],[_ShownCalcStart]]))</f>
        <v/>
      </c>
      <c r="DM100" s="115" t="str">
        <f aca="false">IF(Tasks[[#This Row],[Task Name]]="","",IF(Tasks[[#This Row],[_IsSummary]],MAX(INDEX(Tasks[_ShownCalcFinish],Tasks[[#This Row],[_Row]]+1):INDEX(Tasks[_ShownCalcFinish],Tasks[[#This Row],[_Row]]+Tasks[[#This Row],[_Descendants]])),Tasks[[#This Row],[_ShownCalcFinish]]))</f>
        <v/>
      </c>
      <c r="DN10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0" s="38" t="n">
        <f aca="false">IF(AND(Tasks[[#This Row],[_IsLeaf]]=1,Tasks[[#This Row],[_LeafTotalWork]]&gt;0),NETWORKDAYS.INTL(ProjectStart,Tasks[[#This Row],[_ShownFcstStart]],WorkWeek,Holidays),0)</f>
        <v>0</v>
      </c>
      <c r="EA100" s="38" t="n">
        <f aca="false">IF(AND(Tasks[[#This Row],[_IsLeaf]]=1,Tasks[[#This Row],[_LeafTotalWork]]&gt;0),MAX(Tasks[[#This Row],[_StartWorkday]],NETWORKDAYS.INTL(ProjectStart,Tasks[[#This Row],[_ShownFcstFinish]],WorkWeek,Holidays)),0)</f>
        <v>0</v>
      </c>
      <c r="EB100" s="38" t="n">
        <f aca="false">IF(AND(Tasks[[#This Row],[_IsLeaf]]=1,Tasks[[#This Row],[_LeafTotalWork]]&gt;0),Tasks[[#This Row],[_LeafWork]]/(Tasks[[#This Row],[_FinishWorkday]]-Tasks[[#This Row],[_StartWorkday]]+1),0)</f>
        <v>0</v>
      </c>
      <c r="EC100" s="38" t="n">
        <f aca="false">Tasks[[#This Row],[_WorkPerWorkday]]*(Tasks[[#This Row],[_StartWorkday]]-1)</f>
        <v>-0</v>
      </c>
      <c r="ED100" s="38" t="n">
        <f aca="false">IF(Tasks[[#This Row],[_IsLeaf]]=1,MAX(N(Tasks[[#This Row],[Duration]]),0.1),0)</f>
        <v>0</v>
      </c>
      <c r="EE100" s="38" t="n">
        <f aca="false">Tasks[[#This Row],[_WeightDur]]*Tasks[[#This Row],[_LeafProgress]]</f>
        <v>0</v>
      </c>
      <c r="EF10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0" s="38" t="str">
        <f aca="false">IF(AND(Tasks[[#This Row],[_IsLeaf]]=1,N(Tasks[[#This Row],[Duration]])=0,Tasks[[#This Row],[_LeafProgress]]&lt;1),Tasks[[#This Row],[_ShownFcstFinish]]+Tasks[[#This Row],[_Row]]/100000,"")</f>
        <v/>
      </c>
      <c r="EH10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0" s="38" t="n">
        <f aca="false">IF(NOT(Tasks[[#This Row],[_IsLeaf]]=1),0,IF(Tasks[[#This Row],[Baseline Cost]]="",Tasks[[#This Row],[_LeafTotalCost]],N(Tasks[[#This Row],[Baseline Cost]])))</f>
        <v>0</v>
      </c>
      <c r="EJ100" s="38" t="n">
        <f aca="false">Tasks[[#This Row],[_LeafBudget]]*Tasks[[#This Row],[_PlannedPct]]</f>
        <v>0</v>
      </c>
      <c r="EK100" s="38" t="n">
        <f aca="false">Tasks[[#This Row],[_LeafBudget]]*Tasks[[#This Row],[_LeafProgress]]</f>
        <v>0</v>
      </c>
      <c r="EL100" s="38" t="n">
        <f aca="false">IF(NOT(Tasks[[#This Row],[_IsLeaf]]=1),0,IF(Tasks[[#This Row],[Actual Cost]]="",Tasks[[#This Row],[_LeafTotalCost]]*Tasks[[#This Row],[_LeafProgress]],N(Tasks[[#This Row],[Actual Cost]])))</f>
        <v>0</v>
      </c>
      <c r="EM100" s="38" t="str">
        <f aca="false">IF(Tasks[[#This Row],[Task Name]]="","",LEFT(Tasks[[#This Row],[WBS]],FIND(".",Tasks[[#This Row],[WBS]]&amp;".")-1))</f>
        <v/>
      </c>
      <c r="EN100" s="38" t="str">
        <f aca="false">IF(AND(Tasks[[#This Row],[Task Name]]&lt;&gt;"",Tasks[[#This Row],[_Level]]=1),Tasks[[#This Row],[_Row]],"")</f>
        <v/>
      </c>
      <c r="EO100" s="38" t="str">
        <f aca="false">IF(AND(Tasks[[#This Row],[_IsLeaf]]=1,N(Tasks[[#This Row],[Duration]])=0),Tasks[[#This Row],[Planned Finish]]+Tasks[[#This Row],[_Row]]/100000,"")</f>
        <v/>
      </c>
      <c r="EP100" s="38" t="str">
        <f aca="false">IF(AND(Tasks[[#This Row],[_IsLeaf]]=1,Tasks[[#This Row],[_LeafProgress]]&lt;1,OR(N(Tasks[[#This Row],[Finish Var]])&gt;0,Tasks[[#This Row],[Status]]="Late Start")),MAX(0,Tasks[[#This Row],[Finish Var]])+1-Tasks[[#This Row],[_Row]]/1000000,"")</f>
        <v/>
      </c>
      <c r="EQ100" s="38" t="str">
        <f aca="false">IF(AND(Tasks[[#This Row],[_IsLeaf]]=1,N(Tasks[[#This Row],[Actual Start]])=0,Tasks[[#This Row],[_ShownFcstStart]]&gt;=StatusDate,Tasks[[#This Row],[_ShownFcstStart]]&lt;=LookaheadEnd),Tasks[[#This Row],[_ShownFcstStart]]+Tasks[[#This Row],[_Row]]/100000,"")</f>
        <v/>
      </c>
      <c r="ER100" s="38" t="str">
        <f aca="false">IF(AND(Tasks[[#This Row],[_IsLeaf]]=1,Tasks[[#This Row],[_LeafProgress]]&lt;1,Tasks[[#This Row],[_ShownFcstFinish]]&gt;=StatusDate,Tasks[[#This Row],[_ShownFcstFinish]]&lt;=LookaheadEnd),Tasks[[#This Row],[_ShownFcstFinish]]+Tasks[[#This Row],[_Row]]/100000,"")</f>
        <v/>
      </c>
      <c r="ES100" s="38" t="str">
        <f aca="false">IF(Tasks[[#This Row],[_LeafCritical]],Tasks[[#This Row],[_ShownFcstStart]]+Tasks[[#This Row],[_Row]]/100000,"")</f>
        <v/>
      </c>
      <c r="ET100" s="38" t="n">
        <f aca="false">Tasks[[#This Row],[_LeafWork]]*Tasks[[#This Row],[_LeafProgress]]</f>
        <v>0</v>
      </c>
      <c r="EU100" s="115" t="str">
        <f aca="false">IF(AND(Tasks[[#This Row],[_IsLeaf]]=1,Tasks[[#This Row],[_LeafProgress]]&gt;=1),IF(N(Tasks[[#This Row],[Actual Finish]])&gt;0,Tasks[[#This Row],[Actual Finish]],Tasks[[#This Row],[_ShownFcstFinish]]),"")</f>
        <v/>
      </c>
      <c r="EV100" s="38" t="n">
        <f aca="false">IF(Tasks[[#This Row],[_IsLeaf]]=1,N(Tasks[[#This Row],[Story Points]]),0)</f>
        <v>0</v>
      </c>
      <c r="EW100" s="38" t="str">
        <f aca="false">IF(AND(Tasks[[#This Row],[_IsLeaf]]=1,CurrentSprint&lt;&gt;"",Tasks[[#This Row],[Sprint]]=CurrentSprint),Tasks[[#This Row],[_Row]],"")</f>
        <v/>
      </c>
    </row>
    <row r="101" customFormat="false" ht="15" hidden="false" customHeight="false" outlineLevel="0" collapsed="false">
      <c r="A101" s="51" t="str">
        <f aca="false">IF(Tasks[[#This Row],[Task Name]]="","",COUNTA(Tasks[[#Headers],[Task Name]]:Tasks[[#This Row],[Task Name]])-1)</f>
        <v/>
      </c>
      <c r="B101" s="52" t="n">
        <v>96</v>
      </c>
      <c r="C10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52"/>
      <c r="E101" s="53"/>
      <c r="F101" s="52"/>
      <c r="G101" s="52"/>
      <c r="H101" s="52"/>
      <c r="I101" s="52"/>
      <c r="J101" s="52"/>
      <c r="K101" s="52"/>
      <c r="L101" s="52"/>
      <c r="M101" s="52"/>
      <c r="N101" s="52"/>
      <c r="O101" s="52"/>
      <c r="P101" s="52"/>
      <c r="Q101" s="52"/>
      <c r="R101" s="52"/>
      <c r="S101" s="53"/>
      <c r="T101" s="102"/>
      <c r="U101" s="102"/>
      <c r="V101" s="7"/>
      <c r="W101" s="7"/>
      <c r="X101" s="53"/>
      <c r="Y101" s="31" t="str">
        <f aca="false">IF(Tasks[[#This Row],[Task Name]]="","",IF(Tasks[[#This Row],[_IsSummary]],MIN(INDEX(Tasks[_ShownFcstStart],Tasks[[#This Row],[_Row]]+1):INDEX(Tasks[_ShownFcstStart],Tasks[[#This Row],[_Row]]+Tasks[[#This Row],[_Descendants]])),Tasks[[#This Row],[_ShownFcstStart]]))</f>
        <v/>
      </c>
      <c r="Z101" s="31" t="str">
        <f aca="false">IF(Tasks[[#This Row],[Task Name]]="","",IF(Tasks[[#This Row],[_IsSummary]],MAX(INDEX(Tasks[_ShownFcstFinish],Tasks[[#This Row],[_Row]]+1):INDEX(Tasks[_ShownFcstFinish],Tasks[[#This Row],[_Row]]+Tasks[[#This Row],[_Descendants]])),Tasks[[#This Row],[_ShownFcstFinish]]))</f>
        <v/>
      </c>
      <c r="AA101" s="51" t="str">
        <f aca="false">IF(Tasks[[#This Row],[Task Name]]="","",IF(Tasks[[#This Row],[Progress]]&gt;=1,"Complete",IF(OR(N(Tasks[[#This Row],[Actual Start]])&gt;0,Tasks[[#This Row],[Progress]]&gt;0),IF(Tasks[[#This Row],[Finish Var]]&gt;0,"Behind","In Progress"),IF(Tasks[[#This Row],[Planned Start]]&lt;StatusDate,"Late Start","Not Started"))))</f>
        <v/>
      </c>
      <c r="AB101" s="51" t="str">
        <f aca="false">IF(Tasks[[#This Row],[Task Name]]="","",IF(IF(Tasks[[#This Row],[_IsSummary]],COUNTIF(INDEX(Tasks[_LeafCritical],Tasks[[#This Row],[_Row]]+1):INDEX(Tasks[_LeafCritical],Tasks[[#This Row],[_Row]]+Tasks[[#This Row],[_Descendants]]),TRUE())&gt;0,Tasks[[#This Row],[_LeafCritical]]),"Yes",""))</f>
        <v/>
      </c>
      <c r="AC10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1" s="51" t="str">
        <f aca="false">IF(Tasks[[#This Row],[Task Name]]="","",IF(Tasks[[#This Row],[_Level]]&lt;=OutlineShowLevel,"Yes","No"))</f>
        <v/>
      </c>
      <c r="AE101" s="7"/>
      <c r="AF101" s="52"/>
      <c r="AG101" s="53"/>
      <c r="AH101" s="7"/>
      <c r="AI10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1" s="31" t="str">
        <f aca="false">IF(Tasks[[#This Row],[Task Name]]="","",IF(N(Tasks[[#This Row],[Baseline Start]])&gt;0,Tasks[[#This Row],[Baseline Start]],Tasks[[#This Row],[_CalcStart]]))</f>
        <v/>
      </c>
      <c r="AK101" s="31" t="str">
        <f aca="false">IF(Tasks[[#This Row],[Task Name]]="","",IF(N(Tasks[[#This Row],[Baseline Finish]])&gt;0,Tasks[[#This Row],[Baseline Finish]],Tasks[[#This Row],[_CalcFinish]]))</f>
        <v/>
      </c>
      <c r="AL10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1" s="31" t="str">
        <f aca="false">IF(Tasks[[#This Row],[Task Name]]="","",IF(Tasks[[#This Row],[_IsSummary]],MIN(INDEX(Tasks[_LeafLateStart],Tasks[[#This Row],[_Row]]+1):INDEX(Tasks[_LeafLateStart],Tasks[[#This Row],[_Row]]+Tasks[[#This Row],[_Descendants]])),Tasks[[#This Row],[_LeafLateStart]]))</f>
        <v/>
      </c>
      <c r="AN101" s="31" t="str">
        <f aca="false">IF(Tasks[[#This Row],[Task Name]]="","",IF(Tasks[[#This Row],[_IsSummary]],MAX(INDEX(Tasks[_LeafLateFinish],Tasks[[#This Row],[_Row]]+1):INDEX(Tasks[_LeafLateFinish],Tasks[[#This Row],[_Row]]+Tasks[[#This Row],[_Descendants]])),Tasks[[#This Row],[_LeafLateFinish]]))</f>
        <v/>
      </c>
      <c r="AO101" s="51" t="str">
        <f aca="false">IF(Tasks[[#This Row],[Task Name]]="","",IF(Tasks[[#This Row],[_IsSummary]],MIN(INDEX(Tasks[_LeafTotalSlack],Tasks[[#This Row],[_Row]]+1):INDEX(Tasks[_LeafTotalSlack],Tasks[[#This Row],[_Row]]+Tasks[[#This Row],[_Descendants]])),Tasks[[#This Row],[_LeafTotalSlack]]))</f>
        <v/>
      </c>
      <c r="AP10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1" s="110" t="str">
        <f aca="false">IF(Tasks[[#This Row],[Task Name]]="","",IF(Tasks[[#This Row],[_IsSummary]],SUM(INDEX(Tasks[_LeafTotalWork],Tasks[[#This Row],[_Row]]+1):INDEX(Tasks[_LeafTotalWork],Tasks[[#This Row],[_Row]]+Tasks[[#This Row],[_Descendants]])),Tasks[[#This Row],[_LeafTotalWork]]))</f>
        <v/>
      </c>
      <c r="AV10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1" s="111" t="str">
        <f aca="false">IF(Tasks[[#This Row],[Task Name]]="","",IF(Tasks[[#This Row],[_IsSummary]],SUM(INDEX(Tasks[_LeafTotalCost],Tasks[[#This Row],[_Row]]+1):INDEX(Tasks[_LeafTotalCost],Tasks[[#This Row],[_Row]]+Tasks[[#This Row],[_Descendants]])),Tasks[[#This Row],[_LeafTotalCost]]))</f>
        <v/>
      </c>
      <c r="AY101" s="112"/>
      <c r="AZ10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1" s="52"/>
      <c r="BB101" s="98"/>
      <c r="BC101" s="51" t="str">
        <f aca="false">IF(OR(Tasks[[#This Row],[Task Name]]="",Tasks[[#This Row],[Baseline Duration]]=""),"",Tasks[[#This Row],[BL Source Duration]]-N(Tasks[[#This Row],[Baseline Duration]]))</f>
        <v/>
      </c>
      <c r="BD101" s="110" t="str">
        <f aca="false">IF(OR(Tasks[[#This Row],[Task Name]]="",Tasks[[#This Row],[Baseline Work]]=""),"",Tasks[[#This Row],[Work]]-N(Tasks[[#This Row],[Baseline Work]]))</f>
        <v/>
      </c>
      <c r="BE101" s="111" t="str">
        <f aca="false">IF(OR(Tasks[[#This Row],[Task Name]]="",Tasks[[#This Row],[Baseline Cost]]=""),"",Tasks[[#This Row],[Cost]]-N(Tasks[[#This Row],[Baseline Cost]]))</f>
        <v/>
      </c>
      <c r="BF101" s="31" t="str">
        <f aca="false">IF(Tasks[[#This Row],[Task Name]]="","",Tasks[[#This Row],[Forecast Start]])</f>
        <v/>
      </c>
      <c r="BG101" s="31" t="str">
        <f aca="false">IF(Tasks[[#This Row],[Task Name]]="","",Tasks[[#This Row],[Forecast Finish]])</f>
        <v/>
      </c>
      <c r="BH101" s="51" t="str">
        <f aca="false">IF(Tasks[[#This Row],[Task Name]]="","",IF(Tasks[[#This Row],[_IsSummary]],NETWORKDAYS.INTL(Tasks[[#This Row],[Forecast Start]],Tasks[[#This Row],[Forecast Finish]],WorkWeek,Holidays),N(Tasks[[#This Row],[Duration]])))</f>
        <v/>
      </c>
      <c r="BI101" s="110" t="str">
        <f aca="false">IF(Tasks[[#This Row],[Task Name]]="","",Tasks[[#This Row],[Work]])</f>
        <v/>
      </c>
      <c r="BJ101" s="111" t="str">
        <f aca="false">IF(Tasks[[#This Row],[Task Name]]="","",Tasks[[#This Row],[Cost]])</f>
        <v/>
      </c>
      <c r="BK101" s="7"/>
      <c r="BL101" s="7"/>
      <c r="BM101" s="52"/>
      <c r="BN101" s="113"/>
      <c r="BO101" s="112"/>
      <c r="BP101" s="111" t="str">
        <f aca="false">IF(Tasks[[#This Row],[Task Name]]="","",IF(Tasks[[#This Row],[_IsSummary]],SUM(INDEX(Tasks[_LeafEV],Tasks[[#This Row],[_Row]]+1):INDEX(Tasks[_LeafEV],Tasks[[#This Row],[_Row]]+Tasks[[#This Row],[_Descendants]])),Tasks[[#This Row],[_LeafEV]]))</f>
        <v/>
      </c>
      <c r="BQ101" s="111" t="str">
        <f aca="false">IF(Tasks[[#This Row],[Task Name]]="","",IF(Tasks[[#This Row],[_IsSummary]],SUM(INDEX(Tasks[_LeafBudget],Tasks[[#This Row],[_Row]]+1):INDEX(Tasks[_LeafBudget],Tasks[[#This Row],[_Row]]+Tasks[[#This Row],[_Descendants]])),Tasks[[#This Row],[_LeafBudget]]))</f>
        <v/>
      </c>
      <c r="BR101" s="111" t="str">
        <f aca="false">IF(Tasks[[#This Row],[Task Name]]="","",IF(Tasks[[#This Row],[_IsSummary]],SUM(INDEX(Tasks[_LeafPV],Tasks[[#This Row],[_Row]]+1):INDEX(Tasks[_LeafPV],Tasks[[#This Row],[_Row]]+Tasks[[#This Row],[_Descendants]])),Tasks[[#This Row],[_LeafPV]]))</f>
        <v/>
      </c>
      <c r="BS101" s="111" t="str">
        <f aca="false">IF(Tasks[[#This Row],[Task Name]]="","",IF(Tasks[[#This Row],[_IsSummary]],SUM(INDEX(Tasks[_LeafAC],Tasks[[#This Row],[_Row]]+1):INDEX(Tasks[_LeafAC],Tasks[[#This Row],[_Row]]+Tasks[[#This Row],[_Descendants]])),Tasks[[#This Row],[_LeafAC]]))</f>
        <v/>
      </c>
      <c r="BT101" s="38" t="str">
        <f aca="false">IF(Tasks[[#This Row],[Task Name]]="","",MAX(1,N(Tasks[[#This Row],[Level]])))</f>
        <v/>
      </c>
      <c r="BU101" s="38" t="n">
        <f aca="false">ROW()-ROW(Tasks[[#Headers],[ID]])</f>
        <v>96</v>
      </c>
      <c r="BV101" s="38" t="n">
        <f aca="false">IF(OR(Tasks[[#This Row],[Task Name]]="",Tasks[[#This Row],[_Level]]&lt;=1),0,IFERROR(LOOKUP(2,1/(Tasks[[#Headers],[_Level]]:Tasks[[#This Row],[_Level]]=Tasks[[#This Row],[_Level]]-1),ROW(Tasks[[#Headers],[_Level]]:Tasks[[#This Row],[_Level]])),0))</f>
        <v>0</v>
      </c>
      <c r="BW101" s="38" t="n">
        <f aca="false">IFERROR(N(INDEX(Tasks[_Level],Tasks[[#This Row],[_Row]]+1)),0)</f>
        <v>0</v>
      </c>
      <c r="BX101" s="114" t="b">
        <f aca="false">AND(Tasks[[#This Row],[Task Name]]&lt;&gt;"",Tasks[[#This Row],[_NextLevel]]&gt;Tasks[[#This Row],[_Level]])</f>
        <v>0</v>
      </c>
      <c r="BY101" s="38" t="n">
        <f aca="false">IF(Tasks[[#This Row],[_IsSummary]],COUNTIF(Tasks[WBS],Tasks[[#This Row],[WBS]]&amp;".*"),0)</f>
        <v>0</v>
      </c>
      <c r="BZ101" s="38" t="n">
        <f aca="false">IF(AND(Tasks[[#This Row],[Task Name]]&lt;&gt;"",NOT(Tasks[[#This Row],[_IsSummary]])),1,0)</f>
        <v>0</v>
      </c>
      <c r="CA101" s="38" t="n">
        <f aca="false">IF(N(Tasks[[#This Row],[Pred1 UID]])=0,0,IFERROR(MATCH(Tasks[[#This Row],[Pred1 UID]],Tasks[UID],0),-1))</f>
        <v>0</v>
      </c>
      <c r="CB101" s="38" t="n">
        <f aca="false">IF(N(Tasks[[#This Row],[Pred2 UID]])=0,0,IFERROR(MATCH(Tasks[[#This Row],[Pred2 UID]],Tasks[UID],0),-1))</f>
        <v>0</v>
      </c>
      <c r="CC101" s="38" t="n">
        <f aca="false">IF(N(Tasks[[#This Row],[Pred3 UID]])=0,0,IFERROR(MATCH(Tasks[[#This Row],[Pred3 UID]],Tasks[UID],0),-1))</f>
        <v>0</v>
      </c>
      <c r="CD101" s="38" t="n">
        <f aca="false">IF(N(Tasks[[#This Row],[Pred4 UID]])=0,0,IFERROR(MATCH(Tasks[[#This Row],[Pred4 UID]],Tasks[UID],0),-1))</f>
        <v>0</v>
      </c>
      <c r="CE10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1" s="115" t="n">
        <f aca="false">IF(OR(Tasks[[#This Row],[_ConstraintCode]]=2,Tasks[[#This Row],[_ConstraintCode]]=3,Tasks[[#This Row],[_ConstraintCode]]=4,Tasks[[#This Row],[_ConstraintCode]]=6),Tasks[[#This Row],[_ConstraintStart]],0)</f>
        <v>0</v>
      </c>
      <c r="CH101" s="115" t="n">
        <f aca="false">IF(OR(Tasks[[#This Row],[_ConstraintCode]]=2,Tasks[[#This Row],[_ConstraintCode]]=3,Tasks[[#This Row],[_ConstraintCode]]=5,Tasks[[#This Row],[_ConstraintCode]]=7),Tasks[[#This Row],[_ConstraintStart]],2958465)</f>
        <v>2958465</v>
      </c>
      <c r="CI10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1" s="115" t="str">
        <f aca="false">IF(NOT(Tasks[[#This Row],[_IsLeaf]]=1),"",IF(N(Tasks[[#This Row],[Duration]])&lt;=0,Tasks[[#This Row],[_LeafCalcStart]],WORKDAY.INTL(Tasks[[#This Row],[_LeafCalcStart]],Tasks[[#This Row],[Duration]]-1,WorkWeek,Holidays)))</f>
        <v/>
      </c>
      <c r="CK10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1" s="38" t="n">
        <f aca="false">IF(NOT(Tasks[[#This Row],[_IsLeaf]]=1),0,IF(N(Tasks[[#This Row],[Actual Finish]])&gt;0,1,MIN(1,N(Tasks[[#This Row],[% Complete]]))))</f>
        <v>0</v>
      </c>
      <c r="CN101" s="38" t="n">
        <f aca="false">IF(OR(NOT(Tasks[[#This Row],[_IsLeaf]]=1),Tasks[[#This Row],[Resource]]=""),0,N(Tasks[[#This Row],[Duration]])*HoursPerDay*IF(Tasks[[#This Row],[Units]]="",DefaultUnits,Tasks[[#This Row],[Units]]))</f>
        <v>0</v>
      </c>
      <c r="CO101" s="38" t="n">
        <f aca="false">IF(Tasks[[#This Row],[_LeafWork]]=0,0,Tasks[[#This Row],[_LeafWork]]*IFERROR(INDEX(res_Rate,MATCH(Tasks[[#This Row],[Resource]],res_Name,0)),0))</f>
        <v>0</v>
      </c>
      <c r="CP101" s="38" t="n">
        <f aca="false">Tasks[[#This Row],[_LeafWork]]+IF(Tasks[[#This Row],[_IsLeaf]]=1,SUMIFS(asg_Work,asg_TaskUID,Tasks[[#This Row],[UID]],asg_Valid,1),0)</f>
        <v>0</v>
      </c>
      <c r="CQ101" s="38" t="n">
        <f aca="false">Tasks[[#This Row],[_LeafCost]]+IF(Tasks[[#This Row],[_IsLeaf]]=1,SUMIFS(asg_Cost,asg_TaskUID,Tasks[[#This Row],[UID]],asg_Valid,1),0)</f>
        <v>0</v>
      </c>
      <c r="CR101" s="38" t="n">
        <f aca="false">IF(Tasks[[#This Row],[_LeafTotalCost]]=0,Tasks[[#This Row],[_LeafAC]],Tasks[[#This Row],[_LeafAC]]*Tasks[[#This Row],[_LeafCost]]/Tasks[[#This Row],[_LeafTotalCost]])</f>
        <v>0</v>
      </c>
      <c r="CS10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1" s="38" t="n">
        <f aca="false">IF(NOT(Tasks[[#This Row],[_IsLeaf]]=1),0,MAX(_xlfn.MAXIFS(Tasks[_Row],Tasks[Pred1 UID],Tasks[[#This Row],[UID]]),_xlfn.MAXIFS(Tasks[_Row],Tasks[Pred2 UID],Tasks[[#This Row],[UID]]),_xlfn.MAXIFS(Tasks[_Row],Tasks[Pred3 UID],Tasks[[#This Row],[UID]]),_xlfn.MAXIFS(Tasks[_Row],Tasks[Pred4 UID],Tasks[[#This Row],[UID]])))</f>
        <v>0</v>
      </c>
      <c r="DB10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1" s="115" t="str">
        <f aca="false">IF(NOT(Tasks[[#This Row],[_IsLeaf]]=1),"",IF(N(Tasks[[#This Row],[Duration]])&lt;=0,Tasks[[#This Row],[_LeafLateFinish]],WORKDAY.INTL(Tasks[[#This Row],[_LeafLateFinish]],-(Tasks[[#This Row],[Duration]]-1),WorkWeek,Holidays)))</f>
        <v/>
      </c>
      <c r="DE10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1" s="114" t="b">
        <f aca="false">AND(Tasks[[#This Row],[_IsLeaf]]=1,Tasks[[#This Row],[_LeafProgress]]&lt;1,N(Tasks[[#This Row],[_LeafTotalSlack]])&lt;=CriticalSlackDays)</f>
        <v>0</v>
      </c>
      <c r="DG101" s="38" t="n">
        <f aca="false">IF(AND(Tasks[[#This Row],[_IsLeaf]]=1,Tasks[[#This Row],[_ConstraintCode]]=1,Tasks[[#This Row],[Mode]]&lt;&gt;"Manual",N(Tasks[[#This Row],[Actual Start]])=0),MAX(0,N(Tasks[[#This Row],[Free Slack]])),0)</f>
        <v>0</v>
      </c>
      <c r="DH101" s="115" t="str">
        <f aca="false">IF(NOT(Tasks[[#This Row],[_IsLeaf]]=1),"",IF(Tasks[[#This Row],[_AlapShift]]=0,Tasks[[#This Row],[_LeafCalcStart]],WORKDAY.INTL(Tasks[[#This Row],[_LeafCalcStart]],Tasks[[#This Row],[_AlapShift]],WorkWeek,Holidays)))</f>
        <v/>
      </c>
      <c r="DI101" s="115" t="str">
        <f aca="false">IF(NOT(Tasks[[#This Row],[_IsLeaf]]=1),"",IF(Tasks[[#This Row],[_AlapShift]]=0,Tasks[[#This Row],[_LeafCalcFinish]],WORKDAY.INTL(Tasks[[#This Row],[_LeafCalcFinish]],Tasks[[#This Row],[_AlapShift]],WorkWeek,Holidays)))</f>
        <v/>
      </c>
      <c r="DJ101" s="115" t="str">
        <f aca="false">IF(NOT(Tasks[[#This Row],[_IsLeaf]]=1),"",IF(Tasks[[#This Row],[_AlapShift]]=0,Tasks[[#This Row],[_LeafFcstStart]],WORKDAY.INTL(Tasks[[#This Row],[_LeafFcstStart]],Tasks[[#This Row],[_AlapShift]],WorkWeek,Holidays)))</f>
        <v/>
      </c>
      <c r="DK101" s="115" t="str">
        <f aca="false">IF(NOT(Tasks[[#This Row],[_IsLeaf]]=1),"",IF(Tasks[[#This Row],[_AlapShift]]=0,Tasks[[#This Row],[_LeafFcstFinish]],WORKDAY.INTL(Tasks[[#This Row],[_LeafFcstFinish]],Tasks[[#This Row],[_AlapShift]],WorkWeek,Holidays)))</f>
        <v/>
      </c>
      <c r="DL101" s="115" t="str">
        <f aca="false">IF(Tasks[[#This Row],[Task Name]]="","",IF(Tasks[[#This Row],[_IsSummary]],MIN(INDEX(Tasks[_ShownCalcStart],Tasks[[#This Row],[_Row]]+1):INDEX(Tasks[_ShownCalcStart],Tasks[[#This Row],[_Row]]+Tasks[[#This Row],[_Descendants]])),Tasks[[#This Row],[_ShownCalcStart]]))</f>
        <v/>
      </c>
      <c r="DM101" s="115" t="str">
        <f aca="false">IF(Tasks[[#This Row],[Task Name]]="","",IF(Tasks[[#This Row],[_IsSummary]],MAX(INDEX(Tasks[_ShownCalcFinish],Tasks[[#This Row],[_Row]]+1):INDEX(Tasks[_ShownCalcFinish],Tasks[[#This Row],[_Row]]+Tasks[[#This Row],[_Descendants]])),Tasks[[#This Row],[_ShownCalcFinish]]))</f>
        <v/>
      </c>
      <c r="DN10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1" s="38" t="n">
        <f aca="false">IF(AND(Tasks[[#This Row],[_IsLeaf]]=1,Tasks[[#This Row],[_LeafTotalWork]]&gt;0),NETWORKDAYS.INTL(ProjectStart,Tasks[[#This Row],[_ShownFcstStart]],WorkWeek,Holidays),0)</f>
        <v>0</v>
      </c>
      <c r="EA101" s="38" t="n">
        <f aca="false">IF(AND(Tasks[[#This Row],[_IsLeaf]]=1,Tasks[[#This Row],[_LeafTotalWork]]&gt;0),MAX(Tasks[[#This Row],[_StartWorkday]],NETWORKDAYS.INTL(ProjectStart,Tasks[[#This Row],[_ShownFcstFinish]],WorkWeek,Holidays)),0)</f>
        <v>0</v>
      </c>
      <c r="EB101" s="38" t="n">
        <f aca="false">IF(AND(Tasks[[#This Row],[_IsLeaf]]=1,Tasks[[#This Row],[_LeafTotalWork]]&gt;0),Tasks[[#This Row],[_LeafWork]]/(Tasks[[#This Row],[_FinishWorkday]]-Tasks[[#This Row],[_StartWorkday]]+1),0)</f>
        <v>0</v>
      </c>
      <c r="EC101" s="38" t="n">
        <f aca="false">Tasks[[#This Row],[_WorkPerWorkday]]*(Tasks[[#This Row],[_StartWorkday]]-1)</f>
        <v>-0</v>
      </c>
      <c r="ED101" s="38" t="n">
        <f aca="false">IF(Tasks[[#This Row],[_IsLeaf]]=1,MAX(N(Tasks[[#This Row],[Duration]]),0.1),0)</f>
        <v>0</v>
      </c>
      <c r="EE101" s="38" t="n">
        <f aca="false">Tasks[[#This Row],[_WeightDur]]*Tasks[[#This Row],[_LeafProgress]]</f>
        <v>0</v>
      </c>
      <c r="EF10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1" s="38" t="str">
        <f aca="false">IF(AND(Tasks[[#This Row],[_IsLeaf]]=1,N(Tasks[[#This Row],[Duration]])=0,Tasks[[#This Row],[_LeafProgress]]&lt;1),Tasks[[#This Row],[_ShownFcstFinish]]+Tasks[[#This Row],[_Row]]/100000,"")</f>
        <v/>
      </c>
      <c r="EH10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1" s="38" t="n">
        <f aca="false">IF(NOT(Tasks[[#This Row],[_IsLeaf]]=1),0,IF(Tasks[[#This Row],[Baseline Cost]]="",Tasks[[#This Row],[_LeafTotalCost]],N(Tasks[[#This Row],[Baseline Cost]])))</f>
        <v>0</v>
      </c>
      <c r="EJ101" s="38" t="n">
        <f aca="false">Tasks[[#This Row],[_LeafBudget]]*Tasks[[#This Row],[_PlannedPct]]</f>
        <v>0</v>
      </c>
      <c r="EK101" s="38" t="n">
        <f aca="false">Tasks[[#This Row],[_LeafBudget]]*Tasks[[#This Row],[_LeafProgress]]</f>
        <v>0</v>
      </c>
      <c r="EL101" s="38" t="n">
        <f aca="false">IF(NOT(Tasks[[#This Row],[_IsLeaf]]=1),0,IF(Tasks[[#This Row],[Actual Cost]]="",Tasks[[#This Row],[_LeafTotalCost]]*Tasks[[#This Row],[_LeafProgress]],N(Tasks[[#This Row],[Actual Cost]])))</f>
        <v>0</v>
      </c>
      <c r="EM101" s="38" t="str">
        <f aca="false">IF(Tasks[[#This Row],[Task Name]]="","",LEFT(Tasks[[#This Row],[WBS]],FIND(".",Tasks[[#This Row],[WBS]]&amp;".")-1))</f>
        <v/>
      </c>
      <c r="EN101" s="38" t="str">
        <f aca="false">IF(AND(Tasks[[#This Row],[Task Name]]&lt;&gt;"",Tasks[[#This Row],[_Level]]=1),Tasks[[#This Row],[_Row]],"")</f>
        <v/>
      </c>
      <c r="EO101" s="38" t="str">
        <f aca="false">IF(AND(Tasks[[#This Row],[_IsLeaf]]=1,N(Tasks[[#This Row],[Duration]])=0),Tasks[[#This Row],[Planned Finish]]+Tasks[[#This Row],[_Row]]/100000,"")</f>
        <v/>
      </c>
      <c r="EP101" s="38" t="str">
        <f aca="false">IF(AND(Tasks[[#This Row],[_IsLeaf]]=1,Tasks[[#This Row],[_LeafProgress]]&lt;1,OR(N(Tasks[[#This Row],[Finish Var]])&gt;0,Tasks[[#This Row],[Status]]="Late Start")),MAX(0,Tasks[[#This Row],[Finish Var]])+1-Tasks[[#This Row],[_Row]]/1000000,"")</f>
        <v/>
      </c>
      <c r="EQ101" s="38" t="str">
        <f aca="false">IF(AND(Tasks[[#This Row],[_IsLeaf]]=1,N(Tasks[[#This Row],[Actual Start]])=0,Tasks[[#This Row],[_ShownFcstStart]]&gt;=StatusDate,Tasks[[#This Row],[_ShownFcstStart]]&lt;=LookaheadEnd),Tasks[[#This Row],[_ShownFcstStart]]+Tasks[[#This Row],[_Row]]/100000,"")</f>
        <v/>
      </c>
      <c r="ER101" s="38" t="str">
        <f aca="false">IF(AND(Tasks[[#This Row],[_IsLeaf]]=1,Tasks[[#This Row],[_LeafProgress]]&lt;1,Tasks[[#This Row],[_ShownFcstFinish]]&gt;=StatusDate,Tasks[[#This Row],[_ShownFcstFinish]]&lt;=LookaheadEnd),Tasks[[#This Row],[_ShownFcstFinish]]+Tasks[[#This Row],[_Row]]/100000,"")</f>
        <v/>
      </c>
      <c r="ES101" s="38" t="str">
        <f aca="false">IF(Tasks[[#This Row],[_LeafCritical]],Tasks[[#This Row],[_ShownFcstStart]]+Tasks[[#This Row],[_Row]]/100000,"")</f>
        <v/>
      </c>
      <c r="ET101" s="38" t="n">
        <f aca="false">Tasks[[#This Row],[_LeafWork]]*Tasks[[#This Row],[_LeafProgress]]</f>
        <v>0</v>
      </c>
      <c r="EU101" s="115" t="str">
        <f aca="false">IF(AND(Tasks[[#This Row],[_IsLeaf]]=1,Tasks[[#This Row],[_LeafProgress]]&gt;=1),IF(N(Tasks[[#This Row],[Actual Finish]])&gt;0,Tasks[[#This Row],[Actual Finish]],Tasks[[#This Row],[_ShownFcstFinish]]),"")</f>
        <v/>
      </c>
      <c r="EV101" s="38" t="n">
        <f aca="false">IF(Tasks[[#This Row],[_IsLeaf]]=1,N(Tasks[[#This Row],[Story Points]]),0)</f>
        <v>0</v>
      </c>
      <c r="EW101" s="38" t="str">
        <f aca="false">IF(AND(Tasks[[#This Row],[_IsLeaf]]=1,CurrentSprint&lt;&gt;"",Tasks[[#This Row],[Sprint]]=CurrentSprint),Tasks[[#This Row],[_Row]],"")</f>
        <v/>
      </c>
    </row>
    <row r="102" customFormat="false" ht="15" hidden="false" customHeight="false" outlineLevel="0" collapsed="false">
      <c r="A102" s="51" t="str">
        <f aca="false">IF(Tasks[[#This Row],[Task Name]]="","",COUNTA(Tasks[[#Headers],[Task Name]]:Tasks[[#This Row],[Task Name]])-1)</f>
        <v/>
      </c>
      <c r="B102" s="52" t="n">
        <v>97</v>
      </c>
      <c r="C10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52"/>
      <c r="E102" s="53"/>
      <c r="F102" s="52"/>
      <c r="G102" s="52"/>
      <c r="H102" s="52"/>
      <c r="I102" s="52"/>
      <c r="J102" s="52"/>
      <c r="K102" s="52"/>
      <c r="L102" s="52"/>
      <c r="M102" s="52"/>
      <c r="N102" s="52"/>
      <c r="O102" s="52"/>
      <c r="P102" s="52"/>
      <c r="Q102" s="52"/>
      <c r="R102" s="52"/>
      <c r="S102" s="53"/>
      <c r="T102" s="102"/>
      <c r="U102" s="102"/>
      <c r="V102" s="7"/>
      <c r="W102" s="7"/>
      <c r="X102" s="53"/>
      <c r="Y102" s="31" t="str">
        <f aca="false">IF(Tasks[[#This Row],[Task Name]]="","",IF(Tasks[[#This Row],[_IsSummary]],MIN(INDEX(Tasks[_ShownFcstStart],Tasks[[#This Row],[_Row]]+1):INDEX(Tasks[_ShownFcstStart],Tasks[[#This Row],[_Row]]+Tasks[[#This Row],[_Descendants]])),Tasks[[#This Row],[_ShownFcstStart]]))</f>
        <v/>
      </c>
      <c r="Z102" s="31" t="str">
        <f aca="false">IF(Tasks[[#This Row],[Task Name]]="","",IF(Tasks[[#This Row],[_IsSummary]],MAX(INDEX(Tasks[_ShownFcstFinish],Tasks[[#This Row],[_Row]]+1):INDEX(Tasks[_ShownFcstFinish],Tasks[[#This Row],[_Row]]+Tasks[[#This Row],[_Descendants]])),Tasks[[#This Row],[_ShownFcstFinish]]))</f>
        <v/>
      </c>
      <c r="AA102" s="51" t="str">
        <f aca="false">IF(Tasks[[#This Row],[Task Name]]="","",IF(Tasks[[#This Row],[Progress]]&gt;=1,"Complete",IF(OR(N(Tasks[[#This Row],[Actual Start]])&gt;0,Tasks[[#This Row],[Progress]]&gt;0),IF(Tasks[[#This Row],[Finish Var]]&gt;0,"Behind","In Progress"),IF(Tasks[[#This Row],[Planned Start]]&lt;StatusDate,"Late Start","Not Started"))))</f>
        <v/>
      </c>
      <c r="AB102" s="51" t="str">
        <f aca="false">IF(Tasks[[#This Row],[Task Name]]="","",IF(IF(Tasks[[#This Row],[_IsSummary]],COUNTIF(INDEX(Tasks[_LeafCritical],Tasks[[#This Row],[_Row]]+1):INDEX(Tasks[_LeafCritical],Tasks[[#This Row],[_Row]]+Tasks[[#This Row],[_Descendants]]),TRUE())&gt;0,Tasks[[#This Row],[_LeafCritical]]),"Yes",""))</f>
        <v/>
      </c>
      <c r="AC10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2" s="51" t="str">
        <f aca="false">IF(Tasks[[#This Row],[Task Name]]="","",IF(Tasks[[#This Row],[_Level]]&lt;=OutlineShowLevel,"Yes","No"))</f>
        <v/>
      </c>
      <c r="AE102" s="7"/>
      <c r="AF102" s="52"/>
      <c r="AG102" s="53"/>
      <c r="AH102" s="7"/>
      <c r="AI10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2" s="31" t="str">
        <f aca="false">IF(Tasks[[#This Row],[Task Name]]="","",IF(N(Tasks[[#This Row],[Baseline Start]])&gt;0,Tasks[[#This Row],[Baseline Start]],Tasks[[#This Row],[_CalcStart]]))</f>
        <v/>
      </c>
      <c r="AK102" s="31" t="str">
        <f aca="false">IF(Tasks[[#This Row],[Task Name]]="","",IF(N(Tasks[[#This Row],[Baseline Finish]])&gt;0,Tasks[[#This Row],[Baseline Finish]],Tasks[[#This Row],[_CalcFinish]]))</f>
        <v/>
      </c>
      <c r="AL10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2" s="31" t="str">
        <f aca="false">IF(Tasks[[#This Row],[Task Name]]="","",IF(Tasks[[#This Row],[_IsSummary]],MIN(INDEX(Tasks[_LeafLateStart],Tasks[[#This Row],[_Row]]+1):INDEX(Tasks[_LeafLateStart],Tasks[[#This Row],[_Row]]+Tasks[[#This Row],[_Descendants]])),Tasks[[#This Row],[_LeafLateStart]]))</f>
        <v/>
      </c>
      <c r="AN102" s="31" t="str">
        <f aca="false">IF(Tasks[[#This Row],[Task Name]]="","",IF(Tasks[[#This Row],[_IsSummary]],MAX(INDEX(Tasks[_LeafLateFinish],Tasks[[#This Row],[_Row]]+1):INDEX(Tasks[_LeafLateFinish],Tasks[[#This Row],[_Row]]+Tasks[[#This Row],[_Descendants]])),Tasks[[#This Row],[_LeafLateFinish]]))</f>
        <v/>
      </c>
      <c r="AO102" s="51" t="str">
        <f aca="false">IF(Tasks[[#This Row],[Task Name]]="","",IF(Tasks[[#This Row],[_IsSummary]],MIN(INDEX(Tasks[_LeafTotalSlack],Tasks[[#This Row],[_Row]]+1):INDEX(Tasks[_LeafTotalSlack],Tasks[[#This Row],[_Row]]+Tasks[[#This Row],[_Descendants]])),Tasks[[#This Row],[_LeafTotalSlack]]))</f>
        <v/>
      </c>
      <c r="AP10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2" s="110" t="str">
        <f aca="false">IF(Tasks[[#This Row],[Task Name]]="","",IF(Tasks[[#This Row],[_IsSummary]],SUM(INDEX(Tasks[_LeafTotalWork],Tasks[[#This Row],[_Row]]+1):INDEX(Tasks[_LeafTotalWork],Tasks[[#This Row],[_Row]]+Tasks[[#This Row],[_Descendants]])),Tasks[[#This Row],[_LeafTotalWork]]))</f>
        <v/>
      </c>
      <c r="AV10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2" s="111" t="str">
        <f aca="false">IF(Tasks[[#This Row],[Task Name]]="","",IF(Tasks[[#This Row],[_IsSummary]],SUM(INDEX(Tasks[_LeafTotalCost],Tasks[[#This Row],[_Row]]+1):INDEX(Tasks[_LeafTotalCost],Tasks[[#This Row],[_Row]]+Tasks[[#This Row],[_Descendants]])),Tasks[[#This Row],[_LeafTotalCost]]))</f>
        <v/>
      </c>
      <c r="AY102" s="112"/>
      <c r="AZ10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2" s="52"/>
      <c r="BB102" s="98"/>
      <c r="BC102" s="51" t="str">
        <f aca="false">IF(OR(Tasks[[#This Row],[Task Name]]="",Tasks[[#This Row],[Baseline Duration]]=""),"",Tasks[[#This Row],[BL Source Duration]]-N(Tasks[[#This Row],[Baseline Duration]]))</f>
        <v/>
      </c>
      <c r="BD102" s="110" t="str">
        <f aca="false">IF(OR(Tasks[[#This Row],[Task Name]]="",Tasks[[#This Row],[Baseline Work]]=""),"",Tasks[[#This Row],[Work]]-N(Tasks[[#This Row],[Baseline Work]]))</f>
        <v/>
      </c>
      <c r="BE102" s="111" t="str">
        <f aca="false">IF(OR(Tasks[[#This Row],[Task Name]]="",Tasks[[#This Row],[Baseline Cost]]=""),"",Tasks[[#This Row],[Cost]]-N(Tasks[[#This Row],[Baseline Cost]]))</f>
        <v/>
      </c>
      <c r="BF102" s="31" t="str">
        <f aca="false">IF(Tasks[[#This Row],[Task Name]]="","",Tasks[[#This Row],[Forecast Start]])</f>
        <v/>
      </c>
      <c r="BG102" s="31" t="str">
        <f aca="false">IF(Tasks[[#This Row],[Task Name]]="","",Tasks[[#This Row],[Forecast Finish]])</f>
        <v/>
      </c>
      <c r="BH102" s="51" t="str">
        <f aca="false">IF(Tasks[[#This Row],[Task Name]]="","",IF(Tasks[[#This Row],[_IsSummary]],NETWORKDAYS.INTL(Tasks[[#This Row],[Forecast Start]],Tasks[[#This Row],[Forecast Finish]],WorkWeek,Holidays),N(Tasks[[#This Row],[Duration]])))</f>
        <v/>
      </c>
      <c r="BI102" s="110" t="str">
        <f aca="false">IF(Tasks[[#This Row],[Task Name]]="","",Tasks[[#This Row],[Work]])</f>
        <v/>
      </c>
      <c r="BJ102" s="111" t="str">
        <f aca="false">IF(Tasks[[#This Row],[Task Name]]="","",Tasks[[#This Row],[Cost]])</f>
        <v/>
      </c>
      <c r="BK102" s="7"/>
      <c r="BL102" s="7"/>
      <c r="BM102" s="52"/>
      <c r="BN102" s="113"/>
      <c r="BO102" s="112"/>
      <c r="BP102" s="111" t="str">
        <f aca="false">IF(Tasks[[#This Row],[Task Name]]="","",IF(Tasks[[#This Row],[_IsSummary]],SUM(INDEX(Tasks[_LeafEV],Tasks[[#This Row],[_Row]]+1):INDEX(Tasks[_LeafEV],Tasks[[#This Row],[_Row]]+Tasks[[#This Row],[_Descendants]])),Tasks[[#This Row],[_LeafEV]]))</f>
        <v/>
      </c>
      <c r="BQ102" s="111" t="str">
        <f aca="false">IF(Tasks[[#This Row],[Task Name]]="","",IF(Tasks[[#This Row],[_IsSummary]],SUM(INDEX(Tasks[_LeafBudget],Tasks[[#This Row],[_Row]]+1):INDEX(Tasks[_LeafBudget],Tasks[[#This Row],[_Row]]+Tasks[[#This Row],[_Descendants]])),Tasks[[#This Row],[_LeafBudget]]))</f>
        <v/>
      </c>
      <c r="BR102" s="111" t="str">
        <f aca="false">IF(Tasks[[#This Row],[Task Name]]="","",IF(Tasks[[#This Row],[_IsSummary]],SUM(INDEX(Tasks[_LeafPV],Tasks[[#This Row],[_Row]]+1):INDEX(Tasks[_LeafPV],Tasks[[#This Row],[_Row]]+Tasks[[#This Row],[_Descendants]])),Tasks[[#This Row],[_LeafPV]]))</f>
        <v/>
      </c>
      <c r="BS102" s="111" t="str">
        <f aca="false">IF(Tasks[[#This Row],[Task Name]]="","",IF(Tasks[[#This Row],[_IsSummary]],SUM(INDEX(Tasks[_LeafAC],Tasks[[#This Row],[_Row]]+1):INDEX(Tasks[_LeafAC],Tasks[[#This Row],[_Row]]+Tasks[[#This Row],[_Descendants]])),Tasks[[#This Row],[_LeafAC]]))</f>
        <v/>
      </c>
      <c r="BT102" s="38" t="str">
        <f aca="false">IF(Tasks[[#This Row],[Task Name]]="","",MAX(1,N(Tasks[[#This Row],[Level]])))</f>
        <v/>
      </c>
      <c r="BU102" s="38" t="n">
        <f aca="false">ROW()-ROW(Tasks[[#Headers],[ID]])</f>
        <v>97</v>
      </c>
      <c r="BV102" s="38" t="n">
        <f aca="false">IF(OR(Tasks[[#This Row],[Task Name]]="",Tasks[[#This Row],[_Level]]&lt;=1),0,IFERROR(LOOKUP(2,1/(Tasks[[#Headers],[_Level]]:Tasks[[#This Row],[_Level]]=Tasks[[#This Row],[_Level]]-1),ROW(Tasks[[#Headers],[_Level]]:Tasks[[#This Row],[_Level]])),0))</f>
        <v>0</v>
      </c>
      <c r="BW102" s="38" t="n">
        <f aca="false">IFERROR(N(INDEX(Tasks[_Level],Tasks[[#This Row],[_Row]]+1)),0)</f>
        <v>0</v>
      </c>
      <c r="BX102" s="114" t="b">
        <f aca="false">AND(Tasks[[#This Row],[Task Name]]&lt;&gt;"",Tasks[[#This Row],[_NextLevel]]&gt;Tasks[[#This Row],[_Level]])</f>
        <v>0</v>
      </c>
      <c r="BY102" s="38" t="n">
        <f aca="false">IF(Tasks[[#This Row],[_IsSummary]],COUNTIF(Tasks[WBS],Tasks[[#This Row],[WBS]]&amp;".*"),0)</f>
        <v>0</v>
      </c>
      <c r="BZ102" s="38" t="n">
        <f aca="false">IF(AND(Tasks[[#This Row],[Task Name]]&lt;&gt;"",NOT(Tasks[[#This Row],[_IsSummary]])),1,0)</f>
        <v>0</v>
      </c>
      <c r="CA102" s="38" t="n">
        <f aca="false">IF(N(Tasks[[#This Row],[Pred1 UID]])=0,0,IFERROR(MATCH(Tasks[[#This Row],[Pred1 UID]],Tasks[UID],0),-1))</f>
        <v>0</v>
      </c>
      <c r="CB102" s="38" t="n">
        <f aca="false">IF(N(Tasks[[#This Row],[Pred2 UID]])=0,0,IFERROR(MATCH(Tasks[[#This Row],[Pred2 UID]],Tasks[UID],0),-1))</f>
        <v>0</v>
      </c>
      <c r="CC102" s="38" t="n">
        <f aca="false">IF(N(Tasks[[#This Row],[Pred3 UID]])=0,0,IFERROR(MATCH(Tasks[[#This Row],[Pred3 UID]],Tasks[UID],0),-1))</f>
        <v>0</v>
      </c>
      <c r="CD102" s="38" t="n">
        <f aca="false">IF(N(Tasks[[#This Row],[Pred4 UID]])=0,0,IFERROR(MATCH(Tasks[[#This Row],[Pred4 UID]],Tasks[UID],0),-1))</f>
        <v>0</v>
      </c>
      <c r="CE10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2" s="115" t="n">
        <f aca="false">IF(OR(Tasks[[#This Row],[_ConstraintCode]]=2,Tasks[[#This Row],[_ConstraintCode]]=3,Tasks[[#This Row],[_ConstraintCode]]=4,Tasks[[#This Row],[_ConstraintCode]]=6),Tasks[[#This Row],[_ConstraintStart]],0)</f>
        <v>0</v>
      </c>
      <c r="CH102" s="115" t="n">
        <f aca="false">IF(OR(Tasks[[#This Row],[_ConstraintCode]]=2,Tasks[[#This Row],[_ConstraintCode]]=3,Tasks[[#This Row],[_ConstraintCode]]=5,Tasks[[#This Row],[_ConstraintCode]]=7),Tasks[[#This Row],[_ConstraintStart]],2958465)</f>
        <v>2958465</v>
      </c>
      <c r="CI10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2" s="115" t="str">
        <f aca="false">IF(NOT(Tasks[[#This Row],[_IsLeaf]]=1),"",IF(N(Tasks[[#This Row],[Duration]])&lt;=0,Tasks[[#This Row],[_LeafCalcStart]],WORKDAY.INTL(Tasks[[#This Row],[_LeafCalcStart]],Tasks[[#This Row],[Duration]]-1,WorkWeek,Holidays)))</f>
        <v/>
      </c>
      <c r="CK10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2" s="38" t="n">
        <f aca="false">IF(NOT(Tasks[[#This Row],[_IsLeaf]]=1),0,IF(N(Tasks[[#This Row],[Actual Finish]])&gt;0,1,MIN(1,N(Tasks[[#This Row],[% Complete]]))))</f>
        <v>0</v>
      </c>
      <c r="CN102" s="38" t="n">
        <f aca="false">IF(OR(NOT(Tasks[[#This Row],[_IsLeaf]]=1),Tasks[[#This Row],[Resource]]=""),0,N(Tasks[[#This Row],[Duration]])*HoursPerDay*IF(Tasks[[#This Row],[Units]]="",DefaultUnits,Tasks[[#This Row],[Units]]))</f>
        <v>0</v>
      </c>
      <c r="CO102" s="38" t="n">
        <f aca="false">IF(Tasks[[#This Row],[_LeafWork]]=0,0,Tasks[[#This Row],[_LeafWork]]*IFERROR(INDEX(res_Rate,MATCH(Tasks[[#This Row],[Resource]],res_Name,0)),0))</f>
        <v>0</v>
      </c>
      <c r="CP102" s="38" t="n">
        <f aca="false">Tasks[[#This Row],[_LeafWork]]+IF(Tasks[[#This Row],[_IsLeaf]]=1,SUMIFS(asg_Work,asg_TaskUID,Tasks[[#This Row],[UID]],asg_Valid,1),0)</f>
        <v>0</v>
      </c>
      <c r="CQ102" s="38" t="n">
        <f aca="false">Tasks[[#This Row],[_LeafCost]]+IF(Tasks[[#This Row],[_IsLeaf]]=1,SUMIFS(asg_Cost,asg_TaskUID,Tasks[[#This Row],[UID]],asg_Valid,1),0)</f>
        <v>0</v>
      </c>
      <c r="CR102" s="38" t="n">
        <f aca="false">IF(Tasks[[#This Row],[_LeafTotalCost]]=0,Tasks[[#This Row],[_LeafAC]],Tasks[[#This Row],[_LeafAC]]*Tasks[[#This Row],[_LeafCost]]/Tasks[[#This Row],[_LeafTotalCost]])</f>
        <v>0</v>
      </c>
      <c r="CS10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2" s="38" t="n">
        <f aca="false">IF(NOT(Tasks[[#This Row],[_IsLeaf]]=1),0,MAX(_xlfn.MAXIFS(Tasks[_Row],Tasks[Pred1 UID],Tasks[[#This Row],[UID]]),_xlfn.MAXIFS(Tasks[_Row],Tasks[Pred2 UID],Tasks[[#This Row],[UID]]),_xlfn.MAXIFS(Tasks[_Row],Tasks[Pred3 UID],Tasks[[#This Row],[UID]]),_xlfn.MAXIFS(Tasks[_Row],Tasks[Pred4 UID],Tasks[[#This Row],[UID]])))</f>
        <v>0</v>
      </c>
      <c r="DB10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2" s="115" t="str">
        <f aca="false">IF(NOT(Tasks[[#This Row],[_IsLeaf]]=1),"",IF(N(Tasks[[#This Row],[Duration]])&lt;=0,Tasks[[#This Row],[_LeafLateFinish]],WORKDAY.INTL(Tasks[[#This Row],[_LeafLateFinish]],-(Tasks[[#This Row],[Duration]]-1),WorkWeek,Holidays)))</f>
        <v/>
      </c>
      <c r="DE10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2" s="114" t="b">
        <f aca="false">AND(Tasks[[#This Row],[_IsLeaf]]=1,Tasks[[#This Row],[_LeafProgress]]&lt;1,N(Tasks[[#This Row],[_LeafTotalSlack]])&lt;=CriticalSlackDays)</f>
        <v>0</v>
      </c>
      <c r="DG102" s="38" t="n">
        <f aca="false">IF(AND(Tasks[[#This Row],[_IsLeaf]]=1,Tasks[[#This Row],[_ConstraintCode]]=1,Tasks[[#This Row],[Mode]]&lt;&gt;"Manual",N(Tasks[[#This Row],[Actual Start]])=0),MAX(0,N(Tasks[[#This Row],[Free Slack]])),0)</f>
        <v>0</v>
      </c>
      <c r="DH102" s="115" t="str">
        <f aca="false">IF(NOT(Tasks[[#This Row],[_IsLeaf]]=1),"",IF(Tasks[[#This Row],[_AlapShift]]=0,Tasks[[#This Row],[_LeafCalcStart]],WORKDAY.INTL(Tasks[[#This Row],[_LeafCalcStart]],Tasks[[#This Row],[_AlapShift]],WorkWeek,Holidays)))</f>
        <v/>
      </c>
      <c r="DI102" s="115" t="str">
        <f aca="false">IF(NOT(Tasks[[#This Row],[_IsLeaf]]=1),"",IF(Tasks[[#This Row],[_AlapShift]]=0,Tasks[[#This Row],[_LeafCalcFinish]],WORKDAY.INTL(Tasks[[#This Row],[_LeafCalcFinish]],Tasks[[#This Row],[_AlapShift]],WorkWeek,Holidays)))</f>
        <v/>
      </c>
      <c r="DJ102" s="115" t="str">
        <f aca="false">IF(NOT(Tasks[[#This Row],[_IsLeaf]]=1),"",IF(Tasks[[#This Row],[_AlapShift]]=0,Tasks[[#This Row],[_LeafFcstStart]],WORKDAY.INTL(Tasks[[#This Row],[_LeafFcstStart]],Tasks[[#This Row],[_AlapShift]],WorkWeek,Holidays)))</f>
        <v/>
      </c>
      <c r="DK102" s="115" t="str">
        <f aca="false">IF(NOT(Tasks[[#This Row],[_IsLeaf]]=1),"",IF(Tasks[[#This Row],[_AlapShift]]=0,Tasks[[#This Row],[_LeafFcstFinish]],WORKDAY.INTL(Tasks[[#This Row],[_LeafFcstFinish]],Tasks[[#This Row],[_AlapShift]],WorkWeek,Holidays)))</f>
        <v/>
      </c>
      <c r="DL102" s="115" t="str">
        <f aca="false">IF(Tasks[[#This Row],[Task Name]]="","",IF(Tasks[[#This Row],[_IsSummary]],MIN(INDEX(Tasks[_ShownCalcStart],Tasks[[#This Row],[_Row]]+1):INDEX(Tasks[_ShownCalcStart],Tasks[[#This Row],[_Row]]+Tasks[[#This Row],[_Descendants]])),Tasks[[#This Row],[_ShownCalcStart]]))</f>
        <v/>
      </c>
      <c r="DM102" s="115" t="str">
        <f aca="false">IF(Tasks[[#This Row],[Task Name]]="","",IF(Tasks[[#This Row],[_IsSummary]],MAX(INDEX(Tasks[_ShownCalcFinish],Tasks[[#This Row],[_Row]]+1):INDEX(Tasks[_ShownCalcFinish],Tasks[[#This Row],[_Row]]+Tasks[[#This Row],[_Descendants]])),Tasks[[#This Row],[_ShownCalcFinish]]))</f>
        <v/>
      </c>
      <c r="DN10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2" s="38" t="n">
        <f aca="false">IF(AND(Tasks[[#This Row],[_IsLeaf]]=1,Tasks[[#This Row],[_LeafTotalWork]]&gt;0),NETWORKDAYS.INTL(ProjectStart,Tasks[[#This Row],[_ShownFcstStart]],WorkWeek,Holidays),0)</f>
        <v>0</v>
      </c>
      <c r="EA102" s="38" t="n">
        <f aca="false">IF(AND(Tasks[[#This Row],[_IsLeaf]]=1,Tasks[[#This Row],[_LeafTotalWork]]&gt;0),MAX(Tasks[[#This Row],[_StartWorkday]],NETWORKDAYS.INTL(ProjectStart,Tasks[[#This Row],[_ShownFcstFinish]],WorkWeek,Holidays)),0)</f>
        <v>0</v>
      </c>
      <c r="EB102" s="38" t="n">
        <f aca="false">IF(AND(Tasks[[#This Row],[_IsLeaf]]=1,Tasks[[#This Row],[_LeafTotalWork]]&gt;0),Tasks[[#This Row],[_LeafWork]]/(Tasks[[#This Row],[_FinishWorkday]]-Tasks[[#This Row],[_StartWorkday]]+1),0)</f>
        <v>0</v>
      </c>
      <c r="EC102" s="38" t="n">
        <f aca="false">Tasks[[#This Row],[_WorkPerWorkday]]*(Tasks[[#This Row],[_StartWorkday]]-1)</f>
        <v>-0</v>
      </c>
      <c r="ED102" s="38" t="n">
        <f aca="false">IF(Tasks[[#This Row],[_IsLeaf]]=1,MAX(N(Tasks[[#This Row],[Duration]]),0.1),0)</f>
        <v>0</v>
      </c>
      <c r="EE102" s="38" t="n">
        <f aca="false">Tasks[[#This Row],[_WeightDur]]*Tasks[[#This Row],[_LeafProgress]]</f>
        <v>0</v>
      </c>
      <c r="EF10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2" s="38" t="str">
        <f aca="false">IF(AND(Tasks[[#This Row],[_IsLeaf]]=1,N(Tasks[[#This Row],[Duration]])=0,Tasks[[#This Row],[_LeafProgress]]&lt;1),Tasks[[#This Row],[_ShownFcstFinish]]+Tasks[[#This Row],[_Row]]/100000,"")</f>
        <v/>
      </c>
      <c r="EH10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2" s="38" t="n">
        <f aca="false">IF(NOT(Tasks[[#This Row],[_IsLeaf]]=1),0,IF(Tasks[[#This Row],[Baseline Cost]]="",Tasks[[#This Row],[_LeafTotalCost]],N(Tasks[[#This Row],[Baseline Cost]])))</f>
        <v>0</v>
      </c>
      <c r="EJ102" s="38" t="n">
        <f aca="false">Tasks[[#This Row],[_LeafBudget]]*Tasks[[#This Row],[_PlannedPct]]</f>
        <v>0</v>
      </c>
      <c r="EK102" s="38" t="n">
        <f aca="false">Tasks[[#This Row],[_LeafBudget]]*Tasks[[#This Row],[_LeafProgress]]</f>
        <v>0</v>
      </c>
      <c r="EL102" s="38" t="n">
        <f aca="false">IF(NOT(Tasks[[#This Row],[_IsLeaf]]=1),0,IF(Tasks[[#This Row],[Actual Cost]]="",Tasks[[#This Row],[_LeafTotalCost]]*Tasks[[#This Row],[_LeafProgress]],N(Tasks[[#This Row],[Actual Cost]])))</f>
        <v>0</v>
      </c>
      <c r="EM102" s="38" t="str">
        <f aca="false">IF(Tasks[[#This Row],[Task Name]]="","",LEFT(Tasks[[#This Row],[WBS]],FIND(".",Tasks[[#This Row],[WBS]]&amp;".")-1))</f>
        <v/>
      </c>
      <c r="EN102" s="38" t="str">
        <f aca="false">IF(AND(Tasks[[#This Row],[Task Name]]&lt;&gt;"",Tasks[[#This Row],[_Level]]=1),Tasks[[#This Row],[_Row]],"")</f>
        <v/>
      </c>
      <c r="EO102" s="38" t="str">
        <f aca="false">IF(AND(Tasks[[#This Row],[_IsLeaf]]=1,N(Tasks[[#This Row],[Duration]])=0),Tasks[[#This Row],[Planned Finish]]+Tasks[[#This Row],[_Row]]/100000,"")</f>
        <v/>
      </c>
      <c r="EP102" s="38" t="str">
        <f aca="false">IF(AND(Tasks[[#This Row],[_IsLeaf]]=1,Tasks[[#This Row],[_LeafProgress]]&lt;1,OR(N(Tasks[[#This Row],[Finish Var]])&gt;0,Tasks[[#This Row],[Status]]="Late Start")),MAX(0,Tasks[[#This Row],[Finish Var]])+1-Tasks[[#This Row],[_Row]]/1000000,"")</f>
        <v/>
      </c>
      <c r="EQ102" s="38" t="str">
        <f aca="false">IF(AND(Tasks[[#This Row],[_IsLeaf]]=1,N(Tasks[[#This Row],[Actual Start]])=0,Tasks[[#This Row],[_ShownFcstStart]]&gt;=StatusDate,Tasks[[#This Row],[_ShownFcstStart]]&lt;=LookaheadEnd),Tasks[[#This Row],[_ShownFcstStart]]+Tasks[[#This Row],[_Row]]/100000,"")</f>
        <v/>
      </c>
      <c r="ER102" s="38" t="str">
        <f aca="false">IF(AND(Tasks[[#This Row],[_IsLeaf]]=1,Tasks[[#This Row],[_LeafProgress]]&lt;1,Tasks[[#This Row],[_ShownFcstFinish]]&gt;=StatusDate,Tasks[[#This Row],[_ShownFcstFinish]]&lt;=LookaheadEnd),Tasks[[#This Row],[_ShownFcstFinish]]+Tasks[[#This Row],[_Row]]/100000,"")</f>
        <v/>
      </c>
      <c r="ES102" s="38" t="str">
        <f aca="false">IF(Tasks[[#This Row],[_LeafCritical]],Tasks[[#This Row],[_ShownFcstStart]]+Tasks[[#This Row],[_Row]]/100000,"")</f>
        <v/>
      </c>
      <c r="ET102" s="38" t="n">
        <f aca="false">Tasks[[#This Row],[_LeafWork]]*Tasks[[#This Row],[_LeafProgress]]</f>
        <v>0</v>
      </c>
      <c r="EU102" s="115" t="str">
        <f aca="false">IF(AND(Tasks[[#This Row],[_IsLeaf]]=1,Tasks[[#This Row],[_LeafProgress]]&gt;=1),IF(N(Tasks[[#This Row],[Actual Finish]])&gt;0,Tasks[[#This Row],[Actual Finish]],Tasks[[#This Row],[_ShownFcstFinish]]),"")</f>
        <v/>
      </c>
      <c r="EV102" s="38" t="n">
        <f aca="false">IF(Tasks[[#This Row],[_IsLeaf]]=1,N(Tasks[[#This Row],[Story Points]]),0)</f>
        <v>0</v>
      </c>
      <c r="EW102" s="38" t="str">
        <f aca="false">IF(AND(Tasks[[#This Row],[_IsLeaf]]=1,CurrentSprint&lt;&gt;"",Tasks[[#This Row],[Sprint]]=CurrentSprint),Tasks[[#This Row],[_Row]],"")</f>
        <v/>
      </c>
    </row>
    <row r="103" customFormat="false" ht="15" hidden="false" customHeight="false" outlineLevel="0" collapsed="false">
      <c r="A103" s="51" t="str">
        <f aca="false">IF(Tasks[[#This Row],[Task Name]]="","",COUNTA(Tasks[[#Headers],[Task Name]]:Tasks[[#This Row],[Task Name]])-1)</f>
        <v/>
      </c>
      <c r="B103" s="52" t="n">
        <v>98</v>
      </c>
      <c r="C10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52"/>
      <c r="E103" s="53"/>
      <c r="F103" s="52"/>
      <c r="G103" s="52"/>
      <c r="H103" s="52"/>
      <c r="I103" s="52"/>
      <c r="J103" s="52"/>
      <c r="K103" s="52"/>
      <c r="L103" s="52"/>
      <c r="M103" s="52"/>
      <c r="N103" s="52"/>
      <c r="O103" s="52"/>
      <c r="P103" s="52"/>
      <c r="Q103" s="52"/>
      <c r="R103" s="52"/>
      <c r="S103" s="53"/>
      <c r="T103" s="102"/>
      <c r="U103" s="102"/>
      <c r="V103" s="7"/>
      <c r="W103" s="7"/>
      <c r="X103" s="53"/>
      <c r="Y103" s="31" t="str">
        <f aca="false">IF(Tasks[[#This Row],[Task Name]]="","",IF(Tasks[[#This Row],[_IsSummary]],MIN(INDEX(Tasks[_ShownFcstStart],Tasks[[#This Row],[_Row]]+1):INDEX(Tasks[_ShownFcstStart],Tasks[[#This Row],[_Row]]+Tasks[[#This Row],[_Descendants]])),Tasks[[#This Row],[_ShownFcstStart]]))</f>
        <v/>
      </c>
      <c r="Z103" s="31" t="str">
        <f aca="false">IF(Tasks[[#This Row],[Task Name]]="","",IF(Tasks[[#This Row],[_IsSummary]],MAX(INDEX(Tasks[_ShownFcstFinish],Tasks[[#This Row],[_Row]]+1):INDEX(Tasks[_ShownFcstFinish],Tasks[[#This Row],[_Row]]+Tasks[[#This Row],[_Descendants]])),Tasks[[#This Row],[_ShownFcstFinish]]))</f>
        <v/>
      </c>
      <c r="AA103" s="51" t="str">
        <f aca="false">IF(Tasks[[#This Row],[Task Name]]="","",IF(Tasks[[#This Row],[Progress]]&gt;=1,"Complete",IF(OR(N(Tasks[[#This Row],[Actual Start]])&gt;0,Tasks[[#This Row],[Progress]]&gt;0),IF(Tasks[[#This Row],[Finish Var]]&gt;0,"Behind","In Progress"),IF(Tasks[[#This Row],[Planned Start]]&lt;StatusDate,"Late Start","Not Started"))))</f>
        <v/>
      </c>
      <c r="AB103" s="51" t="str">
        <f aca="false">IF(Tasks[[#This Row],[Task Name]]="","",IF(IF(Tasks[[#This Row],[_IsSummary]],COUNTIF(INDEX(Tasks[_LeafCritical],Tasks[[#This Row],[_Row]]+1):INDEX(Tasks[_LeafCritical],Tasks[[#This Row],[_Row]]+Tasks[[#This Row],[_Descendants]]),TRUE())&gt;0,Tasks[[#This Row],[_LeafCritical]]),"Yes",""))</f>
        <v/>
      </c>
      <c r="AC10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3" s="51" t="str">
        <f aca="false">IF(Tasks[[#This Row],[Task Name]]="","",IF(Tasks[[#This Row],[_Level]]&lt;=OutlineShowLevel,"Yes","No"))</f>
        <v/>
      </c>
      <c r="AE103" s="7"/>
      <c r="AF103" s="52"/>
      <c r="AG103" s="53"/>
      <c r="AH103" s="7"/>
      <c r="AI10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3" s="31" t="str">
        <f aca="false">IF(Tasks[[#This Row],[Task Name]]="","",IF(N(Tasks[[#This Row],[Baseline Start]])&gt;0,Tasks[[#This Row],[Baseline Start]],Tasks[[#This Row],[_CalcStart]]))</f>
        <v/>
      </c>
      <c r="AK103" s="31" t="str">
        <f aca="false">IF(Tasks[[#This Row],[Task Name]]="","",IF(N(Tasks[[#This Row],[Baseline Finish]])&gt;0,Tasks[[#This Row],[Baseline Finish]],Tasks[[#This Row],[_CalcFinish]]))</f>
        <v/>
      </c>
      <c r="AL10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3" s="31" t="str">
        <f aca="false">IF(Tasks[[#This Row],[Task Name]]="","",IF(Tasks[[#This Row],[_IsSummary]],MIN(INDEX(Tasks[_LeafLateStart],Tasks[[#This Row],[_Row]]+1):INDEX(Tasks[_LeafLateStart],Tasks[[#This Row],[_Row]]+Tasks[[#This Row],[_Descendants]])),Tasks[[#This Row],[_LeafLateStart]]))</f>
        <v/>
      </c>
      <c r="AN103" s="31" t="str">
        <f aca="false">IF(Tasks[[#This Row],[Task Name]]="","",IF(Tasks[[#This Row],[_IsSummary]],MAX(INDEX(Tasks[_LeafLateFinish],Tasks[[#This Row],[_Row]]+1):INDEX(Tasks[_LeafLateFinish],Tasks[[#This Row],[_Row]]+Tasks[[#This Row],[_Descendants]])),Tasks[[#This Row],[_LeafLateFinish]]))</f>
        <v/>
      </c>
      <c r="AO103" s="51" t="str">
        <f aca="false">IF(Tasks[[#This Row],[Task Name]]="","",IF(Tasks[[#This Row],[_IsSummary]],MIN(INDEX(Tasks[_LeafTotalSlack],Tasks[[#This Row],[_Row]]+1):INDEX(Tasks[_LeafTotalSlack],Tasks[[#This Row],[_Row]]+Tasks[[#This Row],[_Descendants]])),Tasks[[#This Row],[_LeafTotalSlack]]))</f>
        <v/>
      </c>
      <c r="AP10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3" s="110" t="str">
        <f aca="false">IF(Tasks[[#This Row],[Task Name]]="","",IF(Tasks[[#This Row],[_IsSummary]],SUM(INDEX(Tasks[_LeafTotalWork],Tasks[[#This Row],[_Row]]+1):INDEX(Tasks[_LeafTotalWork],Tasks[[#This Row],[_Row]]+Tasks[[#This Row],[_Descendants]])),Tasks[[#This Row],[_LeafTotalWork]]))</f>
        <v/>
      </c>
      <c r="AV10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3" s="111" t="str">
        <f aca="false">IF(Tasks[[#This Row],[Task Name]]="","",IF(Tasks[[#This Row],[_IsSummary]],SUM(INDEX(Tasks[_LeafTotalCost],Tasks[[#This Row],[_Row]]+1):INDEX(Tasks[_LeafTotalCost],Tasks[[#This Row],[_Row]]+Tasks[[#This Row],[_Descendants]])),Tasks[[#This Row],[_LeafTotalCost]]))</f>
        <v/>
      </c>
      <c r="AY103" s="112"/>
      <c r="AZ10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3" s="52"/>
      <c r="BB103" s="98"/>
      <c r="BC103" s="51" t="str">
        <f aca="false">IF(OR(Tasks[[#This Row],[Task Name]]="",Tasks[[#This Row],[Baseline Duration]]=""),"",Tasks[[#This Row],[BL Source Duration]]-N(Tasks[[#This Row],[Baseline Duration]]))</f>
        <v/>
      </c>
      <c r="BD103" s="110" t="str">
        <f aca="false">IF(OR(Tasks[[#This Row],[Task Name]]="",Tasks[[#This Row],[Baseline Work]]=""),"",Tasks[[#This Row],[Work]]-N(Tasks[[#This Row],[Baseline Work]]))</f>
        <v/>
      </c>
      <c r="BE103" s="111" t="str">
        <f aca="false">IF(OR(Tasks[[#This Row],[Task Name]]="",Tasks[[#This Row],[Baseline Cost]]=""),"",Tasks[[#This Row],[Cost]]-N(Tasks[[#This Row],[Baseline Cost]]))</f>
        <v/>
      </c>
      <c r="BF103" s="31" t="str">
        <f aca="false">IF(Tasks[[#This Row],[Task Name]]="","",Tasks[[#This Row],[Forecast Start]])</f>
        <v/>
      </c>
      <c r="BG103" s="31" t="str">
        <f aca="false">IF(Tasks[[#This Row],[Task Name]]="","",Tasks[[#This Row],[Forecast Finish]])</f>
        <v/>
      </c>
      <c r="BH103" s="51" t="str">
        <f aca="false">IF(Tasks[[#This Row],[Task Name]]="","",IF(Tasks[[#This Row],[_IsSummary]],NETWORKDAYS.INTL(Tasks[[#This Row],[Forecast Start]],Tasks[[#This Row],[Forecast Finish]],WorkWeek,Holidays),N(Tasks[[#This Row],[Duration]])))</f>
        <v/>
      </c>
      <c r="BI103" s="110" t="str">
        <f aca="false">IF(Tasks[[#This Row],[Task Name]]="","",Tasks[[#This Row],[Work]])</f>
        <v/>
      </c>
      <c r="BJ103" s="111" t="str">
        <f aca="false">IF(Tasks[[#This Row],[Task Name]]="","",Tasks[[#This Row],[Cost]])</f>
        <v/>
      </c>
      <c r="BK103" s="7"/>
      <c r="BL103" s="7"/>
      <c r="BM103" s="52"/>
      <c r="BN103" s="113"/>
      <c r="BO103" s="112"/>
      <c r="BP103" s="111" t="str">
        <f aca="false">IF(Tasks[[#This Row],[Task Name]]="","",IF(Tasks[[#This Row],[_IsSummary]],SUM(INDEX(Tasks[_LeafEV],Tasks[[#This Row],[_Row]]+1):INDEX(Tasks[_LeafEV],Tasks[[#This Row],[_Row]]+Tasks[[#This Row],[_Descendants]])),Tasks[[#This Row],[_LeafEV]]))</f>
        <v/>
      </c>
      <c r="BQ103" s="111" t="str">
        <f aca="false">IF(Tasks[[#This Row],[Task Name]]="","",IF(Tasks[[#This Row],[_IsSummary]],SUM(INDEX(Tasks[_LeafBudget],Tasks[[#This Row],[_Row]]+1):INDEX(Tasks[_LeafBudget],Tasks[[#This Row],[_Row]]+Tasks[[#This Row],[_Descendants]])),Tasks[[#This Row],[_LeafBudget]]))</f>
        <v/>
      </c>
      <c r="BR103" s="111" t="str">
        <f aca="false">IF(Tasks[[#This Row],[Task Name]]="","",IF(Tasks[[#This Row],[_IsSummary]],SUM(INDEX(Tasks[_LeafPV],Tasks[[#This Row],[_Row]]+1):INDEX(Tasks[_LeafPV],Tasks[[#This Row],[_Row]]+Tasks[[#This Row],[_Descendants]])),Tasks[[#This Row],[_LeafPV]]))</f>
        <v/>
      </c>
      <c r="BS103" s="111" t="str">
        <f aca="false">IF(Tasks[[#This Row],[Task Name]]="","",IF(Tasks[[#This Row],[_IsSummary]],SUM(INDEX(Tasks[_LeafAC],Tasks[[#This Row],[_Row]]+1):INDEX(Tasks[_LeafAC],Tasks[[#This Row],[_Row]]+Tasks[[#This Row],[_Descendants]])),Tasks[[#This Row],[_LeafAC]]))</f>
        <v/>
      </c>
      <c r="BT103" s="38" t="str">
        <f aca="false">IF(Tasks[[#This Row],[Task Name]]="","",MAX(1,N(Tasks[[#This Row],[Level]])))</f>
        <v/>
      </c>
      <c r="BU103" s="38" t="n">
        <f aca="false">ROW()-ROW(Tasks[[#Headers],[ID]])</f>
        <v>98</v>
      </c>
      <c r="BV103" s="38" t="n">
        <f aca="false">IF(OR(Tasks[[#This Row],[Task Name]]="",Tasks[[#This Row],[_Level]]&lt;=1),0,IFERROR(LOOKUP(2,1/(Tasks[[#Headers],[_Level]]:Tasks[[#This Row],[_Level]]=Tasks[[#This Row],[_Level]]-1),ROW(Tasks[[#Headers],[_Level]]:Tasks[[#This Row],[_Level]])),0))</f>
        <v>0</v>
      </c>
      <c r="BW103" s="38" t="n">
        <f aca="false">IFERROR(N(INDEX(Tasks[_Level],Tasks[[#This Row],[_Row]]+1)),0)</f>
        <v>0</v>
      </c>
      <c r="BX103" s="114" t="b">
        <f aca="false">AND(Tasks[[#This Row],[Task Name]]&lt;&gt;"",Tasks[[#This Row],[_NextLevel]]&gt;Tasks[[#This Row],[_Level]])</f>
        <v>0</v>
      </c>
      <c r="BY103" s="38" t="n">
        <f aca="false">IF(Tasks[[#This Row],[_IsSummary]],COUNTIF(Tasks[WBS],Tasks[[#This Row],[WBS]]&amp;".*"),0)</f>
        <v>0</v>
      </c>
      <c r="BZ103" s="38" t="n">
        <f aca="false">IF(AND(Tasks[[#This Row],[Task Name]]&lt;&gt;"",NOT(Tasks[[#This Row],[_IsSummary]])),1,0)</f>
        <v>0</v>
      </c>
      <c r="CA103" s="38" t="n">
        <f aca="false">IF(N(Tasks[[#This Row],[Pred1 UID]])=0,0,IFERROR(MATCH(Tasks[[#This Row],[Pred1 UID]],Tasks[UID],0),-1))</f>
        <v>0</v>
      </c>
      <c r="CB103" s="38" t="n">
        <f aca="false">IF(N(Tasks[[#This Row],[Pred2 UID]])=0,0,IFERROR(MATCH(Tasks[[#This Row],[Pred2 UID]],Tasks[UID],0),-1))</f>
        <v>0</v>
      </c>
      <c r="CC103" s="38" t="n">
        <f aca="false">IF(N(Tasks[[#This Row],[Pred3 UID]])=0,0,IFERROR(MATCH(Tasks[[#This Row],[Pred3 UID]],Tasks[UID],0),-1))</f>
        <v>0</v>
      </c>
      <c r="CD103" s="38" t="n">
        <f aca="false">IF(N(Tasks[[#This Row],[Pred4 UID]])=0,0,IFERROR(MATCH(Tasks[[#This Row],[Pred4 UID]],Tasks[UID],0),-1))</f>
        <v>0</v>
      </c>
      <c r="CE10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3" s="115" t="n">
        <f aca="false">IF(OR(Tasks[[#This Row],[_ConstraintCode]]=2,Tasks[[#This Row],[_ConstraintCode]]=3,Tasks[[#This Row],[_ConstraintCode]]=4,Tasks[[#This Row],[_ConstraintCode]]=6),Tasks[[#This Row],[_ConstraintStart]],0)</f>
        <v>0</v>
      </c>
      <c r="CH103" s="115" t="n">
        <f aca="false">IF(OR(Tasks[[#This Row],[_ConstraintCode]]=2,Tasks[[#This Row],[_ConstraintCode]]=3,Tasks[[#This Row],[_ConstraintCode]]=5,Tasks[[#This Row],[_ConstraintCode]]=7),Tasks[[#This Row],[_ConstraintStart]],2958465)</f>
        <v>2958465</v>
      </c>
      <c r="CI10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3" s="115" t="str">
        <f aca="false">IF(NOT(Tasks[[#This Row],[_IsLeaf]]=1),"",IF(N(Tasks[[#This Row],[Duration]])&lt;=0,Tasks[[#This Row],[_LeafCalcStart]],WORKDAY.INTL(Tasks[[#This Row],[_LeafCalcStart]],Tasks[[#This Row],[Duration]]-1,WorkWeek,Holidays)))</f>
        <v/>
      </c>
      <c r="CK10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3" s="38" t="n">
        <f aca="false">IF(NOT(Tasks[[#This Row],[_IsLeaf]]=1),0,IF(N(Tasks[[#This Row],[Actual Finish]])&gt;0,1,MIN(1,N(Tasks[[#This Row],[% Complete]]))))</f>
        <v>0</v>
      </c>
      <c r="CN103" s="38" t="n">
        <f aca="false">IF(OR(NOT(Tasks[[#This Row],[_IsLeaf]]=1),Tasks[[#This Row],[Resource]]=""),0,N(Tasks[[#This Row],[Duration]])*HoursPerDay*IF(Tasks[[#This Row],[Units]]="",DefaultUnits,Tasks[[#This Row],[Units]]))</f>
        <v>0</v>
      </c>
      <c r="CO103" s="38" t="n">
        <f aca="false">IF(Tasks[[#This Row],[_LeafWork]]=0,0,Tasks[[#This Row],[_LeafWork]]*IFERROR(INDEX(res_Rate,MATCH(Tasks[[#This Row],[Resource]],res_Name,0)),0))</f>
        <v>0</v>
      </c>
      <c r="CP103" s="38" t="n">
        <f aca="false">Tasks[[#This Row],[_LeafWork]]+IF(Tasks[[#This Row],[_IsLeaf]]=1,SUMIFS(asg_Work,asg_TaskUID,Tasks[[#This Row],[UID]],asg_Valid,1),0)</f>
        <v>0</v>
      </c>
      <c r="CQ103" s="38" t="n">
        <f aca="false">Tasks[[#This Row],[_LeafCost]]+IF(Tasks[[#This Row],[_IsLeaf]]=1,SUMIFS(asg_Cost,asg_TaskUID,Tasks[[#This Row],[UID]],asg_Valid,1),0)</f>
        <v>0</v>
      </c>
      <c r="CR103" s="38" t="n">
        <f aca="false">IF(Tasks[[#This Row],[_LeafTotalCost]]=0,Tasks[[#This Row],[_LeafAC]],Tasks[[#This Row],[_LeafAC]]*Tasks[[#This Row],[_LeafCost]]/Tasks[[#This Row],[_LeafTotalCost]])</f>
        <v>0</v>
      </c>
      <c r="CS10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3" s="38" t="n">
        <f aca="false">IF(NOT(Tasks[[#This Row],[_IsLeaf]]=1),0,MAX(_xlfn.MAXIFS(Tasks[_Row],Tasks[Pred1 UID],Tasks[[#This Row],[UID]]),_xlfn.MAXIFS(Tasks[_Row],Tasks[Pred2 UID],Tasks[[#This Row],[UID]]),_xlfn.MAXIFS(Tasks[_Row],Tasks[Pred3 UID],Tasks[[#This Row],[UID]]),_xlfn.MAXIFS(Tasks[_Row],Tasks[Pred4 UID],Tasks[[#This Row],[UID]])))</f>
        <v>0</v>
      </c>
      <c r="DB10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3" s="115" t="str">
        <f aca="false">IF(NOT(Tasks[[#This Row],[_IsLeaf]]=1),"",IF(N(Tasks[[#This Row],[Duration]])&lt;=0,Tasks[[#This Row],[_LeafLateFinish]],WORKDAY.INTL(Tasks[[#This Row],[_LeafLateFinish]],-(Tasks[[#This Row],[Duration]]-1),WorkWeek,Holidays)))</f>
        <v/>
      </c>
      <c r="DE10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3" s="114" t="b">
        <f aca="false">AND(Tasks[[#This Row],[_IsLeaf]]=1,Tasks[[#This Row],[_LeafProgress]]&lt;1,N(Tasks[[#This Row],[_LeafTotalSlack]])&lt;=CriticalSlackDays)</f>
        <v>0</v>
      </c>
      <c r="DG103" s="38" t="n">
        <f aca="false">IF(AND(Tasks[[#This Row],[_IsLeaf]]=1,Tasks[[#This Row],[_ConstraintCode]]=1,Tasks[[#This Row],[Mode]]&lt;&gt;"Manual",N(Tasks[[#This Row],[Actual Start]])=0),MAX(0,N(Tasks[[#This Row],[Free Slack]])),0)</f>
        <v>0</v>
      </c>
      <c r="DH103" s="115" t="str">
        <f aca="false">IF(NOT(Tasks[[#This Row],[_IsLeaf]]=1),"",IF(Tasks[[#This Row],[_AlapShift]]=0,Tasks[[#This Row],[_LeafCalcStart]],WORKDAY.INTL(Tasks[[#This Row],[_LeafCalcStart]],Tasks[[#This Row],[_AlapShift]],WorkWeek,Holidays)))</f>
        <v/>
      </c>
      <c r="DI103" s="115" t="str">
        <f aca="false">IF(NOT(Tasks[[#This Row],[_IsLeaf]]=1),"",IF(Tasks[[#This Row],[_AlapShift]]=0,Tasks[[#This Row],[_LeafCalcFinish]],WORKDAY.INTL(Tasks[[#This Row],[_LeafCalcFinish]],Tasks[[#This Row],[_AlapShift]],WorkWeek,Holidays)))</f>
        <v/>
      </c>
      <c r="DJ103" s="115" t="str">
        <f aca="false">IF(NOT(Tasks[[#This Row],[_IsLeaf]]=1),"",IF(Tasks[[#This Row],[_AlapShift]]=0,Tasks[[#This Row],[_LeafFcstStart]],WORKDAY.INTL(Tasks[[#This Row],[_LeafFcstStart]],Tasks[[#This Row],[_AlapShift]],WorkWeek,Holidays)))</f>
        <v/>
      </c>
      <c r="DK103" s="115" t="str">
        <f aca="false">IF(NOT(Tasks[[#This Row],[_IsLeaf]]=1),"",IF(Tasks[[#This Row],[_AlapShift]]=0,Tasks[[#This Row],[_LeafFcstFinish]],WORKDAY.INTL(Tasks[[#This Row],[_LeafFcstFinish]],Tasks[[#This Row],[_AlapShift]],WorkWeek,Holidays)))</f>
        <v/>
      </c>
      <c r="DL103" s="115" t="str">
        <f aca="false">IF(Tasks[[#This Row],[Task Name]]="","",IF(Tasks[[#This Row],[_IsSummary]],MIN(INDEX(Tasks[_ShownCalcStart],Tasks[[#This Row],[_Row]]+1):INDEX(Tasks[_ShownCalcStart],Tasks[[#This Row],[_Row]]+Tasks[[#This Row],[_Descendants]])),Tasks[[#This Row],[_ShownCalcStart]]))</f>
        <v/>
      </c>
      <c r="DM103" s="115" t="str">
        <f aca="false">IF(Tasks[[#This Row],[Task Name]]="","",IF(Tasks[[#This Row],[_IsSummary]],MAX(INDEX(Tasks[_ShownCalcFinish],Tasks[[#This Row],[_Row]]+1):INDEX(Tasks[_ShownCalcFinish],Tasks[[#This Row],[_Row]]+Tasks[[#This Row],[_Descendants]])),Tasks[[#This Row],[_ShownCalcFinish]]))</f>
        <v/>
      </c>
      <c r="DN10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3" s="38" t="n">
        <f aca="false">IF(AND(Tasks[[#This Row],[_IsLeaf]]=1,Tasks[[#This Row],[_LeafTotalWork]]&gt;0),NETWORKDAYS.INTL(ProjectStart,Tasks[[#This Row],[_ShownFcstStart]],WorkWeek,Holidays),0)</f>
        <v>0</v>
      </c>
      <c r="EA103" s="38" t="n">
        <f aca="false">IF(AND(Tasks[[#This Row],[_IsLeaf]]=1,Tasks[[#This Row],[_LeafTotalWork]]&gt;0),MAX(Tasks[[#This Row],[_StartWorkday]],NETWORKDAYS.INTL(ProjectStart,Tasks[[#This Row],[_ShownFcstFinish]],WorkWeek,Holidays)),0)</f>
        <v>0</v>
      </c>
      <c r="EB103" s="38" t="n">
        <f aca="false">IF(AND(Tasks[[#This Row],[_IsLeaf]]=1,Tasks[[#This Row],[_LeafTotalWork]]&gt;0),Tasks[[#This Row],[_LeafWork]]/(Tasks[[#This Row],[_FinishWorkday]]-Tasks[[#This Row],[_StartWorkday]]+1),0)</f>
        <v>0</v>
      </c>
      <c r="EC103" s="38" t="n">
        <f aca="false">Tasks[[#This Row],[_WorkPerWorkday]]*(Tasks[[#This Row],[_StartWorkday]]-1)</f>
        <v>-0</v>
      </c>
      <c r="ED103" s="38" t="n">
        <f aca="false">IF(Tasks[[#This Row],[_IsLeaf]]=1,MAX(N(Tasks[[#This Row],[Duration]]),0.1),0)</f>
        <v>0</v>
      </c>
      <c r="EE103" s="38" t="n">
        <f aca="false">Tasks[[#This Row],[_WeightDur]]*Tasks[[#This Row],[_LeafProgress]]</f>
        <v>0</v>
      </c>
      <c r="EF10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3" s="38" t="str">
        <f aca="false">IF(AND(Tasks[[#This Row],[_IsLeaf]]=1,N(Tasks[[#This Row],[Duration]])=0,Tasks[[#This Row],[_LeafProgress]]&lt;1),Tasks[[#This Row],[_ShownFcstFinish]]+Tasks[[#This Row],[_Row]]/100000,"")</f>
        <v/>
      </c>
      <c r="EH10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3" s="38" t="n">
        <f aca="false">IF(NOT(Tasks[[#This Row],[_IsLeaf]]=1),0,IF(Tasks[[#This Row],[Baseline Cost]]="",Tasks[[#This Row],[_LeafTotalCost]],N(Tasks[[#This Row],[Baseline Cost]])))</f>
        <v>0</v>
      </c>
      <c r="EJ103" s="38" t="n">
        <f aca="false">Tasks[[#This Row],[_LeafBudget]]*Tasks[[#This Row],[_PlannedPct]]</f>
        <v>0</v>
      </c>
      <c r="EK103" s="38" t="n">
        <f aca="false">Tasks[[#This Row],[_LeafBudget]]*Tasks[[#This Row],[_LeafProgress]]</f>
        <v>0</v>
      </c>
      <c r="EL103" s="38" t="n">
        <f aca="false">IF(NOT(Tasks[[#This Row],[_IsLeaf]]=1),0,IF(Tasks[[#This Row],[Actual Cost]]="",Tasks[[#This Row],[_LeafTotalCost]]*Tasks[[#This Row],[_LeafProgress]],N(Tasks[[#This Row],[Actual Cost]])))</f>
        <v>0</v>
      </c>
      <c r="EM103" s="38" t="str">
        <f aca="false">IF(Tasks[[#This Row],[Task Name]]="","",LEFT(Tasks[[#This Row],[WBS]],FIND(".",Tasks[[#This Row],[WBS]]&amp;".")-1))</f>
        <v/>
      </c>
      <c r="EN103" s="38" t="str">
        <f aca="false">IF(AND(Tasks[[#This Row],[Task Name]]&lt;&gt;"",Tasks[[#This Row],[_Level]]=1),Tasks[[#This Row],[_Row]],"")</f>
        <v/>
      </c>
      <c r="EO103" s="38" t="str">
        <f aca="false">IF(AND(Tasks[[#This Row],[_IsLeaf]]=1,N(Tasks[[#This Row],[Duration]])=0),Tasks[[#This Row],[Planned Finish]]+Tasks[[#This Row],[_Row]]/100000,"")</f>
        <v/>
      </c>
      <c r="EP103" s="38" t="str">
        <f aca="false">IF(AND(Tasks[[#This Row],[_IsLeaf]]=1,Tasks[[#This Row],[_LeafProgress]]&lt;1,OR(N(Tasks[[#This Row],[Finish Var]])&gt;0,Tasks[[#This Row],[Status]]="Late Start")),MAX(0,Tasks[[#This Row],[Finish Var]])+1-Tasks[[#This Row],[_Row]]/1000000,"")</f>
        <v/>
      </c>
      <c r="EQ103" s="38" t="str">
        <f aca="false">IF(AND(Tasks[[#This Row],[_IsLeaf]]=1,N(Tasks[[#This Row],[Actual Start]])=0,Tasks[[#This Row],[_ShownFcstStart]]&gt;=StatusDate,Tasks[[#This Row],[_ShownFcstStart]]&lt;=LookaheadEnd),Tasks[[#This Row],[_ShownFcstStart]]+Tasks[[#This Row],[_Row]]/100000,"")</f>
        <v/>
      </c>
      <c r="ER103" s="38" t="str">
        <f aca="false">IF(AND(Tasks[[#This Row],[_IsLeaf]]=1,Tasks[[#This Row],[_LeafProgress]]&lt;1,Tasks[[#This Row],[_ShownFcstFinish]]&gt;=StatusDate,Tasks[[#This Row],[_ShownFcstFinish]]&lt;=LookaheadEnd),Tasks[[#This Row],[_ShownFcstFinish]]+Tasks[[#This Row],[_Row]]/100000,"")</f>
        <v/>
      </c>
      <c r="ES103" s="38" t="str">
        <f aca="false">IF(Tasks[[#This Row],[_LeafCritical]],Tasks[[#This Row],[_ShownFcstStart]]+Tasks[[#This Row],[_Row]]/100000,"")</f>
        <v/>
      </c>
      <c r="ET103" s="38" t="n">
        <f aca="false">Tasks[[#This Row],[_LeafWork]]*Tasks[[#This Row],[_LeafProgress]]</f>
        <v>0</v>
      </c>
      <c r="EU103" s="115" t="str">
        <f aca="false">IF(AND(Tasks[[#This Row],[_IsLeaf]]=1,Tasks[[#This Row],[_LeafProgress]]&gt;=1),IF(N(Tasks[[#This Row],[Actual Finish]])&gt;0,Tasks[[#This Row],[Actual Finish]],Tasks[[#This Row],[_ShownFcstFinish]]),"")</f>
        <v/>
      </c>
      <c r="EV103" s="38" t="n">
        <f aca="false">IF(Tasks[[#This Row],[_IsLeaf]]=1,N(Tasks[[#This Row],[Story Points]]),0)</f>
        <v>0</v>
      </c>
      <c r="EW103" s="38" t="str">
        <f aca="false">IF(AND(Tasks[[#This Row],[_IsLeaf]]=1,CurrentSprint&lt;&gt;"",Tasks[[#This Row],[Sprint]]=CurrentSprint),Tasks[[#This Row],[_Row]],"")</f>
        <v/>
      </c>
    </row>
    <row r="104" customFormat="false" ht="15" hidden="false" customHeight="false" outlineLevel="0" collapsed="false">
      <c r="A104" s="51" t="str">
        <f aca="false">IF(Tasks[[#This Row],[Task Name]]="","",COUNTA(Tasks[[#Headers],[Task Name]]:Tasks[[#This Row],[Task Name]])-1)</f>
        <v/>
      </c>
      <c r="B104" s="52" t="n">
        <v>99</v>
      </c>
      <c r="C10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52"/>
      <c r="E104" s="53"/>
      <c r="F104" s="52"/>
      <c r="G104" s="52"/>
      <c r="H104" s="52"/>
      <c r="I104" s="52"/>
      <c r="J104" s="52"/>
      <c r="K104" s="52"/>
      <c r="L104" s="52"/>
      <c r="M104" s="52"/>
      <c r="N104" s="52"/>
      <c r="O104" s="52"/>
      <c r="P104" s="52"/>
      <c r="Q104" s="52"/>
      <c r="R104" s="52"/>
      <c r="S104" s="53"/>
      <c r="T104" s="102"/>
      <c r="U104" s="102"/>
      <c r="V104" s="7"/>
      <c r="W104" s="7"/>
      <c r="X104" s="53"/>
      <c r="Y104" s="31" t="str">
        <f aca="false">IF(Tasks[[#This Row],[Task Name]]="","",IF(Tasks[[#This Row],[_IsSummary]],MIN(INDEX(Tasks[_ShownFcstStart],Tasks[[#This Row],[_Row]]+1):INDEX(Tasks[_ShownFcstStart],Tasks[[#This Row],[_Row]]+Tasks[[#This Row],[_Descendants]])),Tasks[[#This Row],[_ShownFcstStart]]))</f>
        <v/>
      </c>
      <c r="Z104" s="31" t="str">
        <f aca="false">IF(Tasks[[#This Row],[Task Name]]="","",IF(Tasks[[#This Row],[_IsSummary]],MAX(INDEX(Tasks[_ShownFcstFinish],Tasks[[#This Row],[_Row]]+1):INDEX(Tasks[_ShownFcstFinish],Tasks[[#This Row],[_Row]]+Tasks[[#This Row],[_Descendants]])),Tasks[[#This Row],[_ShownFcstFinish]]))</f>
        <v/>
      </c>
      <c r="AA104" s="51" t="str">
        <f aca="false">IF(Tasks[[#This Row],[Task Name]]="","",IF(Tasks[[#This Row],[Progress]]&gt;=1,"Complete",IF(OR(N(Tasks[[#This Row],[Actual Start]])&gt;0,Tasks[[#This Row],[Progress]]&gt;0),IF(Tasks[[#This Row],[Finish Var]]&gt;0,"Behind","In Progress"),IF(Tasks[[#This Row],[Planned Start]]&lt;StatusDate,"Late Start","Not Started"))))</f>
        <v/>
      </c>
      <c r="AB104" s="51" t="str">
        <f aca="false">IF(Tasks[[#This Row],[Task Name]]="","",IF(IF(Tasks[[#This Row],[_IsSummary]],COUNTIF(INDEX(Tasks[_LeafCritical],Tasks[[#This Row],[_Row]]+1):INDEX(Tasks[_LeafCritical],Tasks[[#This Row],[_Row]]+Tasks[[#This Row],[_Descendants]]),TRUE())&gt;0,Tasks[[#This Row],[_LeafCritical]]),"Yes",""))</f>
        <v/>
      </c>
      <c r="AC10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4" s="51" t="str">
        <f aca="false">IF(Tasks[[#This Row],[Task Name]]="","",IF(Tasks[[#This Row],[_Level]]&lt;=OutlineShowLevel,"Yes","No"))</f>
        <v/>
      </c>
      <c r="AE104" s="7"/>
      <c r="AF104" s="52"/>
      <c r="AG104" s="53"/>
      <c r="AH104" s="7"/>
      <c r="AI10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4" s="31" t="str">
        <f aca="false">IF(Tasks[[#This Row],[Task Name]]="","",IF(N(Tasks[[#This Row],[Baseline Start]])&gt;0,Tasks[[#This Row],[Baseline Start]],Tasks[[#This Row],[_CalcStart]]))</f>
        <v/>
      </c>
      <c r="AK104" s="31" t="str">
        <f aca="false">IF(Tasks[[#This Row],[Task Name]]="","",IF(N(Tasks[[#This Row],[Baseline Finish]])&gt;0,Tasks[[#This Row],[Baseline Finish]],Tasks[[#This Row],[_CalcFinish]]))</f>
        <v/>
      </c>
      <c r="AL10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4" s="31" t="str">
        <f aca="false">IF(Tasks[[#This Row],[Task Name]]="","",IF(Tasks[[#This Row],[_IsSummary]],MIN(INDEX(Tasks[_LeafLateStart],Tasks[[#This Row],[_Row]]+1):INDEX(Tasks[_LeafLateStart],Tasks[[#This Row],[_Row]]+Tasks[[#This Row],[_Descendants]])),Tasks[[#This Row],[_LeafLateStart]]))</f>
        <v/>
      </c>
      <c r="AN104" s="31" t="str">
        <f aca="false">IF(Tasks[[#This Row],[Task Name]]="","",IF(Tasks[[#This Row],[_IsSummary]],MAX(INDEX(Tasks[_LeafLateFinish],Tasks[[#This Row],[_Row]]+1):INDEX(Tasks[_LeafLateFinish],Tasks[[#This Row],[_Row]]+Tasks[[#This Row],[_Descendants]])),Tasks[[#This Row],[_LeafLateFinish]]))</f>
        <v/>
      </c>
      <c r="AO104" s="51" t="str">
        <f aca="false">IF(Tasks[[#This Row],[Task Name]]="","",IF(Tasks[[#This Row],[_IsSummary]],MIN(INDEX(Tasks[_LeafTotalSlack],Tasks[[#This Row],[_Row]]+1):INDEX(Tasks[_LeafTotalSlack],Tasks[[#This Row],[_Row]]+Tasks[[#This Row],[_Descendants]])),Tasks[[#This Row],[_LeafTotalSlack]]))</f>
        <v/>
      </c>
      <c r="AP10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4" s="110" t="str">
        <f aca="false">IF(Tasks[[#This Row],[Task Name]]="","",IF(Tasks[[#This Row],[_IsSummary]],SUM(INDEX(Tasks[_LeafTotalWork],Tasks[[#This Row],[_Row]]+1):INDEX(Tasks[_LeafTotalWork],Tasks[[#This Row],[_Row]]+Tasks[[#This Row],[_Descendants]])),Tasks[[#This Row],[_LeafTotalWork]]))</f>
        <v/>
      </c>
      <c r="AV10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4" s="111" t="str">
        <f aca="false">IF(Tasks[[#This Row],[Task Name]]="","",IF(Tasks[[#This Row],[_IsSummary]],SUM(INDEX(Tasks[_LeafTotalCost],Tasks[[#This Row],[_Row]]+1):INDEX(Tasks[_LeafTotalCost],Tasks[[#This Row],[_Row]]+Tasks[[#This Row],[_Descendants]])),Tasks[[#This Row],[_LeafTotalCost]]))</f>
        <v/>
      </c>
      <c r="AY104" s="112"/>
      <c r="AZ10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4" s="52"/>
      <c r="BB104" s="98"/>
      <c r="BC104" s="51" t="str">
        <f aca="false">IF(OR(Tasks[[#This Row],[Task Name]]="",Tasks[[#This Row],[Baseline Duration]]=""),"",Tasks[[#This Row],[BL Source Duration]]-N(Tasks[[#This Row],[Baseline Duration]]))</f>
        <v/>
      </c>
      <c r="BD104" s="110" t="str">
        <f aca="false">IF(OR(Tasks[[#This Row],[Task Name]]="",Tasks[[#This Row],[Baseline Work]]=""),"",Tasks[[#This Row],[Work]]-N(Tasks[[#This Row],[Baseline Work]]))</f>
        <v/>
      </c>
      <c r="BE104" s="111" t="str">
        <f aca="false">IF(OR(Tasks[[#This Row],[Task Name]]="",Tasks[[#This Row],[Baseline Cost]]=""),"",Tasks[[#This Row],[Cost]]-N(Tasks[[#This Row],[Baseline Cost]]))</f>
        <v/>
      </c>
      <c r="BF104" s="31" t="str">
        <f aca="false">IF(Tasks[[#This Row],[Task Name]]="","",Tasks[[#This Row],[Forecast Start]])</f>
        <v/>
      </c>
      <c r="BG104" s="31" t="str">
        <f aca="false">IF(Tasks[[#This Row],[Task Name]]="","",Tasks[[#This Row],[Forecast Finish]])</f>
        <v/>
      </c>
      <c r="BH104" s="51" t="str">
        <f aca="false">IF(Tasks[[#This Row],[Task Name]]="","",IF(Tasks[[#This Row],[_IsSummary]],NETWORKDAYS.INTL(Tasks[[#This Row],[Forecast Start]],Tasks[[#This Row],[Forecast Finish]],WorkWeek,Holidays),N(Tasks[[#This Row],[Duration]])))</f>
        <v/>
      </c>
      <c r="BI104" s="110" t="str">
        <f aca="false">IF(Tasks[[#This Row],[Task Name]]="","",Tasks[[#This Row],[Work]])</f>
        <v/>
      </c>
      <c r="BJ104" s="111" t="str">
        <f aca="false">IF(Tasks[[#This Row],[Task Name]]="","",Tasks[[#This Row],[Cost]])</f>
        <v/>
      </c>
      <c r="BK104" s="7"/>
      <c r="BL104" s="7"/>
      <c r="BM104" s="52"/>
      <c r="BN104" s="113"/>
      <c r="BO104" s="112"/>
      <c r="BP104" s="111" t="str">
        <f aca="false">IF(Tasks[[#This Row],[Task Name]]="","",IF(Tasks[[#This Row],[_IsSummary]],SUM(INDEX(Tasks[_LeafEV],Tasks[[#This Row],[_Row]]+1):INDEX(Tasks[_LeafEV],Tasks[[#This Row],[_Row]]+Tasks[[#This Row],[_Descendants]])),Tasks[[#This Row],[_LeafEV]]))</f>
        <v/>
      </c>
      <c r="BQ104" s="111" t="str">
        <f aca="false">IF(Tasks[[#This Row],[Task Name]]="","",IF(Tasks[[#This Row],[_IsSummary]],SUM(INDEX(Tasks[_LeafBudget],Tasks[[#This Row],[_Row]]+1):INDEX(Tasks[_LeafBudget],Tasks[[#This Row],[_Row]]+Tasks[[#This Row],[_Descendants]])),Tasks[[#This Row],[_LeafBudget]]))</f>
        <v/>
      </c>
      <c r="BR104" s="111" t="str">
        <f aca="false">IF(Tasks[[#This Row],[Task Name]]="","",IF(Tasks[[#This Row],[_IsSummary]],SUM(INDEX(Tasks[_LeafPV],Tasks[[#This Row],[_Row]]+1):INDEX(Tasks[_LeafPV],Tasks[[#This Row],[_Row]]+Tasks[[#This Row],[_Descendants]])),Tasks[[#This Row],[_LeafPV]]))</f>
        <v/>
      </c>
      <c r="BS104" s="111" t="str">
        <f aca="false">IF(Tasks[[#This Row],[Task Name]]="","",IF(Tasks[[#This Row],[_IsSummary]],SUM(INDEX(Tasks[_LeafAC],Tasks[[#This Row],[_Row]]+1):INDEX(Tasks[_LeafAC],Tasks[[#This Row],[_Row]]+Tasks[[#This Row],[_Descendants]])),Tasks[[#This Row],[_LeafAC]]))</f>
        <v/>
      </c>
      <c r="BT104" s="38" t="str">
        <f aca="false">IF(Tasks[[#This Row],[Task Name]]="","",MAX(1,N(Tasks[[#This Row],[Level]])))</f>
        <v/>
      </c>
      <c r="BU104" s="38" t="n">
        <f aca="false">ROW()-ROW(Tasks[[#Headers],[ID]])</f>
        <v>99</v>
      </c>
      <c r="BV104" s="38" t="n">
        <f aca="false">IF(OR(Tasks[[#This Row],[Task Name]]="",Tasks[[#This Row],[_Level]]&lt;=1),0,IFERROR(LOOKUP(2,1/(Tasks[[#Headers],[_Level]]:Tasks[[#This Row],[_Level]]=Tasks[[#This Row],[_Level]]-1),ROW(Tasks[[#Headers],[_Level]]:Tasks[[#This Row],[_Level]])),0))</f>
        <v>0</v>
      </c>
      <c r="BW104" s="38" t="n">
        <f aca="false">IFERROR(N(INDEX(Tasks[_Level],Tasks[[#This Row],[_Row]]+1)),0)</f>
        <v>0</v>
      </c>
      <c r="BX104" s="114" t="b">
        <f aca="false">AND(Tasks[[#This Row],[Task Name]]&lt;&gt;"",Tasks[[#This Row],[_NextLevel]]&gt;Tasks[[#This Row],[_Level]])</f>
        <v>0</v>
      </c>
      <c r="BY104" s="38" t="n">
        <f aca="false">IF(Tasks[[#This Row],[_IsSummary]],COUNTIF(Tasks[WBS],Tasks[[#This Row],[WBS]]&amp;".*"),0)</f>
        <v>0</v>
      </c>
      <c r="BZ104" s="38" t="n">
        <f aca="false">IF(AND(Tasks[[#This Row],[Task Name]]&lt;&gt;"",NOT(Tasks[[#This Row],[_IsSummary]])),1,0)</f>
        <v>0</v>
      </c>
      <c r="CA104" s="38" t="n">
        <f aca="false">IF(N(Tasks[[#This Row],[Pred1 UID]])=0,0,IFERROR(MATCH(Tasks[[#This Row],[Pred1 UID]],Tasks[UID],0),-1))</f>
        <v>0</v>
      </c>
      <c r="CB104" s="38" t="n">
        <f aca="false">IF(N(Tasks[[#This Row],[Pred2 UID]])=0,0,IFERROR(MATCH(Tasks[[#This Row],[Pred2 UID]],Tasks[UID],0),-1))</f>
        <v>0</v>
      </c>
      <c r="CC104" s="38" t="n">
        <f aca="false">IF(N(Tasks[[#This Row],[Pred3 UID]])=0,0,IFERROR(MATCH(Tasks[[#This Row],[Pred3 UID]],Tasks[UID],0),-1))</f>
        <v>0</v>
      </c>
      <c r="CD104" s="38" t="n">
        <f aca="false">IF(N(Tasks[[#This Row],[Pred4 UID]])=0,0,IFERROR(MATCH(Tasks[[#This Row],[Pred4 UID]],Tasks[UID],0),-1))</f>
        <v>0</v>
      </c>
      <c r="CE10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4" s="115" t="n">
        <f aca="false">IF(OR(Tasks[[#This Row],[_ConstraintCode]]=2,Tasks[[#This Row],[_ConstraintCode]]=3,Tasks[[#This Row],[_ConstraintCode]]=4,Tasks[[#This Row],[_ConstraintCode]]=6),Tasks[[#This Row],[_ConstraintStart]],0)</f>
        <v>0</v>
      </c>
      <c r="CH104" s="115" t="n">
        <f aca="false">IF(OR(Tasks[[#This Row],[_ConstraintCode]]=2,Tasks[[#This Row],[_ConstraintCode]]=3,Tasks[[#This Row],[_ConstraintCode]]=5,Tasks[[#This Row],[_ConstraintCode]]=7),Tasks[[#This Row],[_ConstraintStart]],2958465)</f>
        <v>2958465</v>
      </c>
      <c r="CI10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4" s="115" t="str">
        <f aca="false">IF(NOT(Tasks[[#This Row],[_IsLeaf]]=1),"",IF(N(Tasks[[#This Row],[Duration]])&lt;=0,Tasks[[#This Row],[_LeafCalcStart]],WORKDAY.INTL(Tasks[[#This Row],[_LeafCalcStart]],Tasks[[#This Row],[Duration]]-1,WorkWeek,Holidays)))</f>
        <v/>
      </c>
      <c r="CK10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4" s="38" t="n">
        <f aca="false">IF(NOT(Tasks[[#This Row],[_IsLeaf]]=1),0,IF(N(Tasks[[#This Row],[Actual Finish]])&gt;0,1,MIN(1,N(Tasks[[#This Row],[% Complete]]))))</f>
        <v>0</v>
      </c>
      <c r="CN104" s="38" t="n">
        <f aca="false">IF(OR(NOT(Tasks[[#This Row],[_IsLeaf]]=1),Tasks[[#This Row],[Resource]]=""),0,N(Tasks[[#This Row],[Duration]])*HoursPerDay*IF(Tasks[[#This Row],[Units]]="",DefaultUnits,Tasks[[#This Row],[Units]]))</f>
        <v>0</v>
      </c>
      <c r="CO104" s="38" t="n">
        <f aca="false">IF(Tasks[[#This Row],[_LeafWork]]=0,0,Tasks[[#This Row],[_LeafWork]]*IFERROR(INDEX(res_Rate,MATCH(Tasks[[#This Row],[Resource]],res_Name,0)),0))</f>
        <v>0</v>
      </c>
      <c r="CP104" s="38" t="n">
        <f aca="false">Tasks[[#This Row],[_LeafWork]]+IF(Tasks[[#This Row],[_IsLeaf]]=1,SUMIFS(asg_Work,asg_TaskUID,Tasks[[#This Row],[UID]],asg_Valid,1),0)</f>
        <v>0</v>
      </c>
      <c r="CQ104" s="38" t="n">
        <f aca="false">Tasks[[#This Row],[_LeafCost]]+IF(Tasks[[#This Row],[_IsLeaf]]=1,SUMIFS(asg_Cost,asg_TaskUID,Tasks[[#This Row],[UID]],asg_Valid,1),0)</f>
        <v>0</v>
      </c>
      <c r="CR104" s="38" t="n">
        <f aca="false">IF(Tasks[[#This Row],[_LeafTotalCost]]=0,Tasks[[#This Row],[_LeafAC]],Tasks[[#This Row],[_LeafAC]]*Tasks[[#This Row],[_LeafCost]]/Tasks[[#This Row],[_LeafTotalCost]])</f>
        <v>0</v>
      </c>
      <c r="CS10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4" s="38" t="n">
        <f aca="false">IF(NOT(Tasks[[#This Row],[_IsLeaf]]=1),0,MAX(_xlfn.MAXIFS(Tasks[_Row],Tasks[Pred1 UID],Tasks[[#This Row],[UID]]),_xlfn.MAXIFS(Tasks[_Row],Tasks[Pred2 UID],Tasks[[#This Row],[UID]]),_xlfn.MAXIFS(Tasks[_Row],Tasks[Pred3 UID],Tasks[[#This Row],[UID]]),_xlfn.MAXIFS(Tasks[_Row],Tasks[Pred4 UID],Tasks[[#This Row],[UID]])))</f>
        <v>0</v>
      </c>
      <c r="DB10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4" s="115" t="str">
        <f aca="false">IF(NOT(Tasks[[#This Row],[_IsLeaf]]=1),"",IF(N(Tasks[[#This Row],[Duration]])&lt;=0,Tasks[[#This Row],[_LeafLateFinish]],WORKDAY.INTL(Tasks[[#This Row],[_LeafLateFinish]],-(Tasks[[#This Row],[Duration]]-1),WorkWeek,Holidays)))</f>
        <v/>
      </c>
      <c r="DE10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4" s="114" t="b">
        <f aca="false">AND(Tasks[[#This Row],[_IsLeaf]]=1,Tasks[[#This Row],[_LeafProgress]]&lt;1,N(Tasks[[#This Row],[_LeafTotalSlack]])&lt;=CriticalSlackDays)</f>
        <v>0</v>
      </c>
      <c r="DG104" s="38" t="n">
        <f aca="false">IF(AND(Tasks[[#This Row],[_IsLeaf]]=1,Tasks[[#This Row],[_ConstraintCode]]=1,Tasks[[#This Row],[Mode]]&lt;&gt;"Manual",N(Tasks[[#This Row],[Actual Start]])=0),MAX(0,N(Tasks[[#This Row],[Free Slack]])),0)</f>
        <v>0</v>
      </c>
      <c r="DH104" s="115" t="str">
        <f aca="false">IF(NOT(Tasks[[#This Row],[_IsLeaf]]=1),"",IF(Tasks[[#This Row],[_AlapShift]]=0,Tasks[[#This Row],[_LeafCalcStart]],WORKDAY.INTL(Tasks[[#This Row],[_LeafCalcStart]],Tasks[[#This Row],[_AlapShift]],WorkWeek,Holidays)))</f>
        <v/>
      </c>
      <c r="DI104" s="115" t="str">
        <f aca="false">IF(NOT(Tasks[[#This Row],[_IsLeaf]]=1),"",IF(Tasks[[#This Row],[_AlapShift]]=0,Tasks[[#This Row],[_LeafCalcFinish]],WORKDAY.INTL(Tasks[[#This Row],[_LeafCalcFinish]],Tasks[[#This Row],[_AlapShift]],WorkWeek,Holidays)))</f>
        <v/>
      </c>
      <c r="DJ104" s="115" t="str">
        <f aca="false">IF(NOT(Tasks[[#This Row],[_IsLeaf]]=1),"",IF(Tasks[[#This Row],[_AlapShift]]=0,Tasks[[#This Row],[_LeafFcstStart]],WORKDAY.INTL(Tasks[[#This Row],[_LeafFcstStart]],Tasks[[#This Row],[_AlapShift]],WorkWeek,Holidays)))</f>
        <v/>
      </c>
      <c r="DK104" s="115" t="str">
        <f aca="false">IF(NOT(Tasks[[#This Row],[_IsLeaf]]=1),"",IF(Tasks[[#This Row],[_AlapShift]]=0,Tasks[[#This Row],[_LeafFcstFinish]],WORKDAY.INTL(Tasks[[#This Row],[_LeafFcstFinish]],Tasks[[#This Row],[_AlapShift]],WorkWeek,Holidays)))</f>
        <v/>
      </c>
      <c r="DL104" s="115" t="str">
        <f aca="false">IF(Tasks[[#This Row],[Task Name]]="","",IF(Tasks[[#This Row],[_IsSummary]],MIN(INDEX(Tasks[_ShownCalcStart],Tasks[[#This Row],[_Row]]+1):INDEX(Tasks[_ShownCalcStart],Tasks[[#This Row],[_Row]]+Tasks[[#This Row],[_Descendants]])),Tasks[[#This Row],[_ShownCalcStart]]))</f>
        <v/>
      </c>
      <c r="DM104" s="115" t="str">
        <f aca="false">IF(Tasks[[#This Row],[Task Name]]="","",IF(Tasks[[#This Row],[_IsSummary]],MAX(INDEX(Tasks[_ShownCalcFinish],Tasks[[#This Row],[_Row]]+1):INDEX(Tasks[_ShownCalcFinish],Tasks[[#This Row],[_Row]]+Tasks[[#This Row],[_Descendants]])),Tasks[[#This Row],[_ShownCalcFinish]]))</f>
        <v/>
      </c>
      <c r="DN10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4" s="38" t="n">
        <f aca="false">IF(AND(Tasks[[#This Row],[_IsLeaf]]=1,Tasks[[#This Row],[_LeafTotalWork]]&gt;0),NETWORKDAYS.INTL(ProjectStart,Tasks[[#This Row],[_ShownFcstStart]],WorkWeek,Holidays),0)</f>
        <v>0</v>
      </c>
      <c r="EA104" s="38" t="n">
        <f aca="false">IF(AND(Tasks[[#This Row],[_IsLeaf]]=1,Tasks[[#This Row],[_LeafTotalWork]]&gt;0),MAX(Tasks[[#This Row],[_StartWorkday]],NETWORKDAYS.INTL(ProjectStart,Tasks[[#This Row],[_ShownFcstFinish]],WorkWeek,Holidays)),0)</f>
        <v>0</v>
      </c>
      <c r="EB104" s="38" t="n">
        <f aca="false">IF(AND(Tasks[[#This Row],[_IsLeaf]]=1,Tasks[[#This Row],[_LeafTotalWork]]&gt;0),Tasks[[#This Row],[_LeafWork]]/(Tasks[[#This Row],[_FinishWorkday]]-Tasks[[#This Row],[_StartWorkday]]+1),0)</f>
        <v>0</v>
      </c>
      <c r="EC104" s="38" t="n">
        <f aca="false">Tasks[[#This Row],[_WorkPerWorkday]]*(Tasks[[#This Row],[_StartWorkday]]-1)</f>
        <v>-0</v>
      </c>
      <c r="ED104" s="38" t="n">
        <f aca="false">IF(Tasks[[#This Row],[_IsLeaf]]=1,MAX(N(Tasks[[#This Row],[Duration]]),0.1),0)</f>
        <v>0</v>
      </c>
      <c r="EE104" s="38" t="n">
        <f aca="false">Tasks[[#This Row],[_WeightDur]]*Tasks[[#This Row],[_LeafProgress]]</f>
        <v>0</v>
      </c>
      <c r="EF10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4" s="38" t="str">
        <f aca="false">IF(AND(Tasks[[#This Row],[_IsLeaf]]=1,N(Tasks[[#This Row],[Duration]])=0,Tasks[[#This Row],[_LeafProgress]]&lt;1),Tasks[[#This Row],[_ShownFcstFinish]]+Tasks[[#This Row],[_Row]]/100000,"")</f>
        <v/>
      </c>
      <c r="EH10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4" s="38" t="n">
        <f aca="false">IF(NOT(Tasks[[#This Row],[_IsLeaf]]=1),0,IF(Tasks[[#This Row],[Baseline Cost]]="",Tasks[[#This Row],[_LeafTotalCost]],N(Tasks[[#This Row],[Baseline Cost]])))</f>
        <v>0</v>
      </c>
      <c r="EJ104" s="38" t="n">
        <f aca="false">Tasks[[#This Row],[_LeafBudget]]*Tasks[[#This Row],[_PlannedPct]]</f>
        <v>0</v>
      </c>
      <c r="EK104" s="38" t="n">
        <f aca="false">Tasks[[#This Row],[_LeafBudget]]*Tasks[[#This Row],[_LeafProgress]]</f>
        <v>0</v>
      </c>
      <c r="EL104" s="38" t="n">
        <f aca="false">IF(NOT(Tasks[[#This Row],[_IsLeaf]]=1),0,IF(Tasks[[#This Row],[Actual Cost]]="",Tasks[[#This Row],[_LeafTotalCost]]*Tasks[[#This Row],[_LeafProgress]],N(Tasks[[#This Row],[Actual Cost]])))</f>
        <v>0</v>
      </c>
      <c r="EM104" s="38" t="str">
        <f aca="false">IF(Tasks[[#This Row],[Task Name]]="","",LEFT(Tasks[[#This Row],[WBS]],FIND(".",Tasks[[#This Row],[WBS]]&amp;".")-1))</f>
        <v/>
      </c>
      <c r="EN104" s="38" t="str">
        <f aca="false">IF(AND(Tasks[[#This Row],[Task Name]]&lt;&gt;"",Tasks[[#This Row],[_Level]]=1),Tasks[[#This Row],[_Row]],"")</f>
        <v/>
      </c>
      <c r="EO104" s="38" t="str">
        <f aca="false">IF(AND(Tasks[[#This Row],[_IsLeaf]]=1,N(Tasks[[#This Row],[Duration]])=0),Tasks[[#This Row],[Planned Finish]]+Tasks[[#This Row],[_Row]]/100000,"")</f>
        <v/>
      </c>
      <c r="EP104" s="38" t="str">
        <f aca="false">IF(AND(Tasks[[#This Row],[_IsLeaf]]=1,Tasks[[#This Row],[_LeafProgress]]&lt;1,OR(N(Tasks[[#This Row],[Finish Var]])&gt;0,Tasks[[#This Row],[Status]]="Late Start")),MAX(0,Tasks[[#This Row],[Finish Var]])+1-Tasks[[#This Row],[_Row]]/1000000,"")</f>
        <v/>
      </c>
      <c r="EQ104" s="38" t="str">
        <f aca="false">IF(AND(Tasks[[#This Row],[_IsLeaf]]=1,N(Tasks[[#This Row],[Actual Start]])=0,Tasks[[#This Row],[_ShownFcstStart]]&gt;=StatusDate,Tasks[[#This Row],[_ShownFcstStart]]&lt;=LookaheadEnd),Tasks[[#This Row],[_ShownFcstStart]]+Tasks[[#This Row],[_Row]]/100000,"")</f>
        <v/>
      </c>
      <c r="ER104" s="38" t="str">
        <f aca="false">IF(AND(Tasks[[#This Row],[_IsLeaf]]=1,Tasks[[#This Row],[_LeafProgress]]&lt;1,Tasks[[#This Row],[_ShownFcstFinish]]&gt;=StatusDate,Tasks[[#This Row],[_ShownFcstFinish]]&lt;=LookaheadEnd),Tasks[[#This Row],[_ShownFcstFinish]]+Tasks[[#This Row],[_Row]]/100000,"")</f>
        <v/>
      </c>
      <c r="ES104" s="38" t="str">
        <f aca="false">IF(Tasks[[#This Row],[_LeafCritical]],Tasks[[#This Row],[_ShownFcstStart]]+Tasks[[#This Row],[_Row]]/100000,"")</f>
        <v/>
      </c>
      <c r="ET104" s="38" t="n">
        <f aca="false">Tasks[[#This Row],[_LeafWork]]*Tasks[[#This Row],[_LeafProgress]]</f>
        <v>0</v>
      </c>
      <c r="EU104" s="115" t="str">
        <f aca="false">IF(AND(Tasks[[#This Row],[_IsLeaf]]=1,Tasks[[#This Row],[_LeafProgress]]&gt;=1),IF(N(Tasks[[#This Row],[Actual Finish]])&gt;0,Tasks[[#This Row],[Actual Finish]],Tasks[[#This Row],[_ShownFcstFinish]]),"")</f>
        <v/>
      </c>
      <c r="EV104" s="38" t="n">
        <f aca="false">IF(Tasks[[#This Row],[_IsLeaf]]=1,N(Tasks[[#This Row],[Story Points]]),0)</f>
        <v>0</v>
      </c>
      <c r="EW104" s="38" t="str">
        <f aca="false">IF(AND(Tasks[[#This Row],[_IsLeaf]]=1,CurrentSprint&lt;&gt;"",Tasks[[#This Row],[Sprint]]=CurrentSprint),Tasks[[#This Row],[_Row]],"")</f>
        <v/>
      </c>
    </row>
    <row r="105" customFormat="false" ht="15" hidden="false" customHeight="false" outlineLevel="0" collapsed="false">
      <c r="A105" s="51" t="str">
        <f aca="false">IF(Tasks[[#This Row],[Task Name]]="","",COUNTA(Tasks[[#Headers],[Task Name]]:Tasks[[#This Row],[Task Name]])-1)</f>
        <v/>
      </c>
      <c r="B105" s="52" t="n">
        <v>100</v>
      </c>
      <c r="C10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52"/>
      <c r="E105" s="53"/>
      <c r="F105" s="52"/>
      <c r="G105" s="52"/>
      <c r="H105" s="52"/>
      <c r="I105" s="52"/>
      <c r="J105" s="52"/>
      <c r="K105" s="52"/>
      <c r="L105" s="52"/>
      <c r="M105" s="52"/>
      <c r="N105" s="52"/>
      <c r="O105" s="52"/>
      <c r="P105" s="52"/>
      <c r="Q105" s="52"/>
      <c r="R105" s="52"/>
      <c r="S105" s="53"/>
      <c r="T105" s="102"/>
      <c r="U105" s="102"/>
      <c r="V105" s="7"/>
      <c r="W105" s="7"/>
      <c r="X105" s="53"/>
      <c r="Y105" s="31" t="str">
        <f aca="false">IF(Tasks[[#This Row],[Task Name]]="","",IF(Tasks[[#This Row],[_IsSummary]],MIN(INDEX(Tasks[_ShownFcstStart],Tasks[[#This Row],[_Row]]+1):INDEX(Tasks[_ShownFcstStart],Tasks[[#This Row],[_Row]]+Tasks[[#This Row],[_Descendants]])),Tasks[[#This Row],[_ShownFcstStart]]))</f>
        <v/>
      </c>
      <c r="Z105" s="31" t="str">
        <f aca="false">IF(Tasks[[#This Row],[Task Name]]="","",IF(Tasks[[#This Row],[_IsSummary]],MAX(INDEX(Tasks[_ShownFcstFinish],Tasks[[#This Row],[_Row]]+1):INDEX(Tasks[_ShownFcstFinish],Tasks[[#This Row],[_Row]]+Tasks[[#This Row],[_Descendants]])),Tasks[[#This Row],[_ShownFcstFinish]]))</f>
        <v/>
      </c>
      <c r="AA105" s="51" t="str">
        <f aca="false">IF(Tasks[[#This Row],[Task Name]]="","",IF(Tasks[[#This Row],[Progress]]&gt;=1,"Complete",IF(OR(N(Tasks[[#This Row],[Actual Start]])&gt;0,Tasks[[#This Row],[Progress]]&gt;0),IF(Tasks[[#This Row],[Finish Var]]&gt;0,"Behind","In Progress"),IF(Tasks[[#This Row],[Planned Start]]&lt;StatusDate,"Late Start","Not Started"))))</f>
        <v/>
      </c>
      <c r="AB105" s="51" t="str">
        <f aca="false">IF(Tasks[[#This Row],[Task Name]]="","",IF(IF(Tasks[[#This Row],[_IsSummary]],COUNTIF(INDEX(Tasks[_LeafCritical],Tasks[[#This Row],[_Row]]+1):INDEX(Tasks[_LeafCritical],Tasks[[#This Row],[_Row]]+Tasks[[#This Row],[_Descendants]]),TRUE())&gt;0,Tasks[[#This Row],[_LeafCritical]]),"Yes",""))</f>
        <v/>
      </c>
      <c r="AC10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5" s="51" t="str">
        <f aca="false">IF(Tasks[[#This Row],[Task Name]]="","",IF(Tasks[[#This Row],[_Level]]&lt;=OutlineShowLevel,"Yes","No"))</f>
        <v/>
      </c>
      <c r="AE105" s="7"/>
      <c r="AF105" s="52"/>
      <c r="AG105" s="53"/>
      <c r="AH105" s="7"/>
      <c r="AI10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5" s="31" t="str">
        <f aca="false">IF(Tasks[[#This Row],[Task Name]]="","",IF(N(Tasks[[#This Row],[Baseline Start]])&gt;0,Tasks[[#This Row],[Baseline Start]],Tasks[[#This Row],[_CalcStart]]))</f>
        <v/>
      </c>
      <c r="AK105" s="31" t="str">
        <f aca="false">IF(Tasks[[#This Row],[Task Name]]="","",IF(N(Tasks[[#This Row],[Baseline Finish]])&gt;0,Tasks[[#This Row],[Baseline Finish]],Tasks[[#This Row],[_CalcFinish]]))</f>
        <v/>
      </c>
      <c r="AL10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5" s="31" t="str">
        <f aca="false">IF(Tasks[[#This Row],[Task Name]]="","",IF(Tasks[[#This Row],[_IsSummary]],MIN(INDEX(Tasks[_LeafLateStart],Tasks[[#This Row],[_Row]]+1):INDEX(Tasks[_LeafLateStart],Tasks[[#This Row],[_Row]]+Tasks[[#This Row],[_Descendants]])),Tasks[[#This Row],[_LeafLateStart]]))</f>
        <v/>
      </c>
      <c r="AN105" s="31" t="str">
        <f aca="false">IF(Tasks[[#This Row],[Task Name]]="","",IF(Tasks[[#This Row],[_IsSummary]],MAX(INDEX(Tasks[_LeafLateFinish],Tasks[[#This Row],[_Row]]+1):INDEX(Tasks[_LeafLateFinish],Tasks[[#This Row],[_Row]]+Tasks[[#This Row],[_Descendants]])),Tasks[[#This Row],[_LeafLateFinish]]))</f>
        <v/>
      </c>
      <c r="AO105" s="51" t="str">
        <f aca="false">IF(Tasks[[#This Row],[Task Name]]="","",IF(Tasks[[#This Row],[_IsSummary]],MIN(INDEX(Tasks[_LeafTotalSlack],Tasks[[#This Row],[_Row]]+1):INDEX(Tasks[_LeafTotalSlack],Tasks[[#This Row],[_Row]]+Tasks[[#This Row],[_Descendants]])),Tasks[[#This Row],[_LeafTotalSlack]]))</f>
        <v/>
      </c>
      <c r="AP10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5" s="110" t="str">
        <f aca="false">IF(Tasks[[#This Row],[Task Name]]="","",IF(Tasks[[#This Row],[_IsSummary]],SUM(INDEX(Tasks[_LeafTotalWork],Tasks[[#This Row],[_Row]]+1):INDEX(Tasks[_LeafTotalWork],Tasks[[#This Row],[_Row]]+Tasks[[#This Row],[_Descendants]])),Tasks[[#This Row],[_LeafTotalWork]]))</f>
        <v/>
      </c>
      <c r="AV10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5" s="111" t="str">
        <f aca="false">IF(Tasks[[#This Row],[Task Name]]="","",IF(Tasks[[#This Row],[_IsSummary]],SUM(INDEX(Tasks[_LeafTotalCost],Tasks[[#This Row],[_Row]]+1):INDEX(Tasks[_LeafTotalCost],Tasks[[#This Row],[_Row]]+Tasks[[#This Row],[_Descendants]])),Tasks[[#This Row],[_LeafTotalCost]]))</f>
        <v/>
      </c>
      <c r="AY105" s="112"/>
      <c r="AZ10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5" s="52"/>
      <c r="BB105" s="98"/>
      <c r="BC105" s="51" t="str">
        <f aca="false">IF(OR(Tasks[[#This Row],[Task Name]]="",Tasks[[#This Row],[Baseline Duration]]=""),"",Tasks[[#This Row],[BL Source Duration]]-N(Tasks[[#This Row],[Baseline Duration]]))</f>
        <v/>
      </c>
      <c r="BD105" s="110" t="str">
        <f aca="false">IF(OR(Tasks[[#This Row],[Task Name]]="",Tasks[[#This Row],[Baseline Work]]=""),"",Tasks[[#This Row],[Work]]-N(Tasks[[#This Row],[Baseline Work]]))</f>
        <v/>
      </c>
      <c r="BE105" s="111" t="str">
        <f aca="false">IF(OR(Tasks[[#This Row],[Task Name]]="",Tasks[[#This Row],[Baseline Cost]]=""),"",Tasks[[#This Row],[Cost]]-N(Tasks[[#This Row],[Baseline Cost]]))</f>
        <v/>
      </c>
      <c r="BF105" s="31" t="str">
        <f aca="false">IF(Tasks[[#This Row],[Task Name]]="","",Tasks[[#This Row],[Forecast Start]])</f>
        <v/>
      </c>
      <c r="BG105" s="31" t="str">
        <f aca="false">IF(Tasks[[#This Row],[Task Name]]="","",Tasks[[#This Row],[Forecast Finish]])</f>
        <v/>
      </c>
      <c r="BH105" s="51" t="str">
        <f aca="false">IF(Tasks[[#This Row],[Task Name]]="","",IF(Tasks[[#This Row],[_IsSummary]],NETWORKDAYS.INTL(Tasks[[#This Row],[Forecast Start]],Tasks[[#This Row],[Forecast Finish]],WorkWeek,Holidays),N(Tasks[[#This Row],[Duration]])))</f>
        <v/>
      </c>
      <c r="BI105" s="110" t="str">
        <f aca="false">IF(Tasks[[#This Row],[Task Name]]="","",Tasks[[#This Row],[Work]])</f>
        <v/>
      </c>
      <c r="BJ105" s="111" t="str">
        <f aca="false">IF(Tasks[[#This Row],[Task Name]]="","",Tasks[[#This Row],[Cost]])</f>
        <v/>
      </c>
      <c r="BK105" s="7"/>
      <c r="BL105" s="7"/>
      <c r="BM105" s="52"/>
      <c r="BN105" s="113"/>
      <c r="BO105" s="112"/>
      <c r="BP105" s="111" t="str">
        <f aca="false">IF(Tasks[[#This Row],[Task Name]]="","",IF(Tasks[[#This Row],[_IsSummary]],SUM(INDEX(Tasks[_LeafEV],Tasks[[#This Row],[_Row]]+1):INDEX(Tasks[_LeafEV],Tasks[[#This Row],[_Row]]+Tasks[[#This Row],[_Descendants]])),Tasks[[#This Row],[_LeafEV]]))</f>
        <v/>
      </c>
      <c r="BQ105" s="111" t="str">
        <f aca="false">IF(Tasks[[#This Row],[Task Name]]="","",IF(Tasks[[#This Row],[_IsSummary]],SUM(INDEX(Tasks[_LeafBudget],Tasks[[#This Row],[_Row]]+1):INDEX(Tasks[_LeafBudget],Tasks[[#This Row],[_Row]]+Tasks[[#This Row],[_Descendants]])),Tasks[[#This Row],[_LeafBudget]]))</f>
        <v/>
      </c>
      <c r="BR105" s="111" t="str">
        <f aca="false">IF(Tasks[[#This Row],[Task Name]]="","",IF(Tasks[[#This Row],[_IsSummary]],SUM(INDEX(Tasks[_LeafPV],Tasks[[#This Row],[_Row]]+1):INDEX(Tasks[_LeafPV],Tasks[[#This Row],[_Row]]+Tasks[[#This Row],[_Descendants]])),Tasks[[#This Row],[_LeafPV]]))</f>
        <v/>
      </c>
      <c r="BS105" s="111" t="str">
        <f aca="false">IF(Tasks[[#This Row],[Task Name]]="","",IF(Tasks[[#This Row],[_IsSummary]],SUM(INDEX(Tasks[_LeafAC],Tasks[[#This Row],[_Row]]+1):INDEX(Tasks[_LeafAC],Tasks[[#This Row],[_Row]]+Tasks[[#This Row],[_Descendants]])),Tasks[[#This Row],[_LeafAC]]))</f>
        <v/>
      </c>
      <c r="BT105" s="38" t="str">
        <f aca="false">IF(Tasks[[#This Row],[Task Name]]="","",MAX(1,N(Tasks[[#This Row],[Level]])))</f>
        <v/>
      </c>
      <c r="BU105" s="38" t="n">
        <f aca="false">ROW()-ROW(Tasks[[#Headers],[ID]])</f>
        <v>100</v>
      </c>
      <c r="BV105" s="38" t="n">
        <f aca="false">IF(OR(Tasks[[#This Row],[Task Name]]="",Tasks[[#This Row],[_Level]]&lt;=1),0,IFERROR(LOOKUP(2,1/(Tasks[[#Headers],[_Level]]:Tasks[[#This Row],[_Level]]=Tasks[[#This Row],[_Level]]-1),ROW(Tasks[[#Headers],[_Level]]:Tasks[[#This Row],[_Level]])),0))</f>
        <v>0</v>
      </c>
      <c r="BW105" s="38" t="n">
        <f aca="false">IFERROR(N(INDEX(Tasks[_Level],Tasks[[#This Row],[_Row]]+1)),0)</f>
        <v>0</v>
      </c>
      <c r="BX105" s="114" t="b">
        <f aca="false">AND(Tasks[[#This Row],[Task Name]]&lt;&gt;"",Tasks[[#This Row],[_NextLevel]]&gt;Tasks[[#This Row],[_Level]])</f>
        <v>0</v>
      </c>
      <c r="BY105" s="38" t="n">
        <f aca="false">IF(Tasks[[#This Row],[_IsSummary]],COUNTIF(Tasks[WBS],Tasks[[#This Row],[WBS]]&amp;".*"),0)</f>
        <v>0</v>
      </c>
      <c r="BZ105" s="38" t="n">
        <f aca="false">IF(AND(Tasks[[#This Row],[Task Name]]&lt;&gt;"",NOT(Tasks[[#This Row],[_IsSummary]])),1,0)</f>
        <v>0</v>
      </c>
      <c r="CA105" s="38" t="n">
        <f aca="false">IF(N(Tasks[[#This Row],[Pred1 UID]])=0,0,IFERROR(MATCH(Tasks[[#This Row],[Pred1 UID]],Tasks[UID],0),-1))</f>
        <v>0</v>
      </c>
      <c r="CB105" s="38" t="n">
        <f aca="false">IF(N(Tasks[[#This Row],[Pred2 UID]])=0,0,IFERROR(MATCH(Tasks[[#This Row],[Pred2 UID]],Tasks[UID],0),-1))</f>
        <v>0</v>
      </c>
      <c r="CC105" s="38" t="n">
        <f aca="false">IF(N(Tasks[[#This Row],[Pred3 UID]])=0,0,IFERROR(MATCH(Tasks[[#This Row],[Pred3 UID]],Tasks[UID],0),-1))</f>
        <v>0</v>
      </c>
      <c r="CD105" s="38" t="n">
        <f aca="false">IF(N(Tasks[[#This Row],[Pred4 UID]])=0,0,IFERROR(MATCH(Tasks[[#This Row],[Pred4 UID]],Tasks[UID],0),-1))</f>
        <v>0</v>
      </c>
      <c r="CE10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5" s="115" t="n">
        <f aca="false">IF(OR(Tasks[[#This Row],[_ConstraintCode]]=2,Tasks[[#This Row],[_ConstraintCode]]=3,Tasks[[#This Row],[_ConstraintCode]]=4,Tasks[[#This Row],[_ConstraintCode]]=6),Tasks[[#This Row],[_ConstraintStart]],0)</f>
        <v>0</v>
      </c>
      <c r="CH105" s="115" t="n">
        <f aca="false">IF(OR(Tasks[[#This Row],[_ConstraintCode]]=2,Tasks[[#This Row],[_ConstraintCode]]=3,Tasks[[#This Row],[_ConstraintCode]]=5,Tasks[[#This Row],[_ConstraintCode]]=7),Tasks[[#This Row],[_ConstraintStart]],2958465)</f>
        <v>2958465</v>
      </c>
      <c r="CI10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5" s="115" t="str">
        <f aca="false">IF(NOT(Tasks[[#This Row],[_IsLeaf]]=1),"",IF(N(Tasks[[#This Row],[Duration]])&lt;=0,Tasks[[#This Row],[_LeafCalcStart]],WORKDAY.INTL(Tasks[[#This Row],[_LeafCalcStart]],Tasks[[#This Row],[Duration]]-1,WorkWeek,Holidays)))</f>
        <v/>
      </c>
      <c r="CK10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5" s="38" t="n">
        <f aca="false">IF(NOT(Tasks[[#This Row],[_IsLeaf]]=1),0,IF(N(Tasks[[#This Row],[Actual Finish]])&gt;0,1,MIN(1,N(Tasks[[#This Row],[% Complete]]))))</f>
        <v>0</v>
      </c>
      <c r="CN105" s="38" t="n">
        <f aca="false">IF(OR(NOT(Tasks[[#This Row],[_IsLeaf]]=1),Tasks[[#This Row],[Resource]]=""),0,N(Tasks[[#This Row],[Duration]])*HoursPerDay*IF(Tasks[[#This Row],[Units]]="",DefaultUnits,Tasks[[#This Row],[Units]]))</f>
        <v>0</v>
      </c>
      <c r="CO105" s="38" t="n">
        <f aca="false">IF(Tasks[[#This Row],[_LeafWork]]=0,0,Tasks[[#This Row],[_LeafWork]]*IFERROR(INDEX(res_Rate,MATCH(Tasks[[#This Row],[Resource]],res_Name,0)),0))</f>
        <v>0</v>
      </c>
      <c r="CP105" s="38" t="n">
        <f aca="false">Tasks[[#This Row],[_LeafWork]]+IF(Tasks[[#This Row],[_IsLeaf]]=1,SUMIFS(asg_Work,asg_TaskUID,Tasks[[#This Row],[UID]],asg_Valid,1),0)</f>
        <v>0</v>
      </c>
      <c r="CQ105" s="38" t="n">
        <f aca="false">Tasks[[#This Row],[_LeafCost]]+IF(Tasks[[#This Row],[_IsLeaf]]=1,SUMIFS(asg_Cost,asg_TaskUID,Tasks[[#This Row],[UID]],asg_Valid,1),0)</f>
        <v>0</v>
      </c>
      <c r="CR105" s="38" t="n">
        <f aca="false">IF(Tasks[[#This Row],[_LeafTotalCost]]=0,Tasks[[#This Row],[_LeafAC]],Tasks[[#This Row],[_LeafAC]]*Tasks[[#This Row],[_LeafCost]]/Tasks[[#This Row],[_LeafTotalCost]])</f>
        <v>0</v>
      </c>
      <c r="CS10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5" s="38" t="n">
        <f aca="false">IF(NOT(Tasks[[#This Row],[_IsLeaf]]=1),0,MAX(_xlfn.MAXIFS(Tasks[_Row],Tasks[Pred1 UID],Tasks[[#This Row],[UID]]),_xlfn.MAXIFS(Tasks[_Row],Tasks[Pred2 UID],Tasks[[#This Row],[UID]]),_xlfn.MAXIFS(Tasks[_Row],Tasks[Pred3 UID],Tasks[[#This Row],[UID]]),_xlfn.MAXIFS(Tasks[_Row],Tasks[Pred4 UID],Tasks[[#This Row],[UID]])))</f>
        <v>0</v>
      </c>
      <c r="DB10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5" s="115" t="str">
        <f aca="false">IF(NOT(Tasks[[#This Row],[_IsLeaf]]=1),"",IF(N(Tasks[[#This Row],[Duration]])&lt;=0,Tasks[[#This Row],[_LeafLateFinish]],WORKDAY.INTL(Tasks[[#This Row],[_LeafLateFinish]],-(Tasks[[#This Row],[Duration]]-1),WorkWeek,Holidays)))</f>
        <v/>
      </c>
      <c r="DE10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5" s="114" t="b">
        <f aca="false">AND(Tasks[[#This Row],[_IsLeaf]]=1,Tasks[[#This Row],[_LeafProgress]]&lt;1,N(Tasks[[#This Row],[_LeafTotalSlack]])&lt;=CriticalSlackDays)</f>
        <v>0</v>
      </c>
      <c r="DG105" s="38" t="n">
        <f aca="false">IF(AND(Tasks[[#This Row],[_IsLeaf]]=1,Tasks[[#This Row],[_ConstraintCode]]=1,Tasks[[#This Row],[Mode]]&lt;&gt;"Manual",N(Tasks[[#This Row],[Actual Start]])=0),MAX(0,N(Tasks[[#This Row],[Free Slack]])),0)</f>
        <v>0</v>
      </c>
      <c r="DH105" s="115" t="str">
        <f aca="false">IF(NOT(Tasks[[#This Row],[_IsLeaf]]=1),"",IF(Tasks[[#This Row],[_AlapShift]]=0,Tasks[[#This Row],[_LeafCalcStart]],WORKDAY.INTL(Tasks[[#This Row],[_LeafCalcStart]],Tasks[[#This Row],[_AlapShift]],WorkWeek,Holidays)))</f>
        <v/>
      </c>
      <c r="DI105" s="115" t="str">
        <f aca="false">IF(NOT(Tasks[[#This Row],[_IsLeaf]]=1),"",IF(Tasks[[#This Row],[_AlapShift]]=0,Tasks[[#This Row],[_LeafCalcFinish]],WORKDAY.INTL(Tasks[[#This Row],[_LeafCalcFinish]],Tasks[[#This Row],[_AlapShift]],WorkWeek,Holidays)))</f>
        <v/>
      </c>
      <c r="DJ105" s="115" t="str">
        <f aca="false">IF(NOT(Tasks[[#This Row],[_IsLeaf]]=1),"",IF(Tasks[[#This Row],[_AlapShift]]=0,Tasks[[#This Row],[_LeafFcstStart]],WORKDAY.INTL(Tasks[[#This Row],[_LeafFcstStart]],Tasks[[#This Row],[_AlapShift]],WorkWeek,Holidays)))</f>
        <v/>
      </c>
      <c r="DK105" s="115" t="str">
        <f aca="false">IF(NOT(Tasks[[#This Row],[_IsLeaf]]=1),"",IF(Tasks[[#This Row],[_AlapShift]]=0,Tasks[[#This Row],[_LeafFcstFinish]],WORKDAY.INTL(Tasks[[#This Row],[_LeafFcstFinish]],Tasks[[#This Row],[_AlapShift]],WorkWeek,Holidays)))</f>
        <v/>
      </c>
      <c r="DL105" s="115" t="str">
        <f aca="false">IF(Tasks[[#This Row],[Task Name]]="","",IF(Tasks[[#This Row],[_IsSummary]],MIN(INDEX(Tasks[_ShownCalcStart],Tasks[[#This Row],[_Row]]+1):INDEX(Tasks[_ShownCalcStart],Tasks[[#This Row],[_Row]]+Tasks[[#This Row],[_Descendants]])),Tasks[[#This Row],[_ShownCalcStart]]))</f>
        <v/>
      </c>
      <c r="DM105" s="115" t="str">
        <f aca="false">IF(Tasks[[#This Row],[Task Name]]="","",IF(Tasks[[#This Row],[_IsSummary]],MAX(INDEX(Tasks[_ShownCalcFinish],Tasks[[#This Row],[_Row]]+1):INDEX(Tasks[_ShownCalcFinish],Tasks[[#This Row],[_Row]]+Tasks[[#This Row],[_Descendants]])),Tasks[[#This Row],[_ShownCalcFinish]]))</f>
        <v/>
      </c>
      <c r="DN10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5" s="38" t="n">
        <f aca="false">IF(AND(Tasks[[#This Row],[_IsLeaf]]=1,Tasks[[#This Row],[_LeafTotalWork]]&gt;0),NETWORKDAYS.INTL(ProjectStart,Tasks[[#This Row],[_ShownFcstStart]],WorkWeek,Holidays),0)</f>
        <v>0</v>
      </c>
      <c r="EA105" s="38" t="n">
        <f aca="false">IF(AND(Tasks[[#This Row],[_IsLeaf]]=1,Tasks[[#This Row],[_LeafTotalWork]]&gt;0),MAX(Tasks[[#This Row],[_StartWorkday]],NETWORKDAYS.INTL(ProjectStart,Tasks[[#This Row],[_ShownFcstFinish]],WorkWeek,Holidays)),0)</f>
        <v>0</v>
      </c>
      <c r="EB105" s="38" t="n">
        <f aca="false">IF(AND(Tasks[[#This Row],[_IsLeaf]]=1,Tasks[[#This Row],[_LeafTotalWork]]&gt;0),Tasks[[#This Row],[_LeafWork]]/(Tasks[[#This Row],[_FinishWorkday]]-Tasks[[#This Row],[_StartWorkday]]+1),0)</f>
        <v>0</v>
      </c>
      <c r="EC105" s="38" t="n">
        <f aca="false">Tasks[[#This Row],[_WorkPerWorkday]]*(Tasks[[#This Row],[_StartWorkday]]-1)</f>
        <v>-0</v>
      </c>
      <c r="ED105" s="38" t="n">
        <f aca="false">IF(Tasks[[#This Row],[_IsLeaf]]=1,MAX(N(Tasks[[#This Row],[Duration]]),0.1),0)</f>
        <v>0</v>
      </c>
      <c r="EE105" s="38" t="n">
        <f aca="false">Tasks[[#This Row],[_WeightDur]]*Tasks[[#This Row],[_LeafProgress]]</f>
        <v>0</v>
      </c>
      <c r="EF10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5" s="38" t="str">
        <f aca="false">IF(AND(Tasks[[#This Row],[_IsLeaf]]=1,N(Tasks[[#This Row],[Duration]])=0,Tasks[[#This Row],[_LeafProgress]]&lt;1),Tasks[[#This Row],[_ShownFcstFinish]]+Tasks[[#This Row],[_Row]]/100000,"")</f>
        <v/>
      </c>
      <c r="EH10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5" s="38" t="n">
        <f aca="false">IF(NOT(Tasks[[#This Row],[_IsLeaf]]=1),0,IF(Tasks[[#This Row],[Baseline Cost]]="",Tasks[[#This Row],[_LeafTotalCost]],N(Tasks[[#This Row],[Baseline Cost]])))</f>
        <v>0</v>
      </c>
      <c r="EJ105" s="38" t="n">
        <f aca="false">Tasks[[#This Row],[_LeafBudget]]*Tasks[[#This Row],[_PlannedPct]]</f>
        <v>0</v>
      </c>
      <c r="EK105" s="38" t="n">
        <f aca="false">Tasks[[#This Row],[_LeafBudget]]*Tasks[[#This Row],[_LeafProgress]]</f>
        <v>0</v>
      </c>
      <c r="EL105" s="38" t="n">
        <f aca="false">IF(NOT(Tasks[[#This Row],[_IsLeaf]]=1),0,IF(Tasks[[#This Row],[Actual Cost]]="",Tasks[[#This Row],[_LeafTotalCost]]*Tasks[[#This Row],[_LeafProgress]],N(Tasks[[#This Row],[Actual Cost]])))</f>
        <v>0</v>
      </c>
      <c r="EM105" s="38" t="str">
        <f aca="false">IF(Tasks[[#This Row],[Task Name]]="","",LEFT(Tasks[[#This Row],[WBS]],FIND(".",Tasks[[#This Row],[WBS]]&amp;".")-1))</f>
        <v/>
      </c>
      <c r="EN105" s="38" t="str">
        <f aca="false">IF(AND(Tasks[[#This Row],[Task Name]]&lt;&gt;"",Tasks[[#This Row],[_Level]]=1),Tasks[[#This Row],[_Row]],"")</f>
        <v/>
      </c>
      <c r="EO105" s="38" t="str">
        <f aca="false">IF(AND(Tasks[[#This Row],[_IsLeaf]]=1,N(Tasks[[#This Row],[Duration]])=0),Tasks[[#This Row],[Planned Finish]]+Tasks[[#This Row],[_Row]]/100000,"")</f>
        <v/>
      </c>
      <c r="EP105" s="38" t="str">
        <f aca="false">IF(AND(Tasks[[#This Row],[_IsLeaf]]=1,Tasks[[#This Row],[_LeafProgress]]&lt;1,OR(N(Tasks[[#This Row],[Finish Var]])&gt;0,Tasks[[#This Row],[Status]]="Late Start")),MAX(0,Tasks[[#This Row],[Finish Var]])+1-Tasks[[#This Row],[_Row]]/1000000,"")</f>
        <v/>
      </c>
      <c r="EQ105" s="38" t="str">
        <f aca="false">IF(AND(Tasks[[#This Row],[_IsLeaf]]=1,N(Tasks[[#This Row],[Actual Start]])=0,Tasks[[#This Row],[_ShownFcstStart]]&gt;=StatusDate,Tasks[[#This Row],[_ShownFcstStart]]&lt;=LookaheadEnd),Tasks[[#This Row],[_ShownFcstStart]]+Tasks[[#This Row],[_Row]]/100000,"")</f>
        <v/>
      </c>
      <c r="ER105" s="38" t="str">
        <f aca="false">IF(AND(Tasks[[#This Row],[_IsLeaf]]=1,Tasks[[#This Row],[_LeafProgress]]&lt;1,Tasks[[#This Row],[_ShownFcstFinish]]&gt;=StatusDate,Tasks[[#This Row],[_ShownFcstFinish]]&lt;=LookaheadEnd),Tasks[[#This Row],[_ShownFcstFinish]]+Tasks[[#This Row],[_Row]]/100000,"")</f>
        <v/>
      </c>
      <c r="ES105" s="38" t="str">
        <f aca="false">IF(Tasks[[#This Row],[_LeafCritical]],Tasks[[#This Row],[_ShownFcstStart]]+Tasks[[#This Row],[_Row]]/100000,"")</f>
        <v/>
      </c>
      <c r="ET105" s="38" t="n">
        <f aca="false">Tasks[[#This Row],[_LeafWork]]*Tasks[[#This Row],[_LeafProgress]]</f>
        <v>0</v>
      </c>
      <c r="EU105" s="115" t="str">
        <f aca="false">IF(AND(Tasks[[#This Row],[_IsLeaf]]=1,Tasks[[#This Row],[_LeafProgress]]&gt;=1),IF(N(Tasks[[#This Row],[Actual Finish]])&gt;0,Tasks[[#This Row],[Actual Finish]],Tasks[[#This Row],[_ShownFcstFinish]]),"")</f>
        <v/>
      </c>
      <c r="EV105" s="38" t="n">
        <f aca="false">IF(Tasks[[#This Row],[_IsLeaf]]=1,N(Tasks[[#This Row],[Story Points]]),0)</f>
        <v>0</v>
      </c>
      <c r="EW105" s="38" t="str">
        <f aca="false">IF(AND(Tasks[[#This Row],[_IsLeaf]]=1,CurrentSprint&lt;&gt;"",Tasks[[#This Row],[Sprint]]=CurrentSprint),Tasks[[#This Row],[_Row]],"")</f>
        <v/>
      </c>
    </row>
    <row r="106" customFormat="false" ht="15" hidden="false" customHeight="false" outlineLevel="0" collapsed="false">
      <c r="A106" s="51" t="str">
        <f aca="false">IF(Tasks[[#This Row],[Task Name]]="","",COUNTA(Tasks[[#Headers],[Task Name]]:Tasks[[#This Row],[Task Name]])-1)</f>
        <v/>
      </c>
      <c r="B106" s="52" t="n">
        <v>101</v>
      </c>
      <c r="C10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52"/>
      <c r="E106" s="53"/>
      <c r="F106" s="52"/>
      <c r="G106" s="52"/>
      <c r="H106" s="52"/>
      <c r="I106" s="52"/>
      <c r="J106" s="52"/>
      <c r="K106" s="52"/>
      <c r="L106" s="52"/>
      <c r="M106" s="52"/>
      <c r="N106" s="52"/>
      <c r="O106" s="52"/>
      <c r="P106" s="52"/>
      <c r="Q106" s="52"/>
      <c r="R106" s="52"/>
      <c r="S106" s="53"/>
      <c r="T106" s="102"/>
      <c r="U106" s="102"/>
      <c r="V106" s="7"/>
      <c r="W106" s="7"/>
      <c r="X106" s="53"/>
      <c r="Y106" s="31" t="str">
        <f aca="false">IF(Tasks[[#This Row],[Task Name]]="","",IF(Tasks[[#This Row],[_IsSummary]],MIN(INDEX(Tasks[_ShownFcstStart],Tasks[[#This Row],[_Row]]+1):INDEX(Tasks[_ShownFcstStart],Tasks[[#This Row],[_Row]]+Tasks[[#This Row],[_Descendants]])),Tasks[[#This Row],[_ShownFcstStart]]))</f>
        <v/>
      </c>
      <c r="Z106" s="31" t="str">
        <f aca="false">IF(Tasks[[#This Row],[Task Name]]="","",IF(Tasks[[#This Row],[_IsSummary]],MAX(INDEX(Tasks[_ShownFcstFinish],Tasks[[#This Row],[_Row]]+1):INDEX(Tasks[_ShownFcstFinish],Tasks[[#This Row],[_Row]]+Tasks[[#This Row],[_Descendants]])),Tasks[[#This Row],[_ShownFcstFinish]]))</f>
        <v/>
      </c>
      <c r="AA106" s="51" t="str">
        <f aca="false">IF(Tasks[[#This Row],[Task Name]]="","",IF(Tasks[[#This Row],[Progress]]&gt;=1,"Complete",IF(OR(N(Tasks[[#This Row],[Actual Start]])&gt;0,Tasks[[#This Row],[Progress]]&gt;0),IF(Tasks[[#This Row],[Finish Var]]&gt;0,"Behind","In Progress"),IF(Tasks[[#This Row],[Planned Start]]&lt;StatusDate,"Late Start","Not Started"))))</f>
        <v/>
      </c>
      <c r="AB106" s="51" t="str">
        <f aca="false">IF(Tasks[[#This Row],[Task Name]]="","",IF(IF(Tasks[[#This Row],[_IsSummary]],COUNTIF(INDEX(Tasks[_LeafCritical],Tasks[[#This Row],[_Row]]+1):INDEX(Tasks[_LeafCritical],Tasks[[#This Row],[_Row]]+Tasks[[#This Row],[_Descendants]]),TRUE())&gt;0,Tasks[[#This Row],[_LeafCritical]]),"Yes",""))</f>
        <v/>
      </c>
      <c r="AC10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6" s="51" t="str">
        <f aca="false">IF(Tasks[[#This Row],[Task Name]]="","",IF(Tasks[[#This Row],[_Level]]&lt;=OutlineShowLevel,"Yes","No"))</f>
        <v/>
      </c>
      <c r="AE106" s="7"/>
      <c r="AF106" s="52"/>
      <c r="AG106" s="53"/>
      <c r="AH106" s="7"/>
      <c r="AI10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6" s="31" t="str">
        <f aca="false">IF(Tasks[[#This Row],[Task Name]]="","",IF(N(Tasks[[#This Row],[Baseline Start]])&gt;0,Tasks[[#This Row],[Baseline Start]],Tasks[[#This Row],[_CalcStart]]))</f>
        <v/>
      </c>
      <c r="AK106" s="31" t="str">
        <f aca="false">IF(Tasks[[#This Row],[Task Name]]="","",IF(N(Tasks[[#This Row],[Baseline Finish]])&gt;0,Tasks[[#This Row],[Baseline Finish]],Tasks[[#This Row],[_CalcFinish]]))</f>
        <v/>
      </c>
      <c r="AL10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6" s="31" t="str">
        <f aca="false">IF(Tasks[[#This Row],[Task Name]]="","",IF(Tasks[[#This Row],[_IsSummary]],MIN(INDEX(Tasks[_LeafLateStart],Tasks[[#This Row],[_Row]]+1):INDEX(Tasks[_LeafLateStart],Tasks[[#This Row],[_Row]]+Tasks[[#This Row],[_Descendants]])),Tasks[[#This Row],[_LeafLateStart]]))</f>
        <v/>
      </c>
      <c r="AN106" s="31" t="str">
        <f aca="false">IF(Tasks[[#This Row],[Task Name]]="","",IF(Tasks[[#This Row],[_IsSummary]],MAX(INDEX(Tasks[_LeafLateFinish],Tasks[[#This Row],[_Row]]+1):INDEX(Tasks[_LeafLateFinish],Tasks[[#This Row],[_Row]]+Tasks[[#This Row],[_Descendants]])),Tasks[[#This Row],[_LeafLateFinish]]))</f>
        <v/>
      </c>
      <c r="AO106" s="51" t="str">
        <f aca="false">IF(Tasks[[#This Row],[Task Name]]="","",IF(Tasks[[#This Row],[_IsSummary]],MIN(INDEX(Tasks[_LeafTotalSlack],Tasks[[#This Row],[_Row]]+1):INDEX(Tasks[_LeafTotalSlack],Tasks[[#This Row],[_Row]]+Tasks[[#This Row],[_Descendants]])),Tasks[[#This Row],[_LeafTotalSlack]]))</f>
        <v/>
      </c>
      <c r="AP10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6" s="110" t="str">
        <f aca="false">IF(Tasks[[#This Row],[Task Name]]="","",IF(Tasks[[#This Row],[_IsSummary]],SUM(INDEX(Tasks[_LeafTotalWork],Tasks[[#This Row],[_Row]]+1):INDEX(Tasks[_LeafTotalWork],Tasks[[#This Row],[_Row]]+Tasks[[#This Row],[_Descendants]])),Tasks[[#This Row],[_LeafTotalWork]]))</f>
        <v/>
      </c>
      <c r="AV10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6" s="111" t="str">
        <f aca="false">IF(Tasks[[#This Row],[Task Name]]="","",IF(Tasks[[#This Row],[_IsSummary]],SUM(INDEX(Tasks[_LeafTotalCost],Tasks[[#This Row],[_Row]]+1):INDEX(Tasks[_LeafTotalCost],Tasks[[#This Row],[_Row]]+Tasks[[#This Row],[_Descendants]])),Tasks[[#This Row],[_LeafTotalCost]]))</f>
        <v/>
      </c>
      <c r="AY106" s="112"/>
      <c r="AZ10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6" s="52"/>
      <c r="BB106" s="98"/>
      <c r="BC106" s="51" t="str">
        <f aca="false">IF(OR(Tasks[[#This Row],[Task Name]]="",Tasks[[#This Row],[Baseline Duration]]=""),"",Tasks[[#This Row],[BL Source Duration]]-N(Tasks[[#This Row],[Baseline Duration]]))</f>
        <v/>
      </c>
      <c r="BD106" s="110" t="str">
        <f aca="false">IF(OR(Tasks[[#This Row],[Task Name]]="",Tasks[[#This Row],[Baseline Work]]=""),"",Tasks[[#This Row],[Work]]-N(Tasks[[#This Row],[Baseline Work]]))</f>
        <v/>
      </c>
      <c r="BE106" s="111" t="str">
        <f aca="false">IF(OR(Tasks[[#This Row],[Task Name]]="",Tasks[[#This Row],[Baseline Cost]]=""),"",Tasks[[#This Row],[Cost]]-N(Tasks[[#This Row],[Baseline Cost]]))</f>
        <v/>
      </c>
      <c r="BF106" s="31" t="str">
        <f aca="false">IF(Tasks[[#This Row],[Task Name]]="","",Tasks[[#This Row],[Forecast Start]])</f>
        <v/>
      </c>
      <c r="BG106" s="31" t="str">
        <f aca="false">IF(Tasks[[#This Row],[Task Name]]="","",Tasks[[#This Row],[Forecast Finish]])</f>
        <v/>
      </c>
      <c r="BH106" s="51" t="str">
        <f aca="false">IF(Tasks[[#This Row],[Task Name]]="","",IF(Tasks[[#This Row],[_IsSummary]],NETWORKDAYS.INTL(Tasks[[#This Row],[Forecast Start]],Tasks[[#This Row],[Forecast Finish]],WorkWeek,Holidays),N(Tasks[[#This Row],[Duration]])))</f>
        <v/>
      </c>
      <c r="BI106" s="110" t="str">
        <f aca="false">IF(Tasks[[#This Row],[Task Name]]="","",Tasks[[#This Row],[Work]])</f>
        <v/>
      </c>
      <c r="BJ106" s="111" t="str">
        <f aca="false">IF(Tasks[[#This Row],[Task Name]]="","",Tasks[[#This Row],[Cost]])</f>
        <v/>
      </c>
      <c r="BK106" s="7"/>
      <c r="BL106" s="7"/>
      <c r="BM106" s="52"/>
      <c r="BN106" s="113"/>
      <c r="BO106" s="112"/>
      <c r="BP106" s="111" t="str">
        <f aca="false">IF(Tasks[[#This Row],[Task Name]]="","",IF(Tasks[[#This Row],[_IsSummary]],SUM(INDEX(Tasks[_LeafEV],Tasks[[#This Row],[_Row]]+1):INDEX(Tasks[_LeafEV],Tasks[[#This Row],[_Row]]+Tasks[[#This Row],[_Descendants]])),Tasks[[#This Row],[_LeafEV]]))</f>
        <v/>
      </c>
      <c r="BQ106" s="111" t="str">
        <f aca="false">IF(Tasks[[#This Row],[Task Name]]="","",IF(Tasks[[#This Row],[_IsSummary]],SUM(INDEX(Tasks[_LeafBudget],Tasks[[#This Row],[_Row]]+1):INDEX(Tasks[_LeafBudget],Tasks[[#This Row],[_Row]]+Tasks[[#This Row],[_Descendants]])),Tasks[[#This Row],[_LeafBudget]]))</f>
        <v/>
      </c>
      <c r="BR106" s="111" t="str">
        <f aca="false">IF(Tasks[[#This Row],[Task Name]]="","",IF(Tasks[[#This Row],[_IsSummary]],SUM(INDEX(Tasks[_LeafPV],Tasks[[#This Row],[_Row]]+1):INDEX(Tasks[_LeafPV],Tasks[[#This Row],[_Row]]+Tasks[[#This Row],[_Descendants]])),Tasks[[#This Row],[_LeafPV]]))</f>
        <v/>
      </c>
      <c r="BS106" s="111" t="str">
        <f aca="false">IF(Tasks[[#This Row],[Task Name]]="","",IF(Tasks[[#This Row],[_IsSummary]],SUM(INDEX(Tasks[_LeafAC],Tasks[[#This Row],[_Row]]+1):INDEX(Tasks[_LeafAC],Tasks[[#This Row],[_Row]]+Tasks[[#This Row],[_Descendants]])),Tasks[[#This Row],[_LeafAC]]))</f>
        <v/>
      </c>
      <c r="BT106" s="38" t="str">
        <f aca="false">IF(Tasks[[#This Row],[Task Name]]="","",MAX(1,N(Tasks[[#This Row],[Level]])))</f>
        <v/>
      </c>
      <c r="BU106" s="38" t="n">
        <f aca="false">ROW()-ROW(Tasks[[#Headers],[ID]])</f>
        <v>101</v>
      </c>
      <c r="BV106" s="38" t="n">
        <f aca="false">IF(OR(Tasks[[#This Row],[Task Name]]="",Tasks[[#This Row],[_Level]]&lt;=1),0,IFERROR(LOOKUP(2,1/(Tasks[[#Headers],[_Level]]:Tasks[[#This Row],[_Level]]=Tasks[[#This Row],[_Level]]-1),ROW(Tasks[[#Headers],[_Level]]:Tasks[[#This Row],[_Level]])),0))</f>
        <v>0</v>
      </c>
      <c r="BW106" s="38" t="n">
        <f aca="false">IFERROR(N(INDEX(Tasks[_Level],Tasks[[#This Row],[_Row]]+1)),0)</f>
        <v>0</v>
      </c>
      <c r="BX106" s="114" t="b">
        <f aca="false">AND(Tasks[[#This Row],[Task Name]]&lt;&gt;"",Tasks[[#This Row],[_NextLevel]]&gt;Tasks[[#This Row],[_Level]])</f>
        <v>0</v>
      </c>
      <c r="BY106" s="38" t="n">
        <f aca="false">IF(Tasks[[#This Row],[_IsSummary]],COUNTIF(Tasks[WBS],Tasks[[#This Row],[WBS]]&amp;".*"),0)</f>
        <v>0</v>
      </c>
      <c r="BZ106" s="38" t="n">
        <f aca="false">IF(AND(Tasks[[#This Row],[Task Name]]&lt;&gt;"",NOT(Tasks[[#This Row],[_IsSummary]])),1,0)</f>
        <v>0</v>
      </c>
      <c r="CA106" s="38" t="n">
        <f aca="false">IF(N(Tasks[[#This Row],[Pred1 UID]])=0,0,IFERROR(MATCH(Tasks[[#This Row],[Pred1 UID]],Tasks[UID],0),-1))</f>
        <v>0</v>
      </c>
      <c r="CB106" s="38" t="n">
        <f aca="false">IF(N(Tasks[[#This Row],[Pred2 UID]])=0,0,IFERROR(MATCH(Tasks[[#This Row],[Pred2 UID]],Tasks[UID],0),-1))</f>
        <v>0</v>
      </c>
      <c r="CC106" s="38" t="n">
        <f aca="false">IF(N(Tasks[[#This Row],[Pred3 UID]])=0,0,IFERROR(MATCH(Tasks[[#This Row],[Pred3 UID]],Tasks[UID],0),-1))</f>
        <v>0</v>
      </c>
      <c r="CD106" s="38" t="n">
        <f aca="false">IF(N(Tasks[[#This Row],[Pred4 UID]])=0,0,IFERROR(MATCH(Tasks[[#This Row],[Pred4 UID]],Tasks[UID],0),-1))</f>
        <v>0</v>
      </c>
      <c r="CE10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6" s="115" t="n">
        <f aca="false">IF(OR(Tasks[[#This Row],[_ConstraintCode]]=2,Tasks[[#This Row],[_ConstraintCode]]=3,Tasks[[#This Row],[_ConstraintCode]]=4,Tasks[[#This Row],[_ConstraintCode]]=6),Tasks[[#This Row],[_ConstraintStart]],0)</f>
        <v>0</v>
      </c>
      <c r="CH106" s="115" t="n">
        <f aca="false">IF(OR(Tasks[[#This Row],[_ConstraintCode]]=2,Tasks[[#This Row],[_ConstraintCode]]=3,Tasks[[#This Row],[_ConstraintCode]]=5,Tasks[[#This Row],[_ConstraintCode]]=7),Tasks[[#This Row],[_ConstraintStart]],2958465)</f>
        <v>2958465</v>
      </c>
      <c r="CI10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6" s="115" t="str">
        <f aca="false">IF(NOT(Tasks[[#This Row],[_IsLeaf]]=1),"",IF(N(Tasks[[#This Row],[Duration]])&lt;=0,Tasks[[#This Row],[_LeafCalcStart]],WORKDAY.INTL(Tasks[[#This Row],[_LeafCalcStart]],Tasks[[#This Row],[Duration]]-1,WorkWeek,Holidays)))</f>
        <v/>
      </c>
      <c r="CK10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6" s="38" t="n">
        <f aca="false">IF(NOT(Tasks[[#This Row],[_IsLeaf]]=1),0,IF(N(Tasks[[#This Row],[Actual Finish]])&gt;0,1,MIN(1,N(Tasks[[#This Row],[% Complete]]))))</f>
        <v>0</v>
      </c>
      <c r="CN106" s="38" t="n">
        <f aca="false">IF(OR(NOT(Tasks[[#This Row],[_IsLeaf]]=1),Tasks[[#This Row],[Resource]]=""),0,N(Tasks[[#This Row],[Duration]])*HoursPerDay*IF(Tasks[[#This Row],[Units]]="",DefaultUnits,Tasks[[#This Row],[Units]]))</f>
        <v>0</v>
      </c>
      <c r="CO106" s="38" t="n">
        <f aca="false">IF(Tasks[[#This Row],[_LeafWork]]=0,0,Tasks[[#This Row],[_LeafWork]]*IFERROR(INDEX(res_Rate,MATCH(Tasks[[#This Row],[Resource]],res_Name,0)),0))</f>
        <v>0</v>
      </c>
      <c r="CP106" s="38" t="n">
        <f aca="false">Tasks[[#This Row],[_LeafWork]]+IF(Tasks[[#This Row],[_IsLeaf]]=1,SUMIFS(asg_Work,asg_TaskUID,Tasks[[#This Row],[UID]],asg_Valid,1),0)</f>
        <v>0</v>
      </c>
      <c r="CQ106" s="38" t="n">
        <f aca="false">Tasks[[#This Row],[_LeafCost]]+IF(Tasks[[#This Row],[_IsLeaf]]=1,SUMIFS(asg_Cost,asg_TaskUID,Tasks[[#This Row],[UID]],asg_Valid,1),0)</f>
        <v>0</v>
      </c>
      <c r="CR106" s="38" t="n">
        <f aca="false">IF(Tasks[[#This Row],[_LeafTotalCost]]=0,Tasks[[#This Row],[_LeafAC]],Tasks[[#This Row],[_LeafAC]]*Tasks[[#This Row],[_LeafCost]]/Tasks[[#This Row],[_LeafTotalCost]])</f>
        <v>0</v>
      </c>
      <c r="CS10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6" s="38" t="n">
        <f aca="false">IF(NOT(Tasks[[#This Row],[_IsLeaf]]=1),0,MAX(_xlfn.MAXIFS(Tasks[_Row],Tasks[Pred1 UID],Tasks[[#This Row],[UID]]),_xlfn.MAXIFS(Tasks[_Row],Tasks[Pred2 UID],Tasks[[#This Row],[UID]]),_xlfn.MAXIFS(Tasks[_Row],Tasks[Pred3 UID],Tasks[[#This Row],[UID]]),_xlfn.MAXIFS(Tasks[_Row],Tasks[Pred4 UID],Tasks[[#This Row],[UID]])))</f>
        <v>0</v>
      </c>
      <c r="DB10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6" s="115" t="str">
        <f aca="false">IF(NOT(Tasks[[#This Row],[_IsLeaf]]=1),"",IF(N(Tasks[[#This Row],[Duration]])&lt;=0,Tasks[[#This Row],[_LeafLateFinish]],WORKDAY.INTL(Tasks[[#This Row],[_LeafLateFinish]],-(Tasks[[#This Row],[Duration]]-1),WorkWeek,Holidays)))</f>
        <v/>
      </c>
      <c r="DE10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6" s="114" t="b">
        <f aca="false">AND(Tasks[[#This Row],[_IsLeaf]]=1,Tasks[[#This Row],[_LeafProgress]]&lt;1,N(Tasks[[#This Row],[_LeafTotalSlack]])&lt;=CriticalSlackDays)</f>
        <v>0</v>
      </c>
      <c r="DG106" s="38" t="n">
        <f aca="false">IF(AND(Tasks[[#This Row],[_IsLeaf]]=1,Tasks[[#This Row],[_ConstraintCode]]=1,Tasks[[#This Row],[Mode]]&lt;&gt;"Manual",N(Tasks[[#This Row],[Actual Start]])=0),MAX(0,N(Tasks[[#This Row],[Free Slack]])),0)</f>
        <v>0</v>
      </c>
      <c r="DH106" s="115" t="str">
        <f aca="false">IF(NOT(Tasks[[#This Row],[_IsLeaf]]=1),"",IF(Tasks[[#This Row],[_AlapShift]]=0,Tasks[[#This Row],[_LeafCalcStart]],WORKDAY.INTL(Tasks[[#This Row],[_LeafCalcStart]],Tasks[[#This Row],[_AlapShift]],WorkWeek,Holidays)))</f>
        <v/>
      </c>
      <c r="DI106" s="115" t="str">
        <f aca="false">IF(NOT(Tasks[[#This Row],[_IsLeaf]]=1),"",IF(Tasks[[#This Row],[_AlapShift]]=0,Tasks[[#This Row],[_LeafCalcFinish]],WORKDAY.INTL(Tasks[[#This Row],[_LeafCalcFinish]],Tasks[[#This Row],[_AlapShift]],WorkWeek,Holidays)))</f>
        <v/>
      </c>
      <c r="DJ106" s="115" t="str">
        <f aca="false">IF(NOT(Tasks[[#This Row],[_IsLeaf]]=1),"",IF(Tasks[[#This Row],[_AlapShift]]=0,Tasks[[#This Row],[_LeafFcstStart]],WORKDAY.INTL(Tasks[[#This Row],[_LeafFcstStart]],Tasks[[#This Row],[_AlapShift]],WorkWeek,Holidays)))</f>
        <v/>
      </c>
      <c r="DK106" s="115" t="str">
        <f aca="false">IF(NOT(Tasks[[#This Row],[_IsLeaf]]=1),"",IF(Tasks[[#This Row],[_AlapShift]]=0,Tasks[[#This Row],[_LeafFcstFinish]],WORKDAY.INTL(Tasks[[#This Row],[_LeafFcstFinish]],Tasks[[#This Row],[_AlapShift]],WorkWeek,Holidays)))</f>
        <v/>
      </c>
      <c r="DL106" s="115" t="str">
        <f aca="false">IF(Tasks[[#This Row],[Task Name]]="","",IF(Tasks[[#This Row],[_IsSummary]],MIN(INDEX(Tasks[_ShownCalcStart],Tasks[[#This Row],[_Row]]+1):INDEX(Tasks[_ShownCalcStart],Tasks[[#This Row],[_Row]]+Tasks[[#This Row],[_Descendants]])),Tasks[[#This Row],[_ShownCalcStart]]))</f>
        <v/>
      </c>
      <c r="DM106" s="115" t="str">
        <f aca="false">IF(Tasks[[#This Row],[Task Name]]="","",IF(Tasks[[#This Row],[_IsSummary]],MAX(INDEX(Tasks[_ShownCalcFinish],Tasks[[#This Row],[_Row]]+1):INDEX(Tasks[_ShownCalcFinish],Tasks[[#This Row],[_Row]]+Tasks[[#This Row],[_Descendants]])),Tasks[[#This Row],[_ShownCalcFinish]]))</f>
        <v/>
      </c>
      <c r="DN10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6" s="38" t="n">
        <f aca="false">IF(AND(Tasks[[#This Row],[_IsLeaf]]=1,Tasks[[#This Row],[_LeafTotalWork]]&gt;0),NETWORKDAYS.INTL(ProjectStart,Tasks[[#This Row],[_ShownFcstStart]],WorkWeek,Holidays),0)</f>
        <v>0</v>
      </c>
      <c r="EA106" s="38" t="n">
        <f aca="false">IF(AND(Tasks[[#This Row],[_IsLeaf]]=1,Tasks[[#This Row],[_LeafTotalWork]]&gt;0),MAX(Tasks[[#This Row],[_StartWorkday]],NETWORKDAYS.INTL(ProjectStart,Tasks[[#This Row],[_ShownFcstFinish]],WorkWeek,Holidays)),0)</f>
        <v>0</v>
      </c>
      <c r="EB106" s="38" t="n">
        <f aca="false">IF(AND(Tasks[[#This Row],[_IsLeaf]]=1,Tasks[[#This Row],[_LeafTotalWork]]&gt;0),Tasks[[#This Row],[_LeafWork]]/(Tasks[[#This Row],[_FinishWorkday]]-Tasks[[#This Row],[_StartWorkday]]+1),0)</f>
        <v>0</v>
      </c>
      <c r="EC106" s="38" t="n">
        <f aca="false">Tasks[[#This Row],[_WorkPerWorkday]]*(Tasks[[#This Row],[_StartWorkday]]-1)</f>
        <v>-0</v>
      </c>
      <c r="ED106" s="38" t="n">
        <f aca="false">IF(Tasks[[#This Row],[_IsLeaf]]=1,MAX(N(Tasks[[#This Row],[Duration]]),0.1),0)</f>
        <v>0</v>
      </c>
      <c r="EE106" s="38" t="n">
        <f aca="false">Tasks[[#This Row],[_WeightDur]]*Tasks[[#This Row],[_LeafProgress]]</f>
        <v>0</v>
      </c>
      <c r="EF10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6" s="38" t="str">
        <f aca="false">IF(AND(Tasks[[#This Row],[_IsLeaf]]=1,N(Tasks[[#This Row],[Duration]])=0,Tasks[[#This Row],[_LeafProgress]]&lt;1),Tasks[[#This Row],[_ShownFcstFinish]]+Tasks[[#This Row],[_Row]]/100000,"")</f>
        <v/>
      </c>
      <c r="EH10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6" s="38" t="n">
        <f aca="false">IF(NOT(Tasks[[#This Row],[_IsLeaf]]=1),0,IF(Tasks[[#This Row],[Baseline Cost]]="",Tasks[[#This Row],[_LeafTotalCost]],N(Tasks[[#This Row],[Baseline Cost]])))</f>
        <v>0</v>
      </c>
      <c r="EJ106" s="38" t="n">
        <f aca="false">Tasks[[#This Row],[_LeafBudget]]*Tasks[[#This Row],[_PlannedPct]]</f>
        <v>0</v>
      </c>
      <c r="EK106" s="38" t="n">
        <f aca="false">Tasks[[#This Row],[_LeafBudget]]*Tasks[[#This Row],[_LeafProgress]]</f>
        <v>0</v>
      </c>
      <c r="EL106" s="38" t="n">
        <f aca="false">IF(NOT(Tasks[[#This Row],[_IsLeaf]]=1),0,IF(Tasks[[#This Row],[Actual Cost]]="",Tasks[[#This Row],[_LeafTotalCost]]*Tasks[[#This Row],[_LeafProgress]],N(Tasks[[#This Row],[Actual Cost]])))</f>
        <v>0</v>
      </c>
      <c r="EM106" s="38" t="str">
        <f aca="false">IF(Tasks[[#This Row],[Task Name]]="","",LEFT(Tasks[[#This Row],[WBS]],FIND(".",Tasks[[#This Row],[WBS]]&amp;".")-1))</f>
        <v/>
      </c>
      <c r="EN106" s="38" t="str">
        <f aca="false">IF(AND(Tasks[[#This Row],[Task Name]]&lt;&gt;"",Tasks[[#This Row],[_Level]]=1),Tasks[[#This Row],[_Row]],"")</f>
        <v/>
      </c>
      <c r="EO106" s="38" t="str">
        <f aca="false">IF(AND(Tasks[[#This Row],[_IsLeaf]]=1,N(Tasks[[#This Row],[Duration]])=0),Tasks[[#This Row],[Planned Finish]]+Tasks[[#This Row],[_Row]]/100000,"")</f>
        <v/>
      </c>
      <c r="EP106" s="38" t="str">
        <f aca="false">IF(AND(Tasks[[#This Row],[_IsLeaf]]=1,Tasks[[#This Row],[_LeafProgress]]&lt;1,OR(N(Tasks[[#This Row],[Finish Var]])&gt;0,Tasks[[#This Row],[Status]]="Late Start")),MAX(0,Tasks[[#This Row],[Finish Var]])+1-Tasks[[#This Row],[_Row]]/1000000,"")</f>
        <v/>
      </c>
      <c r="EQ106" s="38" t="str">
        <f aca="false">IF(AND(Tasks[[#This Row],[_IsLeaf]]=1,N(Tasks[[#This Row],[Actual Start]])=0,Tasks[[#This Row],[_ShownFcstStart]]&gt;=StatusDate,Tasks[[#This Row],[_ShownFcstStart]]&lt;=LookaheadEnd),Tasks[[#This Row],[_ShownFcstStart]]+Tasks[[#This Row],[_Row]]/100000,"")</f>
        <v/>
      </c>
      <c r="ER106" s="38" t="str">
        <f aca="false">IF(AND(Tasks[[#This Row],[_IsLeaf]]=1,Tasks[[#This Row],[_LeafProgress]]&lt;1,Tasks[[#This Row],[_ShownFcstFinish]]&gt;=StatusDate,Tasks[[#This Row],[_ShownFcstFinish]]&lt;=LookaheadEnd),Tasks[[#This Row],[_ShownFcstFinish]]+Tasks[[#This Row],[_Row]]/100000,"")</f>
        <v/>
      </c>
      <c r="ES106" s="38" t="str">
        <f aca="false">IF(Tasks[[#This Row],[_LeafCritical]],Tasks[[#This Row],[_ShownFcstStart]]+Tasks[[#This Row],[_Row]]/100000,"")</f>
        <v/>
      </c>
      <c r="ET106" s="38" t="n">
        <f aca="false">Tasks[[#This Row],[_LeafWork]]*Tasks[[#This Row],[_LeafProgress]]</f>
        <v>0</v>
      </c>
      <c r="EU106" s="115" t="str">
        <f aca="false">IF(AND(Tasks[[#This Row],[_IsLeaf]]=1,Tasks[[#This Row],[_LeafProgress]]&gt;=1),IF(N(Tasks[[#This Row],[Actual Finish]])&gt;0,Tasks[[#This Row],[Actual Finish]],Tasks[[#This Row],[_ShownFcstFinish]]),"")</f>
        <v/>
      </c>
      <c r="EV106" s="38" t="n">
        <f aca="false">IF(Tasks[[#This Row],[_IsLeaf]]=1,N(Tasks[[#This Row],[Story Points]]),0)</f>
        <v>0</v>
      </c>
      <c r="EW106" s="38" t="str">
        <f aca="false">IF(AND(Tasks[[#This Row],[_IsLeaf]]=1,CurrentSprint&lt;&gt;"",Tasks[[#This Row],[Sprint]]=CurrentSprint),Tasks[[#This Row],[_Row]],"")</f>
        <v/>
      </c>
    </row>
    <row r="107" customFormat="false" ht="15" hidden="false" customHeight="false" outlineLevel="0" collapsed="false">
      <c r="A107" s="51" t="str">
        <f aca="false">IF(Tasks[[#This Row],[Task Name]]="","",COUNTA(Tasks[[#Headers],[Task Name]]:Tasks[[#This Row],[Task Name]])-1)</f>
        <v/>
      </c>
      <c r="B107" s="52" t="n">
        <v>102</v>
      </c>
      <c r="C10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52"/>
      <c r="E107" s="53"/>
      <c r="F107" s="52"/>
      <c r="G107" s="52"/>
      <c r="H107" s="52"/>
      <c r="I107" s="52"/>
      <c r="J107" s="52"/>
      <c r="K107" s="52"/>
      <c r="L107" s="52"/>
      <c r="M107" s="52"/>
      <c r="N107" s="52"/>
      <c r="O107" s="52"/>
      <c r="P107" s="52"/>
      <c r="Q107" s="52"/>
      <c r="R107" s="52"/>
      <c r="S107" s="53"/>
      <c r="T107" s="102"/>
      <c r="U107" s="102"/>
      <c r="V107" s="7"/>
      <c r="W107" s="7"/>
      <c r="X107" s="53"/>
      <c r="Y107" s="31" t="str">
        <f aca="false">IF(Tasks[[#This Row],[Task Name]]="","",IF(Tasks[[#This Row],[_IsSummary]],MIN(INDEX(Tasks[_ShownFcstStart],Tasks[[#This Row],[_Row]]+1):INDEX(Tasks[_ShownFcstStart],Tasks[[#This Row],[_Row]]+Tasks[[#This Row],[_Descendants]])),Tasks[[#This Row],[_ShownFcstStart]]))</f>
        <v/>
      </c>
      <c r="Z107" s="31" t="str">
        <f aca="false">IF(Tasks[[#This Row],[Task Name]]="","",IF(Tasks[[#This Row],[_IsSummary]],MAX(INDEX(Tasks[_ShownFcstFinish],Tasks[[#This Row],[_Row]]+1):INDEX(Tasks[_ShownFcstFinish],Tasks[[#This Row],[_Row]]+Tasks[[#This Row],[_Descendants]])),Tasks[[#This Row],[_ShownFcstFinish]]))</f>
        <v/>
      </c>
      <c r="AA107" s="51" t="str">
        <f aca="false">IF(Tasks[[#This Row],[Task Name]]="","",IF(Tasks[[#This Row],[Progress]]&gt;=1,"Complete",IF(OR(N(Tasks[[#This Row],[Actual Start]])&gt;0,Tasks[[#This Row],[Progress]]&gt;0),IF(Tasks[[#This Row],[Finish Var]]&gt;0,"Behind","In Progress"),IF(Tasks[[#This Row],[Planned Start]]&lt;StatusDate,"Late Start","Not Started"))))</f>
        <v/>
      </c>
      <c r="AB107" s="51" t="str">
        <f aca="false">IF(Tasks[[#This Row],[Task Name]]="","",IF(IF(Tasks[[#This Row],[_IsSummary]],COUNTIF(INDEX(Tasks[_LeafCritical],Tasks[[#This Row],[_Row]]+1):INDEX(Tasks[_LeafCritical],Tasks[[#This Row],[_Row]]+Tasks[[#This Row],[_Descendants]]),TRUE())&gt;0,Tasks[[#This Row],[_LeafCritical]]),"Yes",""))</f>
        <v/>
      </c>
      <c r="AC10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7" s="51" t="str">
        <f aca="false">IF(Tasks[[#This Row],[Task Name]]="","",IF(Tasks[[#This Row],[_Level]]&lt;=OutlineShowLevel,"Yes","No"))</f>
        <v/>
      </c>
      <c r="AE107" s="7"/>
      <c r="AF107" s="52"/>
      <c r="AG107" s="53"/>
      <c r="AH107" s="7"/>
      <c r="AI10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7" s="31" t="str">
        <f aca="false">IF(Tasks[[#This Row],[Task Name]]="","",IF(N(Tasks[[#This Row],[Baseline Start]])&gt;0,Tasks[[#This Row],[Baseline Start]],Tasks[[#This Row],[_CalcStart]]))</f>
        <v/>
      </c>
      <c r="AK107" s="31" t="str">
        <f aca="false">IF(Tasks[[#This Row],[Task Name]]="","",IF(N(Tasks[[#This Row],[Baseline Finish]])&gt;0,Tasks[[#This Row],[Baseline Finish]],Tasks[[#This Row],[_CalcFinish]]))</f>
        <v/>
      </c>
      <c r="AL10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7" s="31" t="str">
        <f aca="false">IF(Tasks[[#This Row],[Task Name]]="","",IF(Tasks[[#This Row],[_IsSummary]],MIN(INDEX(Tasks[_LeafLateStart],Tasks[[#This Row],[_Row]]+1):INDEX(Tasks[_LeafLateStart],Tasks[[#This Row],[_Row]]+Tasks[[#This Row],[_Descendants]])),Tasks[[#This Row],[_LeafLateStart]]))</f>
        <v/>
      </c>
      <c r="AN107" s="31" t="str">
        <f aca="false">IF(Tasks[[#This Row],[Task Name]]="","",IF(Tasks[[#This Row],[_IsSummary]],MAX(INDEX(Tasks[_LeafLateFinish],Tasks[[#This Row],[_Row]]+1):INDEX(Tasks[_LeafLateFinish],Tasks[[#This Row],[_Row]]+Tasks[[#This Row],[_Descendants]])),Tasks[[#This Row],[_LeafLateFinish]]))</f>
        <v/>
      </c>
      <c r="AO107" s="51" t="str">
        <f aca="false">IF(Tasks[[#This Row],[Task Name]]="","",IF(Tasks[[#This Row],[_IsSummary]],MIN(INDEX(Tasks[_LeafTotalSlack],Tasks[[#This Row],[_Row]]+1):INDEX(Tasks[_LeafTotalSlack],Tasks[[#This Row],[_Row]]+Tasks[[#This Row],[_Descendants]])),Tasks[[#This Row],[_LeafTotalSlack]]))</f>
        <v/>
      </c>
      <c r="AP10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7" s="110" t="str">
        <f aca="false">IF(Tasks[[#This Row],[Task Name]]="","",IF(Tasks[[#This Row],[_IsSummary]],SUM(INDEX(Tasks[_LeafTotalWork],Tasks[[#This Row],[_Row]]+1):INDEX(Tasks[_LeafTotalWork],Tasks[[#This Row],[_Row]]+Tasks[[#This Row],[_Descendants]])),Tasks[[#This Row],[_LeafTotalWork]]))</f>
        <v/>
      </c>
      <c r="AV10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7" s="111" t="str">
        <f aca="false">IF(Tasks[[#This Row],[Task Name]]="","",IF(Tasks[[#This Row],[_IsSummary]],SUM(INDEX(Tasks[_LeafTotalCost],Tasks[[#This Row],[_Row]]+1):INDEX(Tasks[_LeafTotalCost],Tasks[[#This Row],[_Row]]+Tasks[[#This Row],[_Descendants]])),Tasks[[#This Row],[_LeafTotalCost]]))</f>
        <v/>
      </c>
      <c r="AY107" s="112"/>
      <c r="AZ10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7" s="52"/>
      <c r="BB107" s="98"/>
      <c r="BC107" s="51" t="str">
        <f aca="false">IF(OR(Tasks[[#This Row],[Task Name]]="",Tasks[[#This Row],[Baseline Duration]]=""),"",Tasks[[#This Row],[BL Source Duration]]-N(Tasks[[#This Row],[Baseline Duration]]))</f>
        <v/>
      </c>
      <c r="BD107" s="110" t="str">
        <f aca="false">IF(OR(Tasks[[#This Row],[Task Name]]="",Tasks[[#This Row],[Baseline Work]]=""),"",Tasks[[#This Row],[Work]]-N(Tasks[[#This Row],[Baseline Work]]))</f>
        <v/>
      </c>
      <c r="BE107" s="111" t="str">
        <f aca="false">IF(OR(Tasks[[#This Row],[Task Name]]="",Tasks[[#This Row],[Baseline Cost]]=""),"",Tasks[[#This Row],[Cost]]-N(Tasks[[#This Row],[Baseline Cost]]))</f>
        <v/>
      </c>
      <c r="BF107" s="31" t="str">
        <f aca="false">IF(Tasks[[#This Row],[Task Name]]="","",Tasks[[#This Row],[Forecast Start]])</f>
        <v/>
      </c>
      <c r="BG107" s="31" t="str">
        <f aca="false">IF(Tasks[[#This Row],[Task Name]]="","",Tasks[[#This Row],[Forecast Finish]])</f>
        <v/>
      </c>
      <c r="BH107" s="51" t="str">
        <f aca="false">IF(Tasks[[#This Row],[Task Name]]="","",IF(Tasks[[#This Row],[_IsSummary]],NETWORKDAYS.INTL(Tasks[[#This Row],[Forecast Start]],Tasks[[#This Row],[Forecast Finish]],WorkWeek,Holidays),N(Tasks[[#This Row],[Duration]])))</f>
        <v/>
      </c>
      <c r="BI107" s="110" t="str">
        <f aca="false">IF(Tasks[[#This Row],[Task Name]]="","",Tasks[[#This Row],[Work]])</f>
        <v/>
      </c>
      <c r="BJ107" s="111" t="str">
        <f aca="false">IF(Tasks[[#This Row],[Task Name]]="","",Tasks[[#This Row],[Cost]])</f>
        <v/>
      </c>
      <c r="BK107" s="7"/>
      <c r="BL107" s="7"/>
      <c r="BM107" s="52"/>
      <c r="BN107" s="113"/>
      <c r="BO107" s="112"/>
      <c r="BP107" s="111" t="str">
        <f aca="false">IF(Tasks[[#This Row],[Task Name]]="","",IF(Tasks[[#This Row],[_IsSummary]],SUM(INDEX(Tasks[_LeafEV],Tasks[[#This Row],[_Row]]+1):INDEX(Tasks[_LeafEV],Tasks[[#This Row],[_Row]]+Tasks[[#This Row],[_Descendants]])),Tasks[[#This Row],[_LeafEV]]))</f>
        <v/>
      </c>
      <c r="BQ107" s="111" t="str">
        <f aca="false">IF(Tasks[[#This Row],[Task Name]]="","",IF(Tasks[[#This Row],[_IsSummary]],SUM(INDEX(Tasks[_LeafBudget],Tasks[[#This Row],[_Row]]+1):INDEX(Tasks[_LeafBudget],Tasks[[#This Row],[_Row]]+Tasks[[#This Row],[_Descendants]])),Tasks[[#This Row],[_LeafBudget]]))</f>
        <v/>
      </c>
      <c r="BR107" s="111" t="str">
        <f aca="false">IF(Tasks[[#This Row],[Task Name]]="","",IF(Tasks[[#This Row],[_IsSummary]],SUM(INDEX(Tasks[_LeafPV],Tasks[[#This Row],[_Row]]+1):INDEX(Tasks[_LeafPV],Tasks[[#This Row],[_Row]]+Tasks[[#This Row],[_Descendants]])),Tasks[[#This Row],[_LeafPV]]))</f>
        <v/>
      </c>
      <c r="BS107" s="111" t="str">
        <f aca="false">IF(Tasks[[#This Row],[Task Name]]="","",IF(Tasks[[#This Row],[_IsSummary]],SUM(INDEX(Tasks[_LeafAC],Tasks[[#This Row],[_Row]]+1):INDEX(Tasks[_LeafAC],Tasks[[#This Row],[_Row]]+Tasks[[#This Row],[_Descendants]])),Tasks[[#This Row],[_LeafAC]]))</f>
        <v/>
      </c>
      <c r="BT107" s="38" t="str">
        <f aca="false">IF(Tasks[[#This Row],[Task Name]]="","",MAX(1,N(Tasks[[#This Row],[Level]])))</f>
        <v/>
      </c>
      <c r="BU107" s="38" t="n">
        <f aca="false">ROW()-ROW(Tasks[[#Headers],[ID]])</f>
        <v>102</v>
      </c>
      <c r="BV107" s="38" t="n">
        <f aca="false">IF(OR(Tasks[[#This Row],[Task Name]]="",Tasks[[#This Row],[_Level]]&lt;=1),0,IFERROR(LOOKUP(2,1/(Tasks[[#Headers],[_Level]]:Tasks[[#This Row],[_Level]]=Tasks[[#This Row],[_Level]]-1),ROW(Tasks[[#Headers],[_Level]]:Tasks[[#This Row],[_Level]])),0))</f>
        <v>0</v>
      </c>
      <c r="BW107" s="38" t="n">
        <f aca="false">IFERROR(N(INDEX(Tasks[_Level],Tasks[[#This Row],[_Row]]+1)),0)</f>
        <v>0</v>
      </c>
      <c r="BX107" s="114" t="b">
        <f aca="false">AND(Tasks[[#This Row],[Task Name]]&lt;&gt;"",Tasks[[#This Row],[_NextLevel]]&gt;Tasks[[#This Row],[_Level]])</f>
        <v>0</v>
      </c>
      <c r="BY107" s="38" t="n">
        <f aca="false">IF(Tasks[[#This Row],[_IsSummary]],COUNTIF(Tasks[WBS],Tasks[[#This Row],[WBS]]&amp;".*"),0)</f>
        <v>0</v>
      </c>
      <c r="BZ107" s="38" t="n">
        <f aca="false">IF(AND(Tasks[[#This Row],[Task Name]]&lt;&gt;"",NOT(Tasks[[#This Row],[_IsSummary]])),1,0)</f>
        <v>0</v>
      </c>
      <c r="CA107" s="38" t="n">
        <f aca="false">IF(N(Tasks[[#This Row],[Pred1 UID]])=0,0,IFERROR(MATCH(Tasks[[#This Row],[Pred1 UID]],Tasks[UID],0),-1))</f>
        <v>0</v>
      </c>
      <c r="CB107" s="38" t="n">
        <f aca="false">IF(N(Tasks[[#This Row],[Pred2 UID]])=0,0,IFERROR(MATCH(Tasks[[#This Row],[Pred2 UID]],Tasks[UID],0),-1))</f>
        <v>0</v>
      </c>
      <c r="CC107" s="38" t="n">
        <f aca="false">IF(N(Tasks[[#This Row],[Pred3 UID]])=0,0,IFERROR(MATCH(Tasks[[#This Row],[Pred3 UID]],Tasks[UID],0),-1))</f>
        <v>0</v>
      </c>
      <c r="CD107" s="38" t="n">
        <f aca="false">IF(N(Tasks[[#This Row],[Pred4 UID]])=0,0,IFERROR(MATCH(Tasks[[#This Row],[Pred4 UID]],Tasks[UID],0),-1))</f>
        <v>0</v>
      </c>
      <c r="CE10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7" s="115" t="n">
        <f aca="false">IF(OR(Tasks[[#This Row],[_ConstraintCode]]=2,Tasks[[#This Row],[_ConstraintCode]]=3,Tasks[[#This Row],[_ConstraintCode]]=4,Tasks[[#This Row],[_ConstraintCode]]=6),Tasks[[#This Row],[_ConstraintStart]],0)</f>
        <v>0</v>
      </c>
      <c r="CH107" s="115" t="n">
        <f aca="false">IF(OR(Tasks[[#This Row],[_ConstraintCode]]=2,Tasks[[#This Row],[_ConstraintCode]]=3,Tasks[[#This Row],[_ConstraintCode]]=5,Tasks[[#This Row],[_ConstraintCode]]=7),Tasks[[#This Row],[_ConstraintStart]],2958465)</f>
        <v>2958465</v>
      </c>
      <c r="CI10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7" s="115" t="str">
        <f aca="false">IF(NOT(Tasks[[#This Row],[_IsLeaf]]=1),"",IF(N(Tasks[[#This Row],[Duration]])&lt;=0,Tasks[[#This Row],[_LeafCalcStart]],WORKDAY.INTL(Tasks[[#This Row],[_LeafCalcStart]],Tasks[[#This Row],[Duration]]-1,WorkWeek,Holidays)))</f>
        <v/>
      </c>
      <c r="CK10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7" s="38" t="n">
        <f aca="false">IF(NOT(Tasks[[#This Row],[_IsLeaf]]=1),0,IF(N(Tasks[[#This Row],[Actual Finish]])&gt;0,1,MIN(1,N(Tasks[[#This Row],[% Complete]]))))</f>
        <v>0</v>
      </c>
      <c r="CN107" s="38" t="n">
        <f aca="false">IF(OR(NOT(Tasks[[#This Row],[_IsLeaf]]=1),Tasks[[#This Row],[Resource]]=""),0,N(Tasks[[#This Row],[Duration]])*HoursPerDay*IF(Tasks[[#This Row],[Units]]="",DefaultUnits,Tasks[[#This Row],[Units]]))</f>
        <v>0</v>
      </c>
      <c r="CO107" s="38" t="n">
        <f aca="false">IF(Tasks[[#This Row],[_LeafWork]]=0,0,Tasks[[#This Row],[_LeafWork]]*IFERROR(INDEX(res_Rate,MATCH(Tasks[[#This Row],[Resource]],res_Name,0)),0))</f>
        <v>0</v>
      </c>
      <c r="CP107" s="38" t="n">
        <f aca="false">Tasks[[#This Row],[_LeafWork]]+IF(Tasks[[#This Row],[_IsLeaf]]=1,SUMIFS(asg_Work,asg_TaskUID,Tasks[[#This Row],[UID]],asg_Valid,1),0)</f>
        <v>0</v>
      </c>
      <c r="CQ107" s="38" t="n">
        <f aca="false">Tasks[[#This Row],[_LeafCost]]+IF(Tasks[[#This Row],[_IsLeaf]]=1,SUMIFS(asg_Cost,asg_TaskUID,Tasks[[#This Row],[UID]],asg_Valid,1),0)</f>
        <v>0</v>
      </c>
      <c r="CR107" s="38" t="n">
        <f aca="false">IF(Tasks[[#This Row],[_LeafTotalCost]]=0,Tasks[[#This Row],[_LeafAC]],Tasks[[#This Row],[_LeafAC]]*Tasks[[#This Row],[_LeafCost]]/Tasks[[#This Row],[_LeafTotalCost]])</f>
        <v>0</v>
      </c>
      <c r="CS10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7" s="38" t="n">
        <f aca="false">IF(NOT(Tasks[[#This Row],[_IsLeaf]]=1),0,MAX(_xlfn.MAXIFS(Tasks[_Row],Tasks[Pred1 UID],Tasks[[#This Row],[UID]]),_xlfn.MAXIFS(Tasks[_Row],Tasks[Pred2 UID],Tasks[[#This Row],[UID]]),_xlfn.MAXIFS(Tasks[_Row],Tasks[Pred3 UID],Tasks[[#This Row],[UID]]),_xlfn.MAXIFS(Tasks[_Row],Tasks[Pred4 UID],Tasks[[#This Row],[UID]])))</f>
        <v>0</v>
      </c>
      <c r="DB10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7" s="115" t="str">
        <f aca="false">IF(NOT(Tasks[[#This Row],[_IsLeaf]]=1),"",IF(N(Tasks[[#This Row],[Duration]])&lt;=0,Tasks[[#This Row],[_LeafLateFinish]],WORKDAY.INTL(Tasks[[#This Row],[_LeafLateFinish]],-(Tasks[[#This Row],[Duration]]-1),WorkWeek,Holidays)))</f>
        <v/>
      </c>
      <c r="DE10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7" s="114" t="b">
        <f aca="false">AND(Tasks[[#This Row],[_IsLeaf]]=1,Tasks[[#This Row],[_LeafProgress]]&lt;1,N(Tasks[[#This Row],[_LeafTotalSlack]])&lt;=CriticalSlackDays)</f>
        <v>0</v>
      </c>
      <c r="DG107" s="38" t="n">
        <f aca="false">IF(AND(Tasks[[#This Row],[_IsLeaf]]=1,Tasks[[#This Row],[_ConstraintCode]]=1,Tasks[[#This Row],[Mode]]&lt;&gt;"Manual",N(Tasks[[#This Row],[Actual Start]])=0),MAX(0,N(Tasks[[#This Row],[Free Slack]])),0)</f>
        <v>0</v>
      </c>
      <c r="DH107" s="115" t="str">
        <f aca="false">IF(NOT(Tasks[[#This Row],[_IsLeaf]]=1),"",IF(Tasks[[#This Row],[_AlapShift]]=0,Tasks[[#This Row],[_LeafCalcStart]],WORKDAY.INTL(Tasks[[#This Row],[_LeafCalcStart]],Tasks[[#This Row],[_AlapShift]],WorkWeek,Holidays)))</f>
        <v/>
      </c>
      <c r="DI107" s="115" t="str">
        <f aca="false">IF(NOT(Tasks[[#This Row],[_IsLeaf]]=1),"",IF(Tasks[[#This Row],[_AlapShift]]=0,Tasks[[#This Row],[_LeafCalcFinish]],WORKDAY.INTL(Tasks[[#This Row],[_LeafCalcFinish]],Tasks[[#This Row],[_AlapShift]],WorkWeek,Holidays)))</f>
        <v/>
      </c>
      <c r="DJ107" s="115" t="str">
        <f aca="false">IF(NOT(Tasks[[#This Row],[_IsLeaf]]=1),"",IF(Tasks[[#This Row],[_AlapShift]]=0,Tasks[[#This Row],[_LeafFcstStart]],WORKDAY.INTL(Tasks[[#This Row],[_LeafFcstStart]],Tasks[[#This Row],[_AlapShift]],WorkWeek,Holidays)))</f>
        <v/>
      </c>
      <c r="DK107" s="115" t="str">
        <f aca="false">IF(NOT(Tasks[[#This Row],[_IsLeaf]]=1),"",IF(Tasks[[#This Row],[_AlapShift]]=0,Tasks[[#This Row],[_LeafFcstFinish]],WORKDAY.INTL(Tasks[[#This Row],[_LeafFcstFinish]],Tasks[[#This Row],[_AlapShift]],WorkWeek,Holidays)))</f>
        <v/>
      </c>
      <c r="DL107" s="115" t="str">
        <f aca="false">IF(Tasks[[#This Row],[Task Name]]="","",IF(Tasks[[#This Row],[_IsSummary]],MIN(INDEX(Tasks[_ShownCalcStart],Tasks[[#This Row],[_Row]]+1):INDEX(Tasks[_ShownCalcStart],Tasks[[#This Row],[_Row]]+Tasks[[#This Row],[_Descendants]])),Tasks[[#This Row],[_ShownCalcStart]]))</f>
        <v/>
      </c>
      <c r="DM107" s="115" t="str">
        <f aca="false">IF(Tasks[[#This Row],[Task Name]]="","",IF(Tasks[[#This Row],[_IsSummary]],MAX(INDEX(Tasks[_ShownCalcFinish],Tasks[[#This Row],[_Row]]+1):INDEX(Tasks[_ShownCalcFinish],Tasks[[#This Row],[_Row]]+Tasks[[#This Row],[_Descendants]])),Tasks[[#This Row],[_ShownCalcFinish]]))</f>
        <v/>
      </c>
      <c r="DN10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7" s="38" t="n">
        <f aca="false">IF(AND(Tasks[[#This Row],[_IsLeaf]]=1,Tasks[[#This Row],[_LeafTotalWork]]&gt;0),NETWORKDAYS.INTL(ProjectStart,Tasks[[#This Row],[_ShownFcstStart]],WorkWeek,Holidays),0)</f>
        <v>0</v>
      </c>
      <c r="EA107" s="38" t="n">
        <f aca="false">IF(AND(Tasks[[#This Row],[_IsLeaf]]=1,Tasks[[#This Row],[_LeafTotalWork]]&gt;0),MAX(Tasks[[#This Row],[_StartWorkday]],NETWORKDAYS.INTL(ProjectStart,Tasks[[#This Row],[_ShownFcstFinish]],WorkWeek,Holidays)),0)</f>
        <v>0</v>
      </c>
      <c r="EB107" s="38" t="n">
        <f aca="false">IF(AND(Tasks[[#This Row],[_IsLeaf]]=1,Tasks[[#This Row],[_LeafTotalWork]]&gt;0),Tasks[[#This Row],[_LeafWork]]/(Tasks[[#This Row],[_FinishWorkday]]-Tasks[[#This Row],[_StartWorkday]]+1),0)</f>
        <v>0</v>
      </c>
      <c r="EC107" s="38" t="n">
        <f aca="false">Tasks[[#This Row],[_WorkPerWorkday]]*(Tasks[[#This Row],[_StartWorkday]]-1)</f>
        <v>-0</v>
      </c>
      <c r="ED107" s="38" t="n">
        <f aca="false">IF(Tasks[[#This Row],[_IsLeaf]]=1,MAX(N(Tasks[[#This Row],[Duration]]),0.1),0)</f>
        <v>0</v>
      </c>
      <c r="EE107" s="38" t="n">
        <f aca="false">Tasks[[#This Row],[_WeightDur]]*Tasks[[#This Row],[_LeafProgress]]</f>
        <v>0</v>
      </c>
      <c r="EF10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7" s="38" t="str">
        <f aca="false">IF(AND(Tasks[[#This Row],[_IsLeaf]]=1,N(Tasks[[#This Row],[Duration]])=0,Tasks[[#This Row],[_LeafProgress]]&lt;1),Tasks[[#This Row],[_ShownFcstFinish]]+Tasks[[#This Row],[_Row]]/100000,"")</f>
        <v/>
      </c>
      <c r="EH10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7" s="38" t="n">
        <f aca="false">IF(NOT(Tasks[[#This Row],[_IsLeaf]]=1),0,IF(Tasks[[#This Row],[Baseline Cost]]="",Tasks[[#This Row],[_LeafTotalCost]],N(Tasks[[#This Row],[Baseline Cost]])))</f>
        <v>0</v>
      </c>
      <c r="EJ107" s="38" t="n">
        <f aca="false">Tasks[[#This Row],[_LeafBudget]]*Tasks[[#This Row],[_PlannedPct]]</f>
        <v>0</v>
      </c>
      <c r="EK107" s="38" t="n">
        <f aca="false">Tasks[[#This Row],[_LeafBudget]]*Tasks[[#This Row],[_LeafProgress]]</f>
        <v>0</v>
      </c>
      <c r="EL107" s="38" t="n">
        <f aca="false">IF(NOT(Tasks[[#This Row],[_IsLeaf]]=1),0,IF(Tasks[[#This Row],[Actual Cost]]="",Tasks[[#This Row],[_LeafTotalCost]]*Tasks[[#This Row],[_LeafProgress]],N(Tasks[[#This Row],[Actual Cost]])))</f>
        <v>0</v>
      </c>
      <c r="EM107" s="38" t="str">
        <f aca="false">IF(Tasks[[#This Row],[Task Name]]="","",LEFT(Tasks[[#This Row],[WBS]],FIND(".",Tasks[[#This Row],[WBS]]&amp;".")-1))</f>
        <v/>
      </c>
      <c r="EN107" s="38" t="str">
        <f aca="false">IF(AND(Tasks[[#This Row],[Task Name]]&lt;&gt;"",Tasks[[#This Row],[_Level]]=1),Tasks[[#This Row],[_Row]],"")</f>
        <v/>
      </c>
      <c r="EO107" s="38" t="str">
        <f aca="false">IF(AND(Tasks[[#This Row],[_IsLeaf]]=1,N(Tasks[[#This Row],[Duration]])=0),Tasks[[#This Row],[Planned Finish]]+Tasks[[#This Row],[_Row]]/100000,"")</f>
        <v/>
      </c>
      <c r="EP107" s="38" t="str">
        <f aca="false">IF(AND(Tasks[[#This Row],[_IsLeaf]]=1,Tasks[[#This Row],[_LeafProgress]]&lt;1,OR(N(Tasks[[#This Row],[Finish Var]])&gt;0,Tasks[[#This Row],[Status]]="Late Start")),MAX(0,Tasks[[#This Row],[Finish Var]])+1-Tasks[[#This Row],[_Row]]/1000000,"")</f>
        <v/>
      </c>
      <c r="EQ107" s="38" t="str">
        <f aca="false">IF(AND(Tasks[[#This Row],[_IsLeaf]]=1,N(Tasks[[#This Row],[Actual Start]])=0,Tasks[[#This Row],[_ShownFcstStart]]&gt;=StatusDate,Tasks[[#This Row],[_ShownFcstStart]]&lt;=LookaheadEnd),Tasks[[#This Row],[_ShownFcstStart]]+Tasks[[#This Row],[_Row]]/100000,"")</f>
        <v/>
      </c>
      <c r="ER107" s="38" t="str">
        <f aca="false">IF(AND(Tasks[[#This Row],[_IsLeaf]]=1,Tasks[[#This Row],[_LeafProgress]]&lt;1,Tasks[[#This Row],[_ShownFcstFinish]]&gt;=StatusDate,Tasks[[#This Row],[_ShownFcstFinish]]&lt;=LookaheadEnd),Tasks[[#This Row],[_ShownFcstFinish]]+Tasks[[#This Row],[_Row]]/100000,"")</f>
        <v/>
      </c>
      <c r="ES107" s="38" t="str">
        <f aca="false">IF(Tasks[[#This Row],[_LeafCritical]],Tasks[[#This Row],[_ShownFcstStart]]+Tasks[[#This Row],[_Row]]/100000,"")</f>
        <v/>
      </c>
      <c r="ET107" s="38" t="n">
        <f aca="false">Tasks[[#This Row],[_LeafWork]]*Tasks[[#This Row],[_LeafProgress]]</f>
        <v>0</v>
      </c>
      <c r="EU107" s="115" t="str">
        <f aca="false">IF(AND(Tasks[[#This Row],[_IsLeaf]]=1,Tasks[[#This Row],[_LeafProgress]]&gt;=1),IF(N(Tasks[[#This Row],[Actual Finish]])&gt;0,Tasks[[#This Row],[Actual Finish]],Tasks[[#This Row],[_ShownFcstFinish]]),"")</f>
        <v/>
      </c>
      <c r="EV107" s="38" t="n">
        <f aca="false">IF(Tasks[[#This Row],[_IsLeaf]]=1,N(Tasks[[#This Row],[Story Points]]),0)</f>
        <v>0</v>
      </c>
      <c r="EW107" s="38" t="str">
        <f aca="false">IF(AND(Tasks[[#This Row],[_IsLeaf]]=1,CurrentSprint&lt;&gt;"",Tasks[[#This Row],[Sprint]]=CurrentSprint),Tasks[[#This Row],[_Row]],"")</f>
        <v/>
      </c>
    </row>
    <row r="108" customFormat="false" ht="15" hidden="false" customHeight="false" outlineLevel="0" collapsed="false">
      <c r="A108" s="51" t="str">
        <f aca="false">IF(Tasks[[#This Row],[Task Name]]="","",COUNTA(Tasks[[#Headers],[Task Name]]:Tasks[[#This Row],[Task Name]])-1)</f>
        <v/>
      </c>
      <c r="B108" s="52" t="n">
        <v>103</v>
      </c>
      <c r="C10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52"/>
      <c r="E108" s="53"/>
      <c r="F108" s="52"/>
      <c r="G108" s="52"/>
      <c r="H108" s="52"/>
      <c r="I108" s="52"/>
      <c r="J108" s="52"/>
      <c r="K108" s="52"/>
      <c r="L108" s="52"/>
      <c r="M108" s="52"/>
      <c r="N108" s="52"/>
      <c r="O108" s="52"/>
      <c r="P108" s="52"/>
      <c r="Q108" s="52"/>
      <c r="R108" s="52"/>
      <c r="S108" s="53"/>
      <c r="T108" s="102"/>
      <c r="U108" s="102"/>
      <c r="V108" s="7"/>
      <c r="W108" s="7"/>
      <c r="X108" s="53"/>
      <c r="Y108" s="31" t="str">
        <f aca="false">IF(Tasks[[#This Row],[Task Name]]="","",IF(Tasks[[#This Row],[_IsSummary]],MIN(INDEX(Tasks[_ShownFcstStart],Tasks[[#This Row],[_Row]]+1):INDEX(Tasks[_ShownFcstStart],Tasks[[#This Row],[_Row]]+Tasks[[#This Row],[_Descendants]])),Tasks[[#This Row],[_ShownFcstStart]]))</f>
        <v/>
      </c>
      <c r="Z108" s="31" t="str">
        <f aca="false">IF(Tasks[[#This Row],[Task Name]]="","",IF(Tasks[[#This Row],[_IsSummary]],MAX(INDEX(Tasks[_ShownFcstFinish],Tasks[[#This Row],[_Row]]+1):INDEX(Tasks[_ShownFcstFinish],Tasks[[#This Row],[_Row]]+Tasks[[#This Row],[_Descendants]])),Tasks[[#This Row],[_ShownFcstFinish]]))</f>
        <v/>
      </c>
      <c r="AA108" s="51" t="str">
        <f aca="false">IF(Tasks[[#This Row],[Task Name]]="","",IF(Tasks[[#This Row],[Progress]]&gt;=1,"Complete",IF(OR(N(Tasks[[#This Row],[Actual Start]])&gt;0,Tasks[[#This Row],[Progress]]&gt;0),IF(Tasks[[#This Row],[Finish Var]]&gt;0,"Behind","In Progress"),IF(Tasks[[#This Row],[Planned Start]]&lt;StatusDate,"Late Start","Not Started"))))</f>
        <v/>
      </c>
      <c r="AB108" s="51" t="str">
        <f aca="false">IF(Tasks[[#This Row],[Task Name]]="","",IF(IF(Tasks[[#This Row],[_IsSummary]],COUNTIF(INDEX(Tasks[_LeafCritical],Tasks[[#This Row],[_Row]]+1):INDEX(Tasks[_LeafCritical],Tasks[[#This Row],[_Row]]+Tasks[[#This Row],[_Descendants]]),TRUE())&gt;0,Tasks[[#This Row],[_LeafCritical]]),"Yes",""))</f>
        <v/>
      </c>
      <c r="AC10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8" s="51" t="str">
        <f aca="false">IF(Tasks[[#This Row],[Task Name]]="","",IF(Tasks[[#This Row],[_Level]]&lt;=OutlineShowLevel,"Yes","No"))</f>
        <v/>
      </c>
      <c r="AE108" s="7"/>
      <c r="AF108" s="52"/>
      <c r="AG108" s="53"/>
      <c r="AH108" s="7"/>
      <c r="AI10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8" s="31" t="str">
        <f aca="false">IF(Tasks[[#This Row],[Task Name]]="","",IF(N(Tasks[[#This Row],[Baseline Start]])&gt;0,Tasks[[#This Row],[Baseline Start]],Tasks[[#This Row],[_CalcStart]]))</f>
        <v/>
      </c>
      <c r="AK108" s="31" t="str">
        <f aca="false">IF(Tasks[[#This Row],[Task Name]]="","",IF(N(Tasks[[#This Row],[Baseline Finish]])&gt;0,Tasks[[#This Row],[Baseline Finish]],Tasks[[#This Row],[_CalcFinish]]))</f>
        <v/>
      </c>
      <c r="AL10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8" s="31" t="str">
        <f aca="false">IF(Tasks[[#This Row],[Task Name]]="","",IF(Tasks[[#This Row],[_IsSummary]],MIN(INDEX(Tasks[_LeafLateStart],Tasks[[#This Row],[_Row]]+1):INDEX(Tasks[_LeafLateStart],Tasks[[#This Row],[_Row]]+Tasks[[#This Row],[_Descendants]])),Tasks[[#This Row],[_LeafLateStart]]))</f>
        <v/>
      </c>
      <c r="AN108" s="31" t="str">
        <f aca="false">IF(Tasks[[#This Row],[Task Name]]="","",IF(Tasks[[#This Row],[_IsSummary]],MAX(INDEX(Tasks[_LeafLateFinish],Tasks[[#This Row],[_Row]]+1):INDEX(Tasks[_LeafLateFinish],Tasks[[#This Row],[_Row]]+Tasks[[#This Row],[_Descendants]])),Tasks[[#This Row],[_LeafLateFinish]]))</f>
        <v/>
      </c>
      <c r="AO108" s="51" t="str">
        <f aca="false">IF(Tasks[[#This Row],[Task Name]]="","",IF(Tasks[[#This Row],[_IsSummary]],MIN(INDEX(Tasks[_LeafTotalSlack],Tasks[[#This Row],[_Row]]+1):INDEX(Tasks[_LeafTotalSlack],Tasks[[#This Row],[_Row]]+Tasks[[#This Row],[_Descendants]])),Tasks[[#This Row],[_LeafTotalSlack]]))</f>
        <v/>
      </c>
      <c r="AP10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8" s="110" t="str">
        <f aca="false">IF(Tasks[[#This Row],[Task Name]]="","",IF(Tasks[[#This Row],[_IsSummary]],SUM(INDEX(Tasks[_LeafTotalWork],Tasks[[#This Row],[_Row]]+1):INDEX(Tasks[_LeafTotalWork],Tasks[[#This Row],[_Row]]+Tasks[[#This Row],[_Descendants]])),Tasks[[#This Row],[_LeafTotalWork]]))</f>
        <v/>
      </c>
      <c r="AV10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8" s="111" t="str">
        <f aca="false">IF(Tasks[[#This Row],[Task Name]]="","",IF(Tasks[[#This Row],[_IsSummary]],SUM(INDEX(Tasks[_LeafTotalCost],Tasks[[#This Row],[_Row]]+1):INDEX(Tasks[_LeafTotalCost],Tasks[[#This Row],[_Row]]+Tasks[[#This Row],[_Descendants]])),Tasks[[#This Row],[_LeafTotalCost]]))</f>
        <v/>
      </c>
      <c r="AY108" s="112"/>
      <c r="AZ10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8" s="52"/>
      <c r="BB108" s="98"/>
      <c r="BC108" s="51" t="str">
        <f aca="false">IF(OR(Tasks[[#This Row],[Task Name]]="",Tasks[[#This Row],[Baseline Duration]]=""),"",Tasks[[#This Row],[BL Source Duration]]-N(Tasks[[#This Row],[Baseline Duration]]))</f>
        <v/>
      </c>
      <c r="BD108" s="110" t="str">
        <f aca="false">IF(OR(Tasks[[#This Row],[Task Name]]="",Tasks[[#This Row],[Baseline Work]]=""),"",Tasks[[#This Row],[Work]]-N(Tasks[[#This Row],[Baseline Work]]))</f>
        <v/>
      </c>
      <c r="BE108" s="111" t="str">
        <f aca="false">IF(OR(Tasks[[#This Row],[Task Name]]="",Tasks[[#This Row],[Baseline Cost]]=""),"",Tasks[[#This Row],[Cost]]-N(Tasks[[#This Row],[Baseline Cost]]))</f>
        <v/>
      </c>
      <c r="BF108" s="31" t="str">
        <f aca="false">IF(Tasks[[#This Row],[Task Name]]="","",Tasks[[#This Row],[Forecast Start]])</f>
        <v/>
      </c>
      <c r="BG108" s="31" t="str">
        <f aca="false">IF(Tasks[[#This Row],[Task Name]]="","",Tasks[[#This Row],[Forecast Finish]])</f>
        <v/>
      </c>
      <c r="BH108" s="51" t="str">
        <f aca="false">IF(Tasks[[#This Row],[Task Name]]="","",IF(Tasks[[#This Row],[_IsSummary]],NETWORKDAYS.INTL(Tasks[[#This Row],[Forecast Start]],Tasks[[#This Row],[Forecast Finish]],WorkWeek,Holidays),N(Tasks[[#This Row],[Duration]])))</f>
        <v/>
      </c>
      <c r="BI108" s="110" t="str">
        <f aca="false">IF(Tasks[[#This Row],[Task Name]]="","",Tasks[[#This Row],[Work]])</f>
        <v/>
      </c>
      <c r="BJ108" s="111" t="str">
        <f aca="false">IF(Tasks[[#This Row],[Task Name]]="","",Tasks[[#This Row],[Cost]])</f>
        <v/>
      </c>
      <c r="BK108" s="7"/>
      <c r="BL108" s="7"/>
      <c r="BM108" s="52"/>
      <c r="BN108" s="113"/>
      <c r="BO108" s="112"/>
      <c r="BP108" s="111" t="str">
        <f aca="false">IF(Tasks[[#This Row],[Task Name]]="","",IF(Tasks[[#This Row],[_IsSummary]],SUM(INDEX(Tasks[_LeafEV],Tasks[[#This Row],[_Row]]+1):INDEX(Tasks[_LeafEV],Tasks[[#This Row],[_Row]]+Tasks[[#This Row],[_Descendants]])),Tasks[[#This Row],[_LeafEV]]))</f>
        <v/>
      </c>
      <c r="BQ108" s="111" t="str">
        <f aca="false">IF(Tasks[[#This Row],[Task Name]]="","",IF(Tasks[[#This Row],[_IsSummary]],SUM(INDEX(Tasks[_LeafBudget],Tasks[[#This Row],[_Row]]+1):INDEX(Tasks[_LeafBudget],Tasks[[#This Row],[_Row]]+Tasks[[#This Row],[_Descendants]])),Tasks[[#This Row],[_LeafBudget]]))</f>
        <v/>
      </c>
      <c r="BR108" s="111" t="str">
        <f aca="false">IF(Tasks[[#This Row],[Task Name]]="","",IF(Tasks[[#This Row],[_IsSummary]],SUM(INDEX(Tasks[_LeafPV],Tasks[[#This Row],[_Row]]+1):INDEX(Tasks[_LeafPV],Tasks[[#This Row],[_Row]]+Tasks[[#This Row],[_Descendants]])),Tasks[[#This Row],[_LeafPV]]))</f>
        <v/>
      </c>
      <c r="BS108" s="111" t="str">
        <f aca="false">IF(Tasks[[#This Row],[Task Name]]="","",IF(Tasks[[#This Row],[_IsSummary]],SUM(INDEX(Tasks[_LeafAC],Tasks[[#This Row],[_Row]]+1):INDEX(Tasks[_LeafAC],Tasks[[#This Row],[_Row]]+Tasks[[#This Row],[_Descendants]])),Tasks[[#This Row],[_LeafAC]]))</f>
        <v/>
      </c>
      <c r="BT108" s="38" t="str">
        <f aca="false">IF(Tasks[[#This Row],[Task Name]]="","",MAX(1,N(Tasks[[#This Row],[Level]])))</f>
        <v/>
      </c>
      <c r="BU108" s="38" t="n">
        <f aca="false">ROW()-ROW(Tasks[[#Headers],[ID]])</f>
        <v>103</v>
      </c>
      <c r="BV108" s="38" t="n">
        <f aca="false">IF(OR(Tasks[[#This Row],[Task Name]]="",Tasks[[#This Row],[_Level]]&lt;=1),0,IFERROR(LOOKUP(2,1/(Tasks[[#Headers],[_Level]]:Tasks[[#This Row],[_Level]]=Tasks[[#This Row],[_Level]]-1),ROW(Tasks[[#Headers],[_Level]]:Tasks[[#This Row],[_Level]])),0))</f>
        <v>0</v>
      </c>
      <c r="BW108" s="38" t="n">
        <f aca="false">IFERROR(N(INDEX(Tasks[_Level],Tasks[[#This Row],[_Row]]+1)),0)</f>
        <v>0</v>
      </c>
      <c r="BX108" s="114" t="b">
        <f aca="false">AND(Tasks[[#This Row],[Task Name]]&lt;&gt;"",Tasks[[#This Row],[_NextLevel]]&gt;Tasks[[#This Row],[_Level]])</f>
        <v>0</v>
      </c>
      <c r="BY108" s="38" t="n">
        <f aca="false">IF(Tasks[[#This Row],[_IsSummary]],COUNTIF(Tasks[WBS],Tasks[[#This Row],[WBS]]&amp;".*"),0)</f>
        <v>0</v>
      </c>
      <c r="BZ108" s="38" t="n">
        <f aca="false">IF(AND(Tasks[[#This Row],[Task Name]]&lt;&gt;"",NOT(Tasks[[#This Row],[_IsSummary]])),1,0)</f>
        <v>0</v>
      </c>
      <c r="CA108" s="38" t="n">
        <f aca="false">IF(N(Tasks[[#This Row],[Pred1 UID]])=0,0,IFERROR(MATCH(Tasks[[#This Row],[Pred1 UID]],Tasks[UID],0),-1))</f>
        <v>0</v>
      </c>
      <c r="CB108" s="38" t="n">
        <f aca="false">IF(N(Tasks[[#This Row],[Pred2 UID]])=0,0,IFERROR(MATCH(Tasks[[#This Row],[Pred2 UID]],Tasks[UID],0),-1))</f>
        <v>0</v>
      </c>
      <c r="CC108" s="38" t="n">
        <f aca="false">IF(N(Tasks[[#This Row],[Pred3 UID]])=0,0,IFERROR(MATCH(Tasks[[#This Row],[Pred3 UID]],Tasks[UID],0),-1))</f>
        <v>0</v>
      </c>
      <c r="CD108" s="38" t="n">
        <f aca="false">IF(N(Tasks[[#This Row],[Pred4 UID]])=0,0,IFERROR(MATCH(Tasks[[#This Row],[Pred4 UID]],Tasks[UID],0),-1))</f>
        <v>0</v>
      </c>
      <c r="CE10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8" s="115" t="n">
        <f aca="false">IF(OR(Tasks[[#This Row],[_ConstraintCode]]=2,Tasks[[#This Row],[_ConstraintCode]]=3,Tasks[[#This Row],[_ConstraintCode]]=4,Tasks[[#This Row],[_ConstraintCode]]=6),Tasks[[#This Row],[_ConstraintStart]],0)</f>
        <v>0</v>
      </c>
      <c r="CH108" s="115" t="n">
        <f aca="false">IF(OR(Tasks[[#This Row],[_ConstraintCode]]=2,Tasks[[#This Row],[_ConstraintCode]]=3,Tasks[[#This Row],[_ConstraintCode]]=5,Tasks[[#This Row],[_ConstraintCode]]=7),Tasks[[#This Row],[_ConstraintStart]],2958465)</f>
        <v>2958465</v>
      </c>
      <c r="CI10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8" s="115" t="str">
        <f aca="false">IF(NOT(Tasks[[#This Row],[_IsLeaf]]=1),"",IF(N(Tasks[[#This Row],[Duration]])&lt;=0,Tasks[[#This Row],[_LeafCalcStart]],WORKDAY.INTL(Tasks[[#This Row],[_LeafCalcStart]],Tasks[[#This Row],[Duration]]-1,WorkWeek,Holidays)))</f>
        <v/>
      </c>
      <c r="CK10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8" s="38" t="n">
        <f aca="false">IF(NOT(Tasks[[#This Row],[_IsLeaf]]=1),0,IF(N(Tasks[[#This Row],[Actual Finish]])&gt;0,1,MIN(1,N(Tasks[[#This Row],[% Complete]]))))</f>
        <v>0</v>
      </c>
      <c r="CN108" s="38" t="n">
        <f aca="false">IF(OR(NOT(Tasks[[#This Row],[_IsLeaf]]=1),Tasks[[#This Row],[Resource]]=""),0,N(Tasks[[#This Row],[Duration]])*HoursPerDay*IF(Tasks[[#This Row],[Units]]="",DefaultUnits,Tasks[[#This Row],[Units]]))</f>
        <v>0</v>
      </c>
      <c r="CO108" s="38" t="n">
        <f aca="false">IF(Tasks[[#This Row],[_LeafWork]]=0,0,Tasks[[#This Row],[_LeafWork]]*IFERROR(INDEX(res_Rate,MATCH(Tasks[[#This Row],[Resource]],res_Name,0)),0))</f>
        <v>0</v>
      </c>
      <c r="CP108" s="38" t="n">
        <f aca="false">Tasks[[#This Row],[_LeafWork]]+IF(Tasks[[#This Row],[_IsLeaf]]=1,SUMIFS(asg_Work,asg_TaskUID,Tasks[[#This Row],[UID]],asg_Valid,1),0)</f>
        <v>0</v>
      </c>
      <c r="CQ108" s="38" t="n">
        <f aca="false">Tasks[[#This Row],[_LeafCost]]+IF(Tasks[[#This Row],[_IsLeaf]]=1,SUMIFS(asg_Cost,asg_TaskUID,Tasks[[#This Row],[UID]],asg_Valid,1),0)</f>
        <v>0</v>
      </c>
      <c r="CR108" s="38" t="n">
        <f aca="false">IF(Tasks[[#This Row],[_LeafTotalCost]]=0,Tasks[[#This Row],[_LeafAC]],Tasks[[#This Row],[_LeafAC]]*Tasks[[#This Row],[_LeafCost]]/Tasks[[#This Row],[_LeafTotalCost]])</f>
        <v>0</v>
      </c>
      <c r="CS10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8" s="38" t="n">
        <f aca="false">IF(NOT(Tasks[[#This Row],[_IsLeaf]]=1),0,MAX(_xlfn.MAXIFS(Tasks[_Row],Tasks[Pred1 UID],Tasks[[#This Row],[UID]]),_xlfn.MAXIFS(Tasks[_Row],Tasks[Pred2 UID],Tasks[[#This Row],[UID]]),_xlfn.MAXIFS(Tasks[_Row],Tasks[Pred3 UID],Tasks[[#This Row],[UID]]),_xlfn.MAXIFS(Tasks[_Row],Tasks[Pred4 UID],Tasks[[#This Row],[UID]])))</f>
        <v>0</v>
      </c>
      <c r="DB10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8" s="115" t="str">
        <f aca="false">IF(NOT(Tasks[[#This Row],[_IsLeaf]]=1),"",IF(N(Tasks[[#This Row],[Duration]])&lt;=0,Tasks[[#This Row],[_LeafLateFinish]],WORKDAY.INTL(Tasks[[#This Row],[_LeafLateFinish]],-(Tasks[[#This Row],[Duration]]-1),WorkWeek,Holidays)))</f>
        <v/>
      </c>
      <c r="DE10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8" s="114" t="b">
        <f aca="false">AND(Tasks[[#This Row],[_IsLeaf]]=1,Tasks[[#This Row],[_LeafProgress]]&lt;1,N(Tasks[[#This Row],[_LeafTotalSlack]])&lt;=CriticalSlackDays)</f>
        <v>0</v>
      </c>
      <c r="DG108" s="38" t="n">
        <f aca="false">IF(AND(Tasks[[#This Row],[_IsLeaf]]=1,Tasks[[#This Row],[_ConstraintCode]]=1,Tasks[[#This Row],[Mode]]&lt;&gt;"Manual",N(Tasks[[#This Row],[Actual Start]])=0),MAX(0,N(Tasks[[#This Row],[Free Slack]])),0)</f>
        <v>0</v>
      </c>
      <c r="DH108" s="115" t="str">
        <f aca="false">IF(NOT(Tasks[[#This Row],[_IsLeaf]]=1),"",IF(Tasks[[#This Row],[_AlapShift]]=0,Tasks[[#This Row],[_LeafCalcStart]],WORKDAY.INTL(Tasks[[#This Row],[_LeafCalcStart]],Tasks[[#This Row],[_AlapShift]],WorkWeek,Holidays)))</f>
        <v/>
      </c>
      <c r="DI108" s="115" t="str">
        <f aca="false">IF(NOT(Tasks[[#This Row],[_IsLeaf]]=1),"",IF(Tasks[[#This Row],[_AlapShift]]=0,Tasks[[#This Row],[_LeafCalcFinish]],WORKDAY.INTL(Tasks[[#This Row],[_LeafCalcFinish]],Tasks[[#This Row],[_AlapShift]],WorkWeek,Holidays)))</f>
        <v/>
      </c>
      <c r="DJ108" s="115" t="str">
        <f aca="false">IF(NOT(Tasks[[#This Row],[_IsLeaf]]=1),"",IF(Tasks[[#This Row],[_AlapShift]]=0,Tasks[[#This Row],[_LeafFcstStart]],WORKDAY.INTL(Tasks[[#This Row],[_LeafFcstStart]],Tasks[[#This Row],[_AlapShift]],WorkWeek,Holidays)))</f>
        <v/>
      </c>
      <c r="DK108" s="115" t="str">
        <f aca="false">IF(NOT(Tasks[[#This Row],[_IsLeaf]]=1),"",IF(Tasks[[#This Row],[_AlapShift]]=0,Tasks[[#This Row],[_LeafFcstFinish]],WORKDAY.INTL(Tasks[[#This Row],[_LeafFcstFinish]],Tasks[[#This Row],[_AlapShift]],WorkWeek,Holidays)))</f>
        <v/>
      </c>
      <c r="DL108" s="115" t="str">
        <f aca="false">IF(Tasks[[#This Row],[Task Name]]="","",IF(Tasks[[#This Row],[_IsSummary]],MIN(INDEX(Tasks[_ShownCalcStart],Tasks[[#This Row],[_Row]]+1):INDEX(Tasks[_ShownCalcStart],Tasks[[#This Row],[_Row]]+Tasks[[#This Row],[_Descendants]])),Tasks[[#This Row],[_ShownCalcStart]]))</f>
        <v/>
      </c>
      <c r="DM108" s="115" t="str">
        <f aca="false">IF(Tasks[[#This Row],[Task Name]]="","",IF(Tasks[[#This Row],[_IsSummary]],MAX(INDEX(Tasks[_ShownCalcFinish],Tasks[[#This Row],[_Row]]+1):INDEX(Tasks[_ShownCalcFinish],Tasks[[#This Row],[_Row]]+Tasks[[#This Row],[_Descendants]])),Tasks[[#This Row],[_ShownCalcFinish]]))</f>
        <v/>
      </c>
      <c r="DN10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8" s="38" t="n">
        <f aca="false">IF(AND(Tasks[[#This Row],[_IsLeaf]]=1,Tasks[[#This Row],[_LeafTotalWork]]&gt;0),NETWORKDAYS.INTL(ProjectStart,Tasks[[#This Row],[_ShownFcstStart]],WorkWeek,Holidays),0)</f>
        <v>0</v>
      </c>
      <c r="EA108" s="38" t="n">
        <f aca="false">IF(AND(Tasks[[#This Row],[_IsLeaf]]=1,Tasks[[#This Row],[_LeafTotalWork]]&gt;0),MAX(Tasks[[#This Row],[_StartWorkday]],NETWORKDAYS.INTL(ProjectStart,Tasks[[#This Row],[_ShownFcstFinish]],WorkWeek,Holidays)),0)</f>
        <v>0</v>
      </c>
      <c r="EB108" s="38" t="n">
        <f aca="false">IF(AND(Tasks[[#This Row],[_IsLeaf]]=1,Tasks[[#This Row],[_LeafTotalWork]]&gt;0),Tasks[[#This Row],[_LeafWork]]/(Tasks[[#This Row],[_FinishWorkday]]-Tasks[[#This Row],[_StartWorkday]]+1),0)</f>
        <v>0</v>
      </c>
      <c r="EC108" s="38" t="n">
        <f aca="false">Tasks[[#This Row],[_WorkPerWorkday]]*(Tasks[[#This Row],[_StartWorkday]]-1)</f>
        <v>-0</v>
      </c>
      <c r="ED108" s="38" t="n">
        <f aca="false">IF(Tasks[[#This Row],[_IsLeaf]]=1,MAX(N(Tasks[[#This Row],[Duration]]),0.1),0)</f>
        <v>0</v>
      </c>
      <c r="EE108" s="38" t="n">
        <f aca="false">Tasks[[#This Row],[_WeightDur]]*Tasks[[#This Row],[_LeafProgress]]</f>
        <v>0</v>
      </c>
      <c r="EF10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8" s="38" t="str">
        <f aca="false">IF(AND(Tasks[[#This Row],[_IsLeaf]]=1,N(Tasks[[#This Row],[Duration]])=0,Tasks[[#This Row],[_LeafProgress]]&lt;1),Tasks[[#This Row],[_ShownFcstFinish]]+Tasks[[#This Row],[_Row]]/100000,"")</f>
        <v/>
      </c>
      <c r="EH10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8" s="38" t="n">
        <f aca="false">IF(NOT(Tasks[[#This Row],[_IsLeaf]]=1),0,IF(Tasks[[#This Row],[Baseline Cost]]="",Tasks[[#This Row],[_LeafTotalCost]],N(Tasks[[#This Row],[Baseline Cost]])))</f>
        <v>0</v>
      </c>
      <c r="EJ108" s="38" t="n">
        <f aca="false">Tasks[[#This Row],[_LeafBudget]]*Tasks[[#This Row],[_PlannedPct]]</f>
        <v>0</v>
      </c>
      <c r="EK108" s="38" t="n">
        <f aca="false">Tasks[[#This Row],[_LeafBudget]]*Tasks[[#This Row],[_LeafProgress]]</f>
        <v>0</v>
      </c>
      <c r="EL108" s="38" t="n">
        <f aca="false">IF(NOT(Tasks[[#This Row],[_IsLeaf]]=1),0,IF(Tasks[[#This Row],[Actual Cost]]="",Tasks[[#This Row],[_LeafTotalCost]]*Tasks[[#This Row],[_LeafProgress]],N(Tasks[[#This Row],[Actual Cost]])))</f>
        <v>0</v>
      </c>
      <c r="EM108" s="38" t="str">
        <f aca="false">IF(Tasks[[#This Row],[Task Name]]="","",LEFT(Tasks[[#This Row],[WBS]],FIND(".",Tasks[[#This Row],[WBS]]&amp;".")-1))</f>
        <v/>
      </c>
      <c r="EN108" s="38" t="str">
        <f aca="false">IF(AND(Tasks[[#This Row],[Task Name]]&lt;&gt;"",Tasks[[#This Row],[_Level]]=1),Tasks[[#This Row],[_Row]],"")</f>
        <v/>
      </c>
      <c r="EO108" s="38" t="str">
        <f aca="false">IF(AND(Tasks[[#This Row],[_IsLeaf]]=1,N(Tasks[[#This Row],[Duration]])=0),Tasks[[#This Row],[Planned Finish]]+Tasks[[#This Row],[_Row]]/100000,"")</f>
        <v/>
      </c>
      <c r="EP108" s="38" t="str">
        <f aca="false">IF(AND(Tasks[[#This Row],[_IsLeaf]]=1,Tasks[[#This Row],[_LeafProgress]]&lt;1,OR(N(Tasks[[#This Row],[Finish Var]])&gt;0,Tasks[[#This Row],[Status]]="Late Start")),MAX(0,Tasks[[#This Row],[Finish Var]])+1-Tasks[[#This Row],[_Row]]/1000000,"")</f>
        <v/>
      </c>
      <c r="EQ108" s="38" t="str">
        <f aca="false">IF(AND(Tasks[[#This Row],[_IsLeaf]]=1,N(Tasks[[#This Row],[Actual Start]])=0,Tasks[[#This Row],[_ShownFcstStart]]&gt;=StatusDate,Tasks[[#This Row],[_ShownFcstStart]]&lt;=LookaheadEnd),Tasks[[#This Row],[_ShownFcstStart]]+Tasks[[#This Row],[_Row]]/100000,"")</f>
        <v/>
      </c>
      <c r="ER108" s="38" t="str">
        <f aca="false">IF(AND(Tasks[[#This Row],[_IsLeaf]]=1,Tasks[[#This Row],[_LeafProgress]]&lt;1,Tasks[[#This Row],[_ShownFcstFinish]]&gt;=StatusDate,Tasks[[#This Row],[_ShownFcstFinish]]&lt;=LookaheadEnd),Tasks[[#This Row],[_ShownFcstFinish]]+Tasks[[#This Row],[_Row]]/100000,"")</f>
        <v/>
      </c>
      <c r="ES108" s="38" t="str">
        <f aca="false">IF(Tasks[[#This Row],[_LeafCritical]],Tasks[[#This Row],[_ShownFcstStart]]+Tasks[[#This Row],[_Row]]/100000,"")</f>
        <v/>
      </c>
      <c r="ET108" s="38" t="n">
        <f aca="false">Tasks[[#This Row],[_LeafWork]]*Tasks[[#This Row],[_LeafProgress]]</f>
        <v>0</v>
      </c>
      <c r="EU108" s="115" t="str">
        <f aca="false">IF(AND(Tasks[[#This Row],[_IsLeaf]]=1,Tasks[[#This Row],[_LeafProgress]]&gt;=1),IF(N(Tasks[[#This Row],[Actual Finish]])&gt;0,Tasks[[#This Row],[Actual Finish]],Tasks[[#This Row],[_ShownFcstFinish]]),"")</f>
        <v/>
      </c>
      <c r="EV108" s="38" t="n">
        <f aca="false">IF(Tasks[[#This Row],[_IsLeaf]]=1,N(Tasks[[#This Row],[Story Points]]),0)</f>
        <v>0</v>
      </c>
      <c r="EW108" s="38" t="str">
        <f aca="false">IF(AND(Tasks[[#This Row],[_IsLeaf]]=1,CurrentSprint&lt;&gt;"",Tasks[[#This Row],[Sprint]]=CurrentSprint),Tasks[[#This Row],[_Row]],"")</f>
        <v/>
      </c>
    </row>
    <row r="109" customFormat="false" ht="15" hidden="false" customHeight="false" outlineLevel="0" collapsed="false">
      <c r="A109" s="51" t="str">
        <f aca="false">IF(Tasks[[#This Row],[Task Name]]="","",COUNTA(Tasks[[#Headers],[Task Name]]:Tasks[[#This Row],[Task Name]])-1)</f>
        <v/>
      </c>
      <c r="B109" s="52" t="n">
        <v>104</v>
      </c>
      <c r="C10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52"/>
      <c r="E109" s="53"/>
      <c r="F109" s="52"/>
      <c r="G109" s="52"/>
      <c r="H109" s="52"/>
      <c r="I109" s="52"/>
      <c r="J109" s="52"/>
      <c r="K109" s="52"/>
      <c r="L109" s="52"/>
      <c r="M109" s="52"/>
      <c r="N109" s="52"/>
      <c r="O109" s="52"/>
      <c r="P109" s="52"/>
      <c r="Q109" s="52"/>
      <c r="R109" s="52"/>
      <c r="S109" s="53"/>
      <c r="T109" s="102"/>
      <c r="U109" s="102"/>
      <c r="V109" s="7"/>
      <c r="W109" s="7"/>
      <c r="X109" s="53"/>
      <c r="Y109" s="31" t="str">
        <f aca="false">IF(Tasks[[#This Row],[Task Name]]="","",IF(Tasks[[#This Row],[_IsSummary]],MIN(INDEX(Tasks[_ShownFcstStart],Tasks[[#This Row],[_Row]]+1):INDEX(Tasks[_ShownFcstStart],Tasks[[#This Row],[_Row]]+Tasks[[#This Row],[_Descendants]])),Tasks[[#This Row],[_ShownFcstStart]]))</f>
        <v/>
      </c>
      <c r="Z109" s="31" t="str">
        <f aca="false">IF(Tasks[[#This Row],[Task Name]]="","",IF(Tasks[[#This Row],[_IsSummary]],MAX(INDEX(Tasks[_ShownFcstFinish],Tasks[[#This Row],[_Row]]+1):INDEX(Tasks[_ShownFcstFinish],Tasks[[#This Row],[_Row]]+Tasks[[#This Row],[_Descendants]])),Tasks[[#This Row],[_ShownFcstFinish]]))</f>
        <v/>
      </c>
      <c r="AA109" s="51" t="str">
        <f aca="false">IF(Tasks[[#This Row],[Task Name]]="","",IF(Tasks[[#This Row],[Progress]]&gt;=1,"Complete",IF(OR(N(Tasks[[#This Row],[Actual Start]])&gt;0,Tasks[[#This Row],[Progress]]&gt;0),IF(Tasks[[#This Row],[Finish Var]]&gt;0,"Behind","In Progress"),IF(Tasks[[#This Row],[Planned Start]]&lt;StatusDate,"Late Start","Not Started"))))</f>
        <v/>
      </c>
      <c r="AB109" s="51" t="str">
        <f aca="false">IF(Tasks[[#This Row],[Task Name]]="","",IF(IF(Tasks[[#This Row],[_IsSummary]],COUNTIF(INDEX(Tasks[_LeafCritical],Tasks[[#This Row],[_Row]]+1):INDEX(Tasks[_LeafCritical],Tasks[[#This Row],[_Row]]+Tasks[[#This Row],[_Descendants]]),TRUE())&gt;0,Tasks[[#This Row],[_LeafCritical]]),"Yes",""))</f>
        <v/>
      </c>
      <c r="AC10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9" s="51" t="str">
        <f aca="false">IF(Tasks[[#This Row],[Task Name]]="","",IF(Tasks[[#This Row],[_Level]]&lt;=OutlineShowLevel,"Yes","No"))</f>
        <v/>
      </c>
      <c r="AE109" s="7"/>
      <c r="AF109" s="52"/>
      <c r="AG109" s="53"/>
      <c r="AH109" s="7"/>
      <c r="AI10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9" s="31" t="str">
        <f aca="false">IF(Tasks[[#This Row],[Task Name]]="","",IF(N(Tasks[[#This Row],[Baseline Start]])&gt;0,Tasks[[#This Row],[Baseline Start]],Tasks[[#This Row],[_CalcStart]]))</f>
        <v/>
      </c>
      <c r="AK109" s="31" t="str">
        <f aca="false">IF(Tasks[[#This Row],[Task Name]]="","",IF(N(Tasks[[#This Row],[Baseline Finish]])&gt;0,Tasks[[#This Row],[Baseline Finish]],Tasks[[#This Row],[_CalcFinish]]))</f>
        <v/>
      </c>
      <c r="AL10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9" s="31" t="str">
        <f aca="false">IF(Tasks[[#This Row],[Task Name]]="","",IF(Tasks[[#This Row],[_IsSummary]],MIN(INDEX(Tasks[_LeafLateStart],Tasks[[#This Row],[_Row]]+1):INDEX(Tasks[_LeafLateStart],Tasks[[#This Row],[_Row]]+Tasks[[#This Row],[_Descendants]])),Tasks[[#This Row],[_LeafLateStart]]))</f>
        <v/>
      </c>
      <c r="AN109" s="31" t="str">
        <f aca="false">IF(Tasks[[#This Row],[Task Name]]="","",IF(Tasks[[#This Row],[_IsSummary]],MAX(INDEX(Tasks[_LeafLateFinish],Tasks[[#This Row],[_Row]]+1):INDEX(Tasks[_LeafLateFinish],Tasks[[#This Row],[_Row]]+Tasks[[#This Row],[_Descendants]])),Tasks[[#This Row],[_LeafLateFinish]]))</f>
        <v/>
      </c>
      <c r="AO109" s="51" t="str">
        <f aca="false">IF(Tasks[[#This Row],[Task Name]]="","",IF(Tasks[[#This Row],[_IsSummary]],MIN(INDEX(Tasks[_LeafTotalSlack],Tasks[[#This Row],[_Row]]+1):INDEX(Tasks[_LeafTotalSlack],Tasks[[#This Row],[_Row]]+Tasks[[#This Row],[_Descendants]])),Tasks[[#This Row],[_LeafTotalSlack]]))</f>
        <v/>
      </c>
      <c r="AP10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9" s="110" t="str">
        <f aca="false">IF(Tasks[[#This Row],[Task Name]]="","",IF(Tasks[[#This Row],[_IsSummary]],SUM(INDEX(Tasks[_LeafTotalWork],Tasks[[#This Row],[_Row]]+1):INDEX(Tasks[_LeafTotalWork],Tasks[[#This Row],[_Row]]+Tasks[[#This Row],[_Descendants]])),Tasks[[#This Row],[_LeafTotalWork]]))</f>
        <v/>
      </c>
      <c r="AV10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9" s="111" t="str">
        <f aca="false">IF(Tasks[[#This Row],[Task Name]]="","",IF(Tasks[[#This Row],[_IsSummary]],SUM(INDEX(Tasks[_LeafTotalCost],Tasks[[#This Row],[_Row]]+1):INDEX(Tasks[_LeafTotalCost],Tasks[[#This Row],[_Row]]+Tasks[[#This Row],[_Descendants]])),Tasks[[#This Row],[_LeafTotalCost]]))</f>
        <v/>
      </c>
      <c r="AY109" s="112"/>
      <c r="AZ10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9" s="52"/>
      <c r="BB109" s="98"/>
      <c r="BC109" s="51" t="str">
        <f aca="false">IF(OR(Tasks[[#This Row],[Task Name]]="",Tasks[[#This Row],[Baseline Duration]]=""),"",Tasks[[#This Row],[BL Source Duration]]-N(Tasks[[#This Row],[Baseline Duration]]))</f>
        <v/>
      </c>
      <c r="BD109" s="110" t="str">
        <f aca="false">IF(OR(Tasks[[#This Row],[Task Name]]="",Tasks[[#This Row],[Baseline Work]]=""),"",Tasks[[#This Row],[Work]]-N(Tasks[[#This Row],[Baseline Work]]))</f>
        <v/>
      </c>
      <c r="BE109" s="111" t="str">
        <f aca="false">IF(OR(Tasks[[#This Row],[Task Name]]="",Tasks[[#This Row],[Baseline Cost]]=""),"",Tasks[[#This Row],[Cost]]-N(Tasks[[#This Row],[Baseline Cost]]))</f>
        <v/>
      </c>
      <c r="BF109" s="31" t="str">
        <f aca="false">IF(Tasks[[#This Row],[Task Name]]="","",Tasks[[#This Row],[Forecast Start]])</f>
        <v/>
      </c>
      <c r="BG109" s="31" t="str">
        <f aca="false">IF(Tasks[[#This Row],[Task Name]]="","",Tasks[[#This Row],[Forecast Finish]])</f>
        <v/>
      </c>
      <c r="BH109" s="51" t="str">
        <f aca="false">IF(Tasks[[#This Row],[Task Name]]="","",IF(Tasks[[#This Row],[_IsSummary]],NETWORKDAYS.INTL(Tasks[[#This Row],[Forecast Start]],Tasks[[#This Row],[Forecast Finish]],WorkWeek,Holidays),N(Tasks[[#This Row],[Duration]])))</f>
        <v/>
      </c>
      <c r="BI109" s="110" t="str">
        <f aca="false">IF(Tasks[[#This Row],[Task Name]]="","",Tasks[[#This Row],[Work]])</f>
        <v/>
      </c>
      <c r="BJ109" s="111" t="str">
        <f aca="false">IF(Tasks[[#This Row],[Task Name]]="","",Tasks[[#This Row],[Cost]])</f>
        <v/>
      </c>
      <c r="BK109" s="7"/>
      <c r="BL109" s="7"/>
      <c r="BM109" s="52"/>
      <c r="BN109" s="113"/>
      <c r="BO109" s="112"/>
      <c r="BP109" s="111" t="str">
        <f aca="false">IF(Tasks[[#This Row],[Task Name]]="","",IF(Tasks[[#This Row],[_IsSummary]],SUM(INDEX(Tasks[_LeafEV],Tasks[[#This Row],[_Row]]+1):INDEX(Tasks[_LeafEV],Tasks[[#This Row],[_Row]]+Tasks[[#This Row],[_Descendants]])),Tasks[[#This Row],[_LeafEV]]))</f>
        <v/>
      </c>
      <c r="BQ109" s="111" t="str">
        <f aca="false">IF(Tasks[[#This Row],[Task Name]]="","",IF(Tasks[[#This Row],[_IsSummary]],SUM(INDEX(Tasks[_LeafBudget],Tasks[[#This Row],[_Row]]+1):INDEX(Tasks[_LeafBudget],Tasks[[#This Row],[_Row]]+Tasks[[#This Row],[_Descendants]])),Tasks[[#This Row],[_LeafBudget]]))</f>
        <v/>
      </c>
      <c r="BR109" s="111" t="str">
        <f aca="false">IF(Tasks[[#This Row],[Task Name]]="","",IF(Tasks[[#This Row],[_IsSummary]],SUM(INDEX(Tasks[_LeafPV],Tasks[[#This Row],[_Row]]+1):INDEX(Tasks[_LeafPV],Tasks[[#This Row],[_Row]]+Tasks[[#This Row],[_Descendants]])),Tasks[[#This Row],[_LeafPV]]))</f>
        <v/>
      </c>
      <c r="BS109" s="111" t="str">
        <f aca="false">IF(Tasks[[#This Row],[Task Name]]="","",IF(Tasks[[#This Row],[_IsSummary]],SUM(INDEX(Tasks[_LeafAC],Tasks[[#This Row],[_Row]]+1):INDEX(Tasks[_LeafAC],Tasks[[#This Row],[_Row]]+Tasks[[#This Row],[_Descendants]])),Tasks[[#This Row],[_LeafAC]]))</f>
        <v/>
      </c>
      <c r="BT109" s="38" t="str">
        <f aca="false">IF(Tasks[[#This Row],[Task Name]]="","",MAX(1,N(Tasks[[#This Row],[Level]])))</f>
        <v/>
      </c>
      <c r="BU109" s="38" t="n">
        <f aca="false">ROW()-ROW(Tasks[[#Headers],[ID]])</f>
        <v>104</v>
      </c>
      <c r="BV109" s="38" t="n">
        <f aca="false">IF(OR(Tasks[[#This Row],[Task Name]]="",Tasks[[#This Row],[_Level]]&lt;=1),0,IFERROR(LOOKUP(2,1/(Tasks[[#Headers],[_Level]]:Tasks[[#This Row],[_Level]]=Tasks[[#This Row],[_Level]]-1),ROW(Tasks[[#Headers],[_Level]]:Tasks[[#This Row],[_Level]])),0))</f>
        <v>0</v>
      </c>
      <c r="BW109" s="38" t="n">
        <f aca="false">IFERROR(N(INDEX(Tasks[_Level],Tasks[[#This Row],[_Row]]+1)),0)</f>
        <v>0</v>
      </c>
      <c r="BX109" s="114" t="b">
        <f aca="false">AND(Tasks[[#This Row],[Task Name]]&lt;&gt;"",Tasks[[#This Row],[_NextLevel]]&gt;Tasks[[#This Row],[_Level]])</f>
        <v>0</v>
      </c>
      <c r="BY109" s="38" t="n">
        <f aca="false">IF(Tasks[[#This Row],[_IsSummary]],COUNTIF(Tasks[WBS],Tasks[[#This Row],[WBS]]&amp;".*"),0)</f>
        <v>0</v>
      </c>
      <c r="BZ109" s="38" t="n">
        <f aca="false">IF(AND(Tasks[[#This Row],[Task Name]]&lt;&gt;"",NOT(Tasks[[#This Row],[_IsSummary]])),1,0)</f>
        <v>0</v>
      </c>
      <c r="CA109" s="38" t="n">
        <f aca="false">IF(N(Tasks[[#This Row],[Pred1 UID]])=0,0,IFERROR(MATCH(Tasks[[#This Row],[Pred1 UID]],Tasks[UID],0),-1))</f>
        <v>0</v>
      </c>
      <c r="CB109" s="38" t="n">
        <f aca="false">IF(N(Tasks[[#This Row],[Pred2 UID]])=0,0,IFERROR(MATCH(Tasks[[#This Row],[Pred2 UID]],Tasks[UID],0),-1))</f>
        <v>0</v>
      </c>
      <c r="CC109" s="38" t="n">
        <f aca="false">IF(N(Tasks[[#This Row],[Pred3 UID]])=0,0,IFERROR(MATCH(Tasks[[#This Row],[Pred3 UID]],Tasks[UID],0),-1))</f>
        <v>0</v>
      </c>
      <c r="CD109" s="38" t="n">
        <f aca="false">IF(N(Tasks[[#This Row],[Pred4 UID]])=0,0,IFERROR(MATCH(Tasks[[#This Row],[Pred4 UID]],Tasks[UID],0),-1))</f>
        <v>0</v>
      </c>
      <c r="CE10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9" s="115" t="n">
        <f aca="false">IF(OR(Tasks[[#This Row],[_ConstraintCode]]=2,Tasks[[#This Row],[_ConstraintCode]]=3,Tasks[[#This Row],[_ConstraintCode]]=4,Tasks[[#This Row],[_ConstraintCode]]=6),Tasks[[#This Row],[_ConstraintStart]],0)</f>
        <v>0</v>
      </c>
      <c r="CH109" s="115" t="n">
        <f aca="false">IF(OR(Tasks[[#This Row],[_ConstraintCode]]=2,Tasks[[#This Row],[_ConstraintCode]]=3,Tasks[[#This Row],[_ConstraintCode]]=5,Tasks[[#This Row],[_ConstraintCode]]=7),Tasks[[#This Row],[_ConstraintStart]],2958465)</f>
        <v>2958465</v>
      </c>
      <c r="CI10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9" s="115" t="str">
        <f aca="false">IF(NOT(Tasks[[#This Row],[_IsLeaf]]=1),"",IF(N(Tasks[[#This Row],[Duration]])&lt;=0,Tasks[[#This Row],[_LeafCalcStart]],WORKDAY.INTL(Tasks[[#This Row],[_LeafCalcStart]],Tasks[[#This Row],[Duration]]-1,WorkWeek,Holidays)))</f>
        <v/>
      </c>
      <c r="CK10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9" s="38" t="n">
        <f aca="false">IF(NOT(Tasks[[#This Row],[_IsLeaf]]=1),0,IF(N(Tasks[[#This Row],[Actual Finish]])&gt;0,1,MIN(1,N(Tasks[[#This Row],[% Complete]]))))</f>
        <v>0</v>
      </c>
      <c r="CN109" s="38" t="n">
        <f aca="false">IF(OR(NOT(Tasks[[#This Row],[_IsLeaf]]=1),Tasks[[#This Row],[Resource]]=""),0,N(Tasks[[#This Row],[Duration]])*HoursPerDay*IF(Tasks[[#This Row],[Units]]="",DefaultUnits,Tasks[[#This Row],[Units]]))</f>
        <v>0</v>
      </c>
      <c r="CO109" s="38" t="n">
        <f aca="false">IF(Tasks[[#This Row],[_LeafWork]]=0,0,Tasks[[#This Row],[_LeafWork]]*IFERROR(INDEX(res_Rate,MATCH(Tasks[[#This Row],[Resource]],res_Name,0)),0))</f>
        <v>0</v>
      </c>
      <c r="CP109" s="38" t="n">
        <f aca="false">Tasks[[#This Row],[_LeafWork]]+IF(Tasks[[#This Row],[_IsLeaf]]=1,SUMIFS(asg_Work,asg_TaskUID,Tasks[[#This Row],[UID]],asg_Valid,1),0)</f>
        <v>0</v>
      </c>
      <c r="CQ109" s="38" t="n">
        <f aca="false">Tasks[[#This Row],[_LeafCost]]+IF(Tasks[[#This Row],[_IsLeaf]]=1,SUMIFS(asg_Cost,asg_TaskUID,Tasks[[#This Row],[UID]],asg_Valid,1),0)</f>
        <v>0</v>
      </c>
      <c r="CR109" s="38" t="n">
        <f aca="false">IF(Tasks[[#This Row],[_LeafTotalCost]]=0,Tasks[[#This Row],[_LeafAC]],Tasks[[#This Row],[_LeafAC]]*Tasks[[#This Row],[_LeafCost]]/Tasks[[#This Row],[_LeafTotalCost]])</f>
        <v>0</v>
      </c>
      <c r="CS10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9" s="38" t="n">
        <f aca="false">IF(NOT(Tasks[[#This Row],[_IsLeaf]]=1),0,MAX(_xlfn.MAXIFS(Tasks[_Row],Tasks[Pred1 UID],Tasks[[#This Row],[UID]]),_xlfn.MAXIFS(Tasks[_Row],Tasks[Pred2 UID],Tasks[[#This Row],[UID]]),_xlfn.MAXIFS(Tasks[_Row],Tasks[Pred3 UID],Tasks[[#This Row],[UID]]),_xlfn.MAXIFS(Tasks[_Row],Tasks[Pred4 UID],Tasks[[#This Row],[UID]])))</f>
        <v>0</v>
      </c>
      <c r="DB10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9" s="115" t="str">
        <f aca="false">IF(NOT(Tasks[[#This Row],[_IsLeaf]]=1),"",IF(N(Tasks[[#This Row],[Duration]])&lt;=0,Tasks[[#This Row],[_LeafLateFinish]],WORKDAY.INTL(Tasks[[#This Row],[_LeafLateFinish]],-(Tasks[[#This Row],[Duration]]-1),WorkWeek,Holidays)))</f>
        <v/>
      </c>
      <c r="DE10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9" s="114" t="b">
        <f aca="false">AND(Tasks[[#This Row],[_IsLeaf]]=1,Tasks[[#This Row],[_LeafProgress]]&lt;1,N(Tasks[[#This Row],[_LeafTotalSlack]])&lt;=CriticalSlackDays)</f>
        <v>0</v>
      </c>
      <c r="DG109" s="38" t="n">
        <f aca="false">IF(AND(Tasks[[#This Row],[_IsLeaf]]=1,Tasks[[#This Row],[_ConstraintCode]]=1,Tasks[[#This Row],[Mode]]&lt;&gt;"Manual",N(Tasks[[#This Row],[Actual Start]])=0),MAX(0,N(Tasks[[#This Row],[Free Slack]])),0)</f>
        <v>0</v>
      </c>
      <c r="DH109" s="115" t="str">
        <f aca="false">IF(NOT(Tasks[[#This Row],[_IsLeaf]]=1),"",IF(Tasks[[#This Row],[_AlapShift]]=0,Tasks[[#This Row],[_LeafCalcStart]],WORKDAY.INTL(Tasks[[#This Row],[_LeafCalcStart]],Tasks[[#This Row],[_AlapShift]],WorkWeek,Holidays)))</f>
        <v/>
      </c>
      <c r="DI109" s="115" t="str">
        <f aca="false">IF(NOT(Tasks[[#This Row],[_IsLeaf]]=1),"",IF(Tasks[[#This Row],[_AlapShift]]=0,Tasks[[#This Row],[_LeafCalcFinish]],WORKDAY.INTL(Tasks[[#This Row],[_LeafCalcFinish]],Tasks[[#This Row],[_AlapShift]],WorkWeek,Holidays)))</f>
        <v/>
      </c>
      <c r="DJ109" s="115" t="str">
        <f aca="false">IF(NOT(Tasks[[#This Row],[_IsLeaf]]=1),"",IF(Tasks[[#This Row],[_AlapShift]]=0,Tasks[[#This Row],[_LeafFcstStart]],WORKDAY.INTL(Tasks[[#This Row],[_LeafFcstStart]],Tasks[[#This Row],[_AlapShift]],WorkWeek,Holidays)))</f>
        <v/>
      </c>
      <c r="DK109" s="115" t="str">
        <f aca="false">IF(NOT(Tasks[[#This Row],[_IsLeaf]]=1),"",IF(Tasks[[#This Row],[_AlapShift]]=0,Tasks[[#This Row],[_LeafFcstFinish]],WORKDAY.INTL(Tasks[[#This Row],[_LeafFcstFinish]],Tasks[[#This Row],[_AlapShift]],WorkWeek,Holidays)))</f>
        <v/>
      </c>
      <c r="DL109" s="115" t="str">
        <f aca="false">IF(Tasks[[#This Row],[Task Name]]="","",IF(Tasks[[#This Row],[_IsSummary]],MIN(INDEX(Tasks[_ShownCalcStart],Tasks[[#This Row],[_Row]]+1):INDEX(Tasks[_ShownCalcStart],Tasks[[#This Row],[_Row]]+Tasks[[#This Row],[_Descendants]])),Tasks[[#This Row],[_ShownCalcStart]]))</f>
        <v/>
      </c>
      <c r="DM109" s="115" t="str">
        <f aca="false">IF(Tasks[[#This Row],[Task Name]]="","",IF(Tasks[[#This Row],[_IsSummary]],MAX(INDEX(Tasks[_ShownCalcFinish],Tasks[[#This Row],[_Row]]+1):INDEX(Tasks[_ShownCalcFinish],Tasks[[#This Row],[_Row]]+Tasks[[#This Row],[_Descendants]])),Tasks[[#This Row],[_ShownCalcFinish]]))</f>
        <v/>
      </c>
      <c r="DN10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9" s="38" t="n">
        <f aca="false">IF(AND(Tasks[[#This Row],[_IsLeaf]]=1,Tasks[[#This Row],[_LeafTotalWork]]&gt;0),NETWORKDAYS.INTL(ProjectStart,Tasks[[#This Row],[_ShownFcstStart]],WorkWeek,Holidays),0)</f>
        <v>0</v>
      </c>
      <c r="EA109" s="38" t="n">
        <f aca="false">IF(AND(Tasks[[#This Row],[_IsLeaf]]=1,Tasks[[#This Row],[_LeafTotalWork]]&gt;0),MAX(Tasks[[#This Row],[_StartWorkday]],NETWORKDAYS.INTL(ProjectStart,Tasks[[#This Row],[_ShownFcstFinish]],WorkWeek,Holidays)),0)</f>
        <v>0</v>
      </c>
      <c r="EB109" s="38" t="n">
        <f aca="false">IF(AND(Tasks[[#This Row],[_IsLeaf]]=1,Tasks[[#This Row],[_LeafTotalWork]]&gt;0),Tasks[[#This Row],[_LeafWork]]/(Tasks[[#This Row],[_FinishWorkday]]-Tasks[[#This Row],[_StartWorkday]]+1),0)</f>
        <v>0</v>
      </c>
      <c r="EC109" s="38" t="n">
        <f aca="false">Tasks[[#This Row],[_WorkPerWorkday]]*(Tasks[[#This Row],[_StartWorkday]]-1)</f>
        <v>-0</v>
      </c>
      <c r="ED109" s="38" t="n">
        <f aca="false">IF(Tasks[[#This Row],[_IsLeaf]]=1,MAX(N(Tasks[[#This Row],[Duration]]),0.1),0)</f>
        <v>0</v>
      </c>
      <c r="EE109" s="38" t="n">
        <f aca="false">Tasks[[#This Row],[_WeightDur]]*Tasks[[#This Row],[_LeafProgress]]</f>
        <v>0</v>
      </c>
      <c r="EF10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9" s="38" t="str">
        <f aca="false">IF(AND(Tasks[[#This Row],[_IsLeaf]]=1,N(Tasks[[#This Row],[Duration]])=0,Tasks[[#This Row],[_LeafProgress]]&lt;1),Tasks[[#This Row],[_ShownFcstFinish]]+Tasks[[#This Row],[_Row]]/100000,"")</f>
        <v/>
      </c>
      <c r="EH10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9" s="38" t="n">
        <f aca="false">IF(NOT(Tasks[[#This Row],[_IsLeaf]]=1),0,IF(Tasks[[#This Row],[Baseline Cost]]="",Tasks[[#This Row],[_LeafTotalCost]],N(Tasks[[#This Row],[Baseline Cost]])))</f>
        <v>0</v>
      </c>
      <c r="EJ109" s="38" t="n">
        <f aca="false">Tasks[[#This Row],[_LeafBudget]]*Tasks[[#This Row],[_PlannedPct]]</f>
        <v>0</v>
      </c>
      <c r="EK109" s="38" t="n">
        <f aca="false">Tasks[[#This Row],[_LeafBudget]]*Tasks[[#This Row],[_LeafProgress]]</f>
        <v>0</v>
      </c>
      <c r="EL109" s="38" t="n">
        <f aca="false">IF(NOT(Tasks[[#This Row],[_IsLeaf]]=1),0,IF(Tasks[[#This Row],[Actual Cost]]="",Tasks[[#This Row],[_LeafTotalCost]]*Tasks[[#This Row],[_LeafProgress]],N(Tasks[[#This Row],[Actual Cost]])))</f>
        <v>0</v>
      </c>
      <c r="EM109" s="38" t="str">
        <f aca="false">IF(Tasks[[#This Row],[Task Name]]="","",LEFT(Tasks[[#This Row],[WBS]],FIND(".",Tasks[[#This Row],[WBS]]&amp;".")-1))</f>
        <v/>
      </c>
      <c r="EN109" s="38" t="str">
        <f aca="false">IF(AND(Tasks[[#This Row],[Task Name]]&lt;&gt;"",Tasks[[#This Row],[_Level]]=1),Tasks[[#This Row],[_Row]],"")</f>
        <v/>
      </c>
      <c r="EO109" s="38" t="str">
        <f aca="false">IF(AND(Tasks[[#This Row],[_IsLeaf]]=1,N(Tasks[[#This Row],[Duration]])=0),Tasks[[#This Row],[Planned Finish]]+Tasks[[#This Row],[_Row]]/100000,"")</f>
        <v/>
      </c>
      <c r="EP109" s="38" t="str">
        <f aca="false">IF(AND(Tasks[[#This Row],[_IsLeaf]]=1,Tasks[[#This Row],[_LeafProgress]]&lt;1,OR(N(Tasks[[#This Row],[Finish Var]])&gt;0,Tasks[[#This Row],[Status]]="Late Start")),MAX(0,Tasks[[#This Row],[Finish Var]])+1-Tasks[[#This Row],[_Row]]/1000000,"")</f>
        <v/>
      </c>
      <c r="EQ109" s="38" t="str">
        <f aca="false">IF(AND(Tasks[[#This Row],[_IsLeaf]]=1,N(Tasks[[#This Row],[Actual Start]])=0,Tasks[[#This Row],[_ShownFcstStart]]&gt;=StatusDate,Tasks[[#This Row],[_ShownFcstStart]]&lt;=LookaheadEnd),Tasks[[#This Row],[_ShownFcstStart]]+Tasks[[#This Row],[_Row]]/100000,"")</f>
        <v/>
      </c>
      <c r="ER109" s="38" t="str">
        <f aca="false">IF(AND(Tasks[[#This Row],[_IsLeaf]]=1,Tasks[[#This Row],[_LeafProgress]]&lt;1,Tasks[[#This Row],[_ShownFcstFinish]]&gt;=StatusDate,Tasks[[#This Row],[_ShownFcstFinish]]&lt;=LookaheadEnd),Tasks[[#This Row],[_ShownFcstFinish]]+Tasks[[#This Row],[_Row]]/100000,"")</f>
        <v/>
      </c>
      <c r="ES109" s="38" t="str">
        <f aca="false">IF(Tasks[[#This Row],[_LeafCritical]],Tasks[[#This Row],[_ShownFcstStart]]+Tasks[[#This Row],[_Row]]/100000,"")</f>
        <v/>
      </c>
      <c r="ET109" s="38" t="n">
        <f aca="false">Tasks[[#This Row],[_LeafWork]]*Tasks[[#This Row],[_LeafProgress]]</f>
        <v>0</v>
      </c>
      <c r="EU109" s="115" t="str">
        <f aca="false">IF(AND(Tasks[[#This Row],[_IsLeaf]]=1,Tasks[[#This Row],[_LeafProgress]]&gt;=1),IF(N(Tasks[[#This Row],[Actual Finish]])&gt;0,Tasks[[#This Row],[Actual Finish]],Tasks[[#This Row],[_ShownFcstFinish]]),"")</f>
        <v/>
      </c>
      <c r="EV109" s="38" t="n">
        <f aca="false">IF(Tasks[[#This Row],[_IsLeaf]]=1,N(Tasks[[#This Row],[Story Points]]),0)</f>
        <v>0</v>
      </c>
      <c r="EW109" s="38" t="str">
        <f aca="false">IF(AND(Tasks[[#This Row],[_IsLeaf]]=1,CurrentSprint&lt;&gt;"",Tasks[[#This Row],[Sprint]]=CurrentSprint),Tasks[[#This Row],[_Row]],"")</f>
        <v/>
      </c>
    </row>
    <row r="110" customFormat="false" ht="15" hidden="false" customHeight="false" outlineLevel="0" collapsed="false">
      <c r="A110" s="51" t="str">
        <f aca="false">IF(Tasks[[#This Row],[Task Name]]="","",COUNTA(Tasks[[#Headers],[Task Name]]:Tasks[[#This Row],[Task Name]])-1)</f>
        <v/>
      </c>
      <c r="B110" s="52" t="n">
        <v>105</v>
      </c>
      <c r="C11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52"/>
      <c r="E110" s="53"/>
      <c r="F110" s="52"/>
      <c r="G110" s="52"/>
      <c r="H110" s="52"/>
      <c r="I110" s="52"/>
      <c r="J110" s="52"/>
      <c r="K110" s="52"/>
      <c r="L110" s="52"/>
      <c r="M110" s="52"/>
      <c r="N110" s="52"/>
      <c r="O110" s="52"/>
      <c r="P110" s="52"/>
      <c r="Q110" s="52"/>
      <c r="R110" s="52"/>
      <c r="S110" s="53"/>
      <c r="T110" s="102"/>
      <c r="U110" s="102"/>
      <c r="V110" s="7"/>
      <c r="W110" s="7"/>
      <c r="X110" s="53"/>
      <c r="Y110" s="31" t="str">
        <f aca="false">IF(Tasks[[#This Row],[Task Name]]="","",IF(Tasks[[#This Row],[_IsSummary]],MIN(INDEX(Tasks[_ShownFcstStart],Tasks[[#This Row],[_Row]]+1):INDEX(Tasks[_ShownFcstStart],Tasks[[#This Row],[_Row]]+Tasks[[#This Row],[_Descendants]])),Tasks[[#This Row],[_ShownFcstStart]]))</f>
        <v/>
      </c>
      <c r="Z110" s="31" t="str">
        <f aca="false">IF(Tasks[[#This Row],[Task Name]]="","",IF(Tasks[[#This Row],[_IsSummary]],MAX(INDEX(Tasks[_ShownFcstFinish],Tasks[[#This Row],[_Row]]+1):INDEX(Tasks[_ShownFcstFinish],Tasks[[#This Row],[_Row]]+Tasks[[#This Row],[_Descendants]])),Tasks[[#This Row],[_ShownFcstFinish]]))</f>
        <v/>
      </c>
      <c r="AA110" s="51" t="str">
        <f aca="false">IF(Tasks[[#This Row],[Task Name]]="","",IF(Tasks[[#This Row],[Progress]]&gt;=1,"Complete",IF(OR(N(Tasks[[#This Row],[Actual Start]])&gt;0,Tasks[[#This Row],[Progress]]&gt;0),IF(Tasks[[#This Row],[Finish Var]]&gt;0,"Behind","In Progress"),IF(Tasks[[#This Row],[Planned Start]]&lt;StatusDate,"Late Start","Not Started"))))</f>
        <v/>
      </c>
      <c r="AB110" s="51" t="str">
        <f aca="false">IF(Tasks[[#This Row],[Task Name]]="","",IF(IF(Tasks[[#This Row],[_IsSummary]],COUNTIF(INDEX(Tasks[_LeafCritical],Tasks[[#This Row],[_Row]]+1):INDEX(Tasks[_LeafCritical],Tasks[[#This Row],[_Row]]+Tasks[[#This Row],[_Descendants]]),TRUE())&gt;0,Tasks[[#This Row],[_LeafCritical]]),"Yes",""))</f>
        <v/>
      </c>
      <c r="AC11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0" s="51" t="str">
        <f aca="false">IF(Tasks[[#This Row],[Task Name]]="","",IF(Tasks[[#This Row],[_Level]]&lt;=OutlineShowLevel,"Yes","No"))</f>
        <v/>
      </c>
      <c r="AE110" s="7"/>
      <c r="AF110" s="52"/>
      <c r="AG110" s="53"/>
      <c r="AH110" s="7"/>
      <c r="AI11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0" s="31" t="str">
        <f aca="false">IF(Tasks[[#This Row],[Task Name]]="","",IF(N(Tasks[[#This Row],[Baseline Start]])&gt;0,Tasks[[#This Row],[Baseline Start]],Tasks[[#This Row],[_CalcStart]]))</f>
        <v/>
      </c>
      <c r="AK110" s="31" t="str">
        <f aca="false">IF(Tasks[[#This Row],[Task Name]]="","",IF(N(Tasks[[#This Row],[Baseline Finish]])&gt;0,Tasks[[#This Row],[Baseline Finish]],Tasks[[#This Row],[_CalcFinish]]))</f>
        <v/>
      </c>
      <c r="AL11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0" s="31" t="str">
        <f aca="false">IF(Tasks[[#This Row],[Task Name]]="","",IF(Tasks[[#This Row],[_IsSummary]],MIN(INDEX(Tasks[_LeafLateStart],Tasks[[#This Row],[_Row]]+1):INDEX(Tasks[_LeafLateStart],Tasks[[#This Row],[_Row]]+Tasks[[#This Row],[_Descendants]])),Tasks[[#This Row],[_LeafLateStart]]))</f>
        <v/>
      </c>
      <c r="AN110" s="31" t="str">
        <f aca="false">IF(Tasks[[#This Row],[Task Name]]="","",IF(Tasks[[#This Row],[_IsSummary]],MAX(INDEX(Tasks[_LeafLateFinish],Tasks[[#This Row],[_Row]]+1):INDEX(Tasks[_LeafLateFinish],Tasks[[#This Row],[_Row]]+Tasks[[#This Row],[_Descendants]])),Tasks[[#This Row],[_LeafLateFinish]]))</f>
        <v/>
      </c>
      <c r="AO110" s="51" t="str">
        <f aca="false">IF(Tasks[[#This Row],[Task Name]]="","",IF(Tasks[[#This Row],[_IsSummary]],MIN(INDEX(Tasks[_LeafTotalSlack],Tasks[[#This Row],[_Row]]+1):INDEX(Tasks[_LeafTotalSlack],Tasks[[#This Row],[_Row]]+Tasks[[#This Row],[_Descendants]])),Tasks[[#This Row],[_LeafTotalSlack]]))</f>
        <v/>
      </c>
      <c r="AP11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0" s="110" t="str">
        <f aca="false">IF(Tasks[[#This Row],[Task Name]]="","",IF(Tasks[[#This Row],[_IsSummary]],SUM(INDEX(Tasks[_LeafTotalWork],Tasks[[#This Row],[_Row]]+1):INDEX(Tasks[_LeafTotalWork],Tasks[[#This Row],[_Row]]+Tasks[[#This Row],[_Descendants]])),Tasks[[#This Row],[_LeafTotalWork]]))</f>
        <v/>
      </c>
      <c r="AV11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0" s="111" t="str">
        <f aca="false">IF(Tasks[[#This Row],[Task Name]]="","",IF(Tasks[[#This Row],[_IsSummary]],SUM(INDEX(Tasks[_LeafTotalCost],Tasks[[#This Row],[_Row]]+1):INDEX(Tasks[_LeafTotalCost],Tasks[[#This Row],[_Row]]+Tasks[[#This Row],[_Descendants]])),Tasks[[#This Row],[_LeafTotalCost]]))</f>
        <v/>
      </c>
      <c r="AY110" s="112"/>
      <c r="AZ11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0" s="52"/>
      <c r="BB110" s="98"/>
      <c r="BC110" s="51" t="str">
        <f aca="false">IF(OR(Tasks[[#This Row],[Task Name]]="",Tasks[[#This Row],[Baseline Duration]]=""),"",Tasks[[#This Row],[BL Source Duration]]-N(Tasks[[#This Row],[Baseline Duration]]))</f>
        <v/>
      </c>
      <c r="BD110" s="110" t="str">
        <f aca="false">IF(OR(Tasks[[#This Row],[Task Name]]="",Tasks[[#This Row],[Baseline Work]]=""),"",Tasks[[#This Row],[Work]]-N(Tasks[[#This Row],[Baseline Work]]))</f>
        <v/>
      </c>
      <c r="BE110" s="111" t="str">
        <f aca="false">IF(OR(Tasks[[#This Row],[Task Name]]="",Tasks[[#This Row],[Baseline Cost]]=""),"",Tasks[[#This Row],[Cost]]-N(Tasks[[#This Row],[Baseline Cost]]))</f>
        <v/>
      </c>
      <c r="BF110" s="31" t="str">
        <f aca="false">IF(Tasks[[#This Row],[Task Name]]="","",Tasks[[#This Row],[Forecast Start]])</f>
        <v/>
      </c>
      <c r="BG110" s="31" t="str">
        <f aca="false">IF(Tasks[[#This Row],[Task Name]]="","",Tasks[[#This Row],[Forecast Finish]])</f>
        <v/>
      </c>
      <c r="BH110" s="51" t="str">
        <f aca="false">IF(Tasks[[#This Row],[Task Name]]="","",IF(Tasks[[#This Row],[_IsSummary]],NETWORKDAYS.INTL(Tasks[[#This Row],[Forecast Start]],Tasks[[#This Row],[Forecast Finish]],WorkWeek,Holidays),N(Tasks[[#This Row],[Duration]])))</f>
        <v/>
      </c>
      <c r="BI110" s="110" t="str">
        <f aca="false">IF(Tasks[[#This Row],[Task Name]]="","",Tasks[[#This Row],[Work]])</f>
        <v/>
      </c>
      <c r="BJ110" s="111" t="str">
        <f aca="false">IF(Tasks[[#This Row],[Task Name]]="","",Tasks[[#This Row],[Cost]])</f>
        <v/>
      </c>
      <c r="BK110" s="7"/>
      <c r="BL110" s="7"/>
      <c r="BM110" s="52"/>
      <c r="BN110" s="113"/>
      <c r="BO110" s="112"/>
      <c r="BP110" s="111" t="str">
        <f aca="false">IF(Tasks[[#This Row],[Task Name]]="","",IF(Tasks[[#This Row],[_IsSummary]],SUM(INDEX(Tasks[_LeafEV],Tasks[[#This Row],[_Row]]+1):INDEX(Tasks[_LeafEV],Tasks[[#This Row],[_Row]]+Tasks[[#This Row],[_Descendants]])),Tasks[[#This Row],[_LeafEV]]))</f>
        <v/>
      </c>
      <c r="BQ110" s="111" t="str">
        <f aca="false">IF(Tasks[[#This Row],[Task Name]]="","",IF(Tasks[[#This Row],[_IsSummary]],SUM(INDEX(Tasks[_LeafBudget],Tasks[[#This Row],[_Row]]+1):INDEX(Tasks[_LeafBudget],Tasks[[#This Row],[_Row]]+Tasks[[#This Row],[_Descendants]])),Tasks[[#This Row],[_LeafBudget]]))</f>
        <v/>
      </c>
      <c r="BR110" s="111" t="str">
        <f aca="false">IF(Tasks[[#This Row],[Task Name]]="","",IF(Tasks[[#This Row],[_IsSummary]],SUM(INDEX(Tasks[_LeafPV],Tasks[[#This Row],[_Row]]+1):INDEX(Tasks[_LeafPV],Tasks[[#This Row],[_Row]]+Tasks[[#This Row],[_Descendants]])),Tasks[[#This Row],[_LeafPV]]))</f>
        <v/>
      </c>
      <c r="BS110" s="111" t="str">
        <f aca="false">IF(Tasks[[#This Row],[Task Name]]="","",IF(Tasks[[#This Row],[_IsSummary]],SUM(INDEX(Tasks[_LeafAC],Tasks[[#This Row],[_Row]]+1):INDEX(Tasks[_LeafAC],Tasks[[#This Row],[_Row]]+Tasks[[#This Row],[_Descendants]])),Tasks[[#This Row],[_LeafAC]]))</f>
        <v/>
      </c>
      <c r="BT110" s="38" t="str">
        <f aca="false">IF(Tasks[[#This Row],[Task Name]]="","",MAX(1,N(Tasks[[#This Row],[Level]])))</f>
        <v/>
      </c>
      <c r="BU110" s="38" t="n">
        <f aca="false">ROW()-ROW(Tasks[[#Headers],[ID]])</f>
        <v>105</v>
      </c>
      <c r="BV110" s="38" t="n">
        <f aca="false">IF(OR(Tasks[[#This Row],[Task Name]]="",Tasks[[#This Row],[_Level]]&lt;=1),0,IFERROR(LOOKUP(2,1/(Tasks[[#Headers],[_Level]]:Tasks[[#This Row],[_Level]]=Tasks[[#This Row],[_Level]]-1),ROW(Tasks[[#Headers],[_Level]]:Tasks[[#This Row],[_Level]])),0))</f>
        <v>0</v>
      </c>
      <c r="BW110" s="38" t="n">
        <f aca="false">IFERROR(N(INDEX(Tasks[_Level],Tasks[[#This Row],[_Row]]+1)),0)</f>
        <v>0</v>
      </c>
      <c r="BX110" s="114" t="b">
        <f aca="false">AND(Tasks[[#This Row],[Task Name]]&lt;&gt;"",Tasks[[#This Row],[_NextLevel]]&gt;Tasks[[#This Row],[_Level]])</f>
        <v>0</v>
      </c>
      <c r="BY110" s="38" t="n">
        <f aca="false">IF(Tasks[[#This Row],[_IsSummary]],COUNTIF(Tasks[WBS],Tasks[[#This Row],[WBS]]&amp;".*"),0)</f>
        <v>0</v>
      </c>
      <c r="BZ110" s="38" t="n">
        <f aca="false">IF(AND(Tasks[[#This Row],[Task Name]]&lt;&gt;"",NOT(Tasks[[#This Row],[_IsSummary]])),1,0)</f>
        <v>0</v>
      </c>
      <c r="CA110" s="38" t="n">
        <f aca="false">IF(N(Tasks[[#This Row],[Pred1 UID]])=0,0,IFERROR(MATCH(Tasks[[#This Row],[Pred1 UID]],Tasks[UID],0),-1))</f>
        <v>0</v>
      </c>
      <c r="CB110" s="38" t="n">
        <f aca="false">IF(N(Tasks[[#This Row],[Pred2 UID]])=0,0,IFERROR(MATCH(Tasks[[#This Row],[Pred2 UID]],Tasks[UID],0),-1))</f>
        <v>0</v>
      </c>
      <c r="CC110" s="38" t="n">
        <f aca="false">IF(N(Tasks[[#This Row],[Pred3 UID]])=0,0,IFERROR(MATCH(Tasks[[#This Row],[Pred3 UID]],Tasks[UID],0),-1))</f>
        <v>0</v>
      </c>
      <c r="CD110" s="38" t="n">
        <f aca="false">IF(N(Tasks[[#This Row],[Pred4 UID]])=0,0,IFERROR(MATCH(Tasks[[#This Row],[Pred4 UID]],Tasks[UID],0),-1))</f>
        <v>0</v>
      </c>
      <c r="CE11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0" s="115" t="n">
        <f aca="false">IF(OR(Tasks[[#This Row],[_ConstraintCode]]=2,Tasks[[#This Row],[_ConstraintCode]]=3,Tasks[[#This Row],[_ConstraintCode]]=4,Tasks[[#This Row],[_ConstraintCode]]=6),Tasks[[#This Row],[_ConstraintStart]],0)</f>
        <v>0</v>
      </c>
      <c r="CH110" s="115" t="n">
        <f aca="false">IF(OR(Tasks[[#This Row],[_ConstraintCode]]=2,Tasks[[#This Row],[_ConstraintCode]]=3,Tasks[[#This Row],[_ConstraintCode]]=5,Tasks[[#This Row],[_ConstraintCode]]=7),Tasks[[#This Row],[_ConstraintStart]],2958465)</f>
        <v>2958465</v>
      </c>
      <c r="CI11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0" s="115" t="str">
        <f aca="false">IF(NOT(Tasks[[#This Row],[_IsLeaf]]=1),"",IF(N(Tasks[[#This Row],[Duration]])&lt;=0,Tasks[[#This Row],[_LeafCalcStart]],WORKDAY.INTL(Tasks[[#This Row],[_LeafCalcStart]],Tasks[[#This Row],[Duration]]-1,WorkWeek,Holidays)))</f>
        <v/>
      </c>
      <c r="CK11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0" s="38" t="n">
        <f aca="false">IF(NOT(Tasks[[#This Row],[_IsLeaf]]=1),0,IF(N(Tasks[[#This Row],[Actual Finish]])&gt;0,1,MIN(1,N(Tasks[[#This Row],[% Complete]]))))</f>
        <v>0</v>
      </c>
      <c r="CN110" s="38" t="n">
        <f aca="false">IF(OR(NOT(Tasks[[#This Row],[_IsLeaf]]=1),Tasks[[#This Row],[Resource]]=""),0,N(Tasks[[#This Row],[Duration]])*HoursPerDay*IF(Tasks[[#This Row],[Units]]="",DefaultUnits,Tasks[[#This Row],[Units]]))</f>
        <v>0</v>
      </c>
      <c r="CO110" s="38" t="n">
        <f aca="false">IF(Tasks[[#This Row],[_LeafWork]]=0,0,Tasks[[#This Row],[_LeafWork]]*IFERROR(INDEX(res_Rate,MATCH(Tasks[[#This Row],[Resource]],res_Name,0)),0))</f>
        <v>0</v>
      </c>
      <c r="CP110" s="38" t="n">
        <f aca="false">Tasks[[#This Row],[_LeafWork]]+IF(Tasks[[#This Row],[_IsLeaf]]=1,SUMIFS(asg_Work,asg_TaskUID,Tasks[[#This Row],[UID]],asg_Valid,1),0)</f>
        <v>0</v>
      </c>
      <c r="CQ110" s="38" t="n">
        <f aca="false">Tasks[[#This Row],[_LeafCost]]+IF(Tasks[[#This Row],[_IsLeaf]]=1,SUMIFS(asg_Cost,asg_TaskUID,Tasks[[#This Row],[UID]],asg_Valid,1),0)</f>
        <v>0</v>
      </c>
      <c r="CR110" s="38" t="n">
        <f aca="false">IF(Tasks[[#This Row],[_LeafTotalCost]]=0,Tasks[[#This Row],[_LeafAC]],Tasks[[#This Row],[_LeafAC]]*Tasks[[#This Row],[_LeafCost]]/Tasks[[#This Row],[_LeafTotalCost]])</f>
        <v>0</v>
      </c>
      <c r="CS11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0" s="38" t="n">
        <f aca="false">IF(NOT(Tasks[[#This Row],[_IsLeaf]]=1),0,MAX(_xlfn.MAXIFS(Tasks[_Row],Tasks[Pred1 UID],Tasks[[#This Row],[UID]]),_xlfn.MAXIFS(Tasks[_Row],Tasks[Pred2 UID],Tasks[[#This Row],[UID]]),_xlfn.MAXIFS(Tasks[_Row],Tasks[Pred3 UID],Tasks[[#This Row],[UID]]),_xlfn.MAXIFS(Tasks[_Row],Tasks[Pred4 UID],Tasks[[#This Row],[UID]])))</f>
        <v>0</v>
      </c>
      <c r="DB11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0" s="115" t="str">
        <f aca="false">IF(NOT(Tasks[[#This Row],[_IsLeaf]]=1),"",IF(N(Tasks[[#This Row],[Duration]])&lt;=0,Tasks[[#This Row],[_LeafLateFinish]],WORKDAY.INTL(Tasks[[#This Row],[_LeafLateFinish]],-(Tasks[[#This Row],[Duration]]-1),WorkWeek,Holidays)))</f>
        <v/>
      </c>
      <c r="DE11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0" s="114" t="b">
        <f aca="false">AND(Tasks[[#This Row],[_IsLeaf]]=1,Tasks[[#This Row],[_LeafProgress]]&lt;1,N(Tasks[[#This Row],[_LeafTotalSlack]])&lt;=CriticalSlackDays)</f>
        <v>0</v>
      </c>
      <c r="DG110" s="38" t="n">
        <f aca="false">IF(AND(Tasks[[#This Row],[_IsLeaf]]=1,Tasks[[#This Row],[_ConstraintCode]]=1,Tasks[[#This Row],[Mode]]&lt;&gt;"Manual",N(Tasks[[#This Row],[Actual Start]])=0),MAX(0,N(Tasks[[#This Row],[Free Slack]])),0)</f>
        <v>0</v>
      </c>
      <c r="DH110" s="115" t="str">
        <f aca="false">IF(NOT(Tasks[[#This Row],[_IsLeaf]]=1),"",IF(Tasks[[#This Row],[_AlapShift]]=0,Tasks[[#This Row],[_LeafCalcStart]],WORKDAY.INTL(Tasks[[#This Row],[_LeafCalcStart]],Tasks[[#This Row],[_AlapShift]],WorkWeek,Holidays)))</f>
        <v/>
      </c>
      <c r="DI110" s="115" t="str">
        <f aca="false">IF(NOT(Tasks[[#This Row],[_IsLeaf]]=1),"",IF(Tasks[[#This Row],[_AlapShift]]=0,Tasks[[#This Row],[_LeafCalcFinish]],WORKDAY.INTL(Tasks[[#This Row],[_LeafCalcFinish]],Tasks[[#This Row],[_AlapShift]],WorkWeek,Holidays)))</f>
        <v/>
      </c>
      <c r="DJ110" s="115" t="str">
        <f aca="false">IF(NOT(Tasks[[#This Row],[_IsLeaf]]=1),"",IF(Tasks[[#This Row],[_AlapShift]]=0,Tasks[[#This Row],[_LeafFcstStart]],WORKDAY.INTL(Tasks[[#This Row],[_LeafFcstStart]],Tasks[[#This Row],[_AlapShift]],WorkWeek,Holidays)))</f>
        <v/>
      </c>
      <c r="DK110" s="115" t="str">
        <f aca="false">IF(NOT(Tasks[[#This Row],[_IsLeaf]]=1),"",IF(Tasks[[#This Row],[_AlapShift]]=0,Tasks[[#This Row],[_LeafFcstFinish]],WORKDAY.INTL(Tasks[[#This Row],[_LeafFcstFinish]],Tasks[[#This Row],[_AlapShift]],WorkWeek,Holidays)))</f>
        <v/>
      </c>
      <c r="DL110" s="115" t="str">
        <f aca="false">IF(Tasks[[#This Row],[Task Name]]="","",IF(Tasks[[#This Row],[_IsSummary]],MIN(INDEX(Tasks[_ShownCalcStart],Tasks[[#This Row],[_Row]]+1):INDEX(Tasks[_ShownCalcStart],Tasks[[#This Row],[_Row]]+Tasks[[#This Row],[_Descendants]])),Tasks[[#This Row],[_ShownCalcStart]]))</f>
        <v/>
      </c>
      <c r="DM110" s="115" t="str">
        <f aca="false">IF(Tasks[[#This Row],[Task Name]]="","",IF(Tasks[[#This Row],[_IsSummary]],MAX(INDEX(Tasks[_ShownCalcFinish],Tasks[[#This Row],[_Row]]+1):INDEX(Tasks[_ShownCalcFinish],Tasks[[#This Row],[_Row]]+Tasks[[#This Row],[_Descendants]])),Tasks[[#This Row],[_ShownCalcFinish]]))</f>
        <v/>
      </c>
      <c r="DN11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0" s="38" t="n">
        <f aca="false">IF(AND(Tasks[[#This Row],[_IsLeaf]]=1,Tasks[[#This Row],[_LeafTotalWork]]&gt;0),NETWORKDAYS.INTL(ProjectStart,Tasks[[#This Row],[_ShownFcstStart]],WorkWeek,Holidays),0)</f>
        <v>0</v>
      </c>
      <c r="EA110" s="38" t="n">
        <f aca="false">IF(AND(Tasks[[#This Row],[_IsLeaf]]=1,Tasks[[#This Row],[_LeafTotalWork]]&gt;0),MAX(Tasks[[#This Row],[_StartWorkday]],NETWORKDAYS.INTL(ProjectStart,Tasks[[#This Row],[_ShownFcstFinish]],WorkWeek,Holidays)),0)</f>
        <v>0</v>
      </c>
      <c r="EB110" s="38" t="n">
        <f aca="false">IF(AND(Tasks[[#This Row],[_IsLeaf]]=1,Tasks[[#This Row],[_LeafTotalWork]]&gt;0),Tasks[[#This Row],[_LeafWork]]/(Tasks[[#This Row],[_FinishWorkday]]-Tasks[[#This Row],[_StartWorkday]]+1),0)</f>
        <v>0</v>
      </c>
      <c r="EC110" s="38" t="n">
        <f aca="false">Tasks[[#This Row],[_WorkPerWorkday]]*(Tasks[[#This Row],[_StartWorkday]]-1)</f>
        <v>-0</v>
      </c>
      <c r="ED110" s="38" t="n">
        <f aca="false">IF(Tasks[[#This Row],[_IsLeaf]]=1,MAX(N(Tasks[[#This Row],[Duration]]),0.1),0)</f>
        <v>0</v>
      </c>
      <c r="EE110" s="38" t="n">
        <f aca="false">Tasks[[#This Row],[_WeightDur]]*Tasks[[#This Row],[_LeafProgress]]</f>
        <v>0</v>
      </c>
      <c r="EF11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0" s="38" t="str">
        <f aca="false">IF(AND(Tasks[[#This Row],[_IsLeaf]]=1,N(Tasks[[#This Row],[Duration]])=0,Tasks[[#This Row],[_LeafProgress]]&lt;1),Tasks[[#This Row],[_ShownFcstFinish]]+Tasks[[#This Row],[_Row]]/100000,"")</f>
        <v/>
      </c>
      <c r="EH11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0" s="38" t="n">
        <f aca="false">IF(NOT(Tasks[[#This Row],[_IsLeaf]]=1),0,IF(Tasks[[#This Row],[Baseline Cost]]="",Tasks[[#This Row],[_LeafTotalCost]],N(Tasks[[#This Row],[Baseline Cost]])))</f>
        <v>0</v>
      </c>
      <c r="EJ110" s="38" t="n">
        <f aca="false">Tasks[[#This Row],[_LeafBudget]]*Tasks[[#This Row],[_PlannedPct]]</f>
        <v>0</v>
      </c>
      <c r="EK110" s="38" t="n">
        <f aca="false">Tasks[[#This Row],[_LeafBudget]]*Tasks[[#This Row],[_LeafProgress]]</f>
        <v>0</v>
      </c>
      <c r="EL110" s="38" t="n">
        <f aca="false">IF(NOT(Tasks[[#This Row],[_IsLeaf]]=1),0,IF(Tasks[[#This Row],[Actual Cost]]="",Tasks[[#This Row],[_LeafTotalCost]]*Tasks[[#This Row],[_LeafProgress]],N(Tasks[[#This Row],[Actual Cost]])))</f>
        <v>0</v>
      </c>
      <c r="EM110" s="38" t="str">
        <f aca="false">IF(Tasks[[#This Row],[Task Name]]="","",LEFT(Tasks[[#This Row],[WBS]],FIND(".",Tasks[[#This Row],[WBS]]&amp;".")-1))</f>
        <v/>
      </c>
      <c r="EN110" s="38" t="str">
        <f aca="false">IF(AND(Tasks[[#This Row],[Task Name]]&lt;&gt;"",Tasks[[#This Row],[_Level]]=1),Tasks[[#This Row],[_Row]],"")</f>
        <v/>
      </c>
      <c r="EO110" s="38" t="str">
        <f aca="false">IF(AND(Tasks[[#This Row],[_IsLeaf]]=1,N(Tasks[[#This Row],[Duration]])=0),Tasks[[#This Row],[Planned Finish]]+Tasks[[#This Row],[_Row]]/100000,"")</f>
        <v/>
      </c>
      <c r="EP110" s="38" t="str">
        <f aca="false">IF(AND(Tasks[[#This Row],[_IsLeaf]]=1,Tasks[[#This Row],[_LeafProgress]]&lt;1,OR(N(Tasks[[#This Row],[Finish Var]])&gt;0,Tasks[[#This Row],[Status]]="Late Start")),MAX(0,Tasks[[#This Row],[Finish Var]])+1-Tasks[[#This Row],[_Row]]/1000000,"")</f>
        <v/>
      </c>
      <c r="EQ110" s="38" t="str">
        <f aca="false">IF(AND(Tasks[[#This Row],[_IsLeaf]]=1,N(Tasks[[#This Row],[Actual Start]])=0,Tasks[[#This Row],[_ShownFcstStart]]&gt;=StatusDate,Tasks[[#This Row],[_ShownFcstStart]]&lt;=LookaheadEnd),Tasks[[#This Row],[_ShownFcstStart]]+Tasks[[#This Row],[_Row]]/100000,"")</f>
        <v/>
      </c>
      <c r="ER110" s="38" t="str">
        <f aca="false">IF(AND(Tasks[[#This Row],[_IsLeaf]]=1,Tasks[[#This Row],[_LeafProgress]]&lt;1,Tasks[[#This Row],[_ShownFcstFinish]]&gt;=StatusDate,Tasks[[#This Row],[_ShownFcstFinish]]&lt;=LookaheadEnd),Tasks[[#This Row],[_ShownFcstFinish]]+Tasks[[#This Row],[_Row]]/100000,"")</f>
        <v/>
      </c>
      <c r="ES110" s="38" t="str">
        <f aca="false">IF(Tasks[[#This Row],[_LeafCritical]],Tasks[[#This Row],[_ShownFcstStart]]+Tasks[[#This Row],[_Row]]/100000,"")</f>
        <v/>
      </c>
      <c r="ET110" s="38" t="n">
        <f aca="false">Tasks[[#This Row],[_LeafWork]]*Tasks[[#This Row],[_LeafProgress]]</f>
        <v>0</v>
      </c>
      <c r="EU110" s="115" t="str">
        <f aca="false">IF(AND(Tasks[[#This Row],[_IsLeaf]]=1,Tasks[[#This Row],[_LeafProgress]]&gt;=1),IF(N(Tasks[[#This Row],[Actual Finish]])&gt;0,Tasks[[#This Row],[Actual Finish]],Tasks[[#This Row],[_ShownFcstFinish]]),"")</f>
        <v/>
      </c>
      <c r="EV110" s="38" t="n">
        <f aca="false">IF(Tasks[[#This Row],[_IsLeaf]]=1,N(Tasks[[#This Row],[Story Points]]),0)</f>
        <v>0</v>
      </c>
      <c r="EW110" s="38" t="str">
        <f aca="false">IF(AND(Tasks[[#This Row],[_IsLeaf]]=1,CurrentSprint&lt;&gt;"",Tasks[[#This Row],[Sprint]]=CurrentSprint),Tasks[[#This Row],[_Row]],"")</f>
        <v/>
      </c>
    </row>
    <row r="111" customFormat="false" ht="15" hidden="false" customHeight="false" outlineLevel="0" collapsed="false">
      <c r="A111" s="51" t="str">
        <f aca="false">IF(Tasks[[#This Row],[Task Name]]="","",COUNTA(Tasks[[#Headers],[Task Name]]:Tasks[[#This Row],[Task Name]])-1)</f>
        <v/>
      </c>
      <c r="B111" s="52" t="n">
        <v>106</v>
      </c>
      <c r="C11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52"/>
      <c r="E111" s="53"/>
      <c r="F111" s="52"/>
      <c r="G111" s="52"/>
      <c r="H111" s="52"/>
      <c r="I111" s="52"/>
      <c r="J111" s="52"/>
      <c r="K111" s="52"/>
      <c r="L111" s="52"/>
      <c r="M111" s="52"/>
      <c r="N111" s="52"/>
      <c r="O111" s="52"/>
      <c r="P111" s="52"/>
      <c r="Q111" s="52"/>
      <c r="R111" s="52"/>
      <c r="S111" s="53"/>
      <c r="T111" s="102"/>
      <c r="U111" s="102"/>
      <c r="V111" s="7"/>
      <c r="W111" s="7"/>
      <c r="X111" s="53"/>
      <c r="Y111" s="31" t="str">
        <f aca="false">IF(Tasks[[#This Row],[Task Name]]="","",IF(Tasks[[#This Row],[_IsSummary]],MIN(INDEX(Tasks[_ShownFcstStart],Tasks[[#This Row],[_Row]]+1):INDEX(Tasks[_ShownFcstStart],Tasks[[#This Row],[_Row]]+Tasks[[#This Row],[_Descendants]])),Tasks[[#This Row],[_ShownFcstStart]]))</f>
        <v/>
      </c>
      <c r="Z111" s="31" t="str">
        <f aca="false">IF(Tasks[[#This Row],[Task Name]]="","",IF(Tasks[[#This Row],[_IsSummary]],MAX(INDEX(Tasks[_ShownFcstFinish],Tasks[[#This Row],[_Row]]+1):INDEX(Tasks[_ShownFcstFinish],Tasks[[#This Row],[_Row]]+Tasks[[#This Row],[_Descendants]])),Tasks[[#This Row],[_ShownFcstFinish]]))</f>
        <v/>
      </c>
      <c r="AA111" s="51" t="str">
        <f aca="false">IF(Tasks[[#This Row],[Task Name]]="","",IF(Tasks[[#This Row],[Progress]]&gt;=1,"Complete",IF(OR(N(Tasks[[#This Row],[Actual Start]])&gt;0,Tasks[[#This Row],[Progress]]&gt;0),IF(Tasks[[#This Row],[Finish Var]]&gt;0,"Behind","In Progress"),IF(Tasks[[#This Row],[Planned Start]]&lt;StatusDate,"Late Start","Not Started"))))</f>
        <v/>
      </c>
      <c r="AB111" s="51" t="str">
        <f aca="false">IF(Tasks[[#This Row],[Task Name]]="","",IF(IF(Tasks[[#This Row],[_IsSummary]],COUNTIF(INDEX(Tasks[_LeafCritical],Tasks[[#This Row],[_Row]]+1):INDEX(Tasks[_LeafCritical],Tasks[[#This Row],[_Row]]+Tasks[[#This Row],[_Descendants]]),TRUE())&gt;0,Tasks[[#This Row],[_LeafCritical]]),"Yes",""))</f>
        <v/>
      </c>
      <c r="AC11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1" s="51" t="str">
        <f aca="false">IF(Tasks[[#This Row],[Task Name]]="","",IF(Tasks[[#This Row],[_Level]]&lt;=OutlineShowLevel,"Yes","No"))</f>
        <v/>
      </c>
      <c r="AE111" s="7"/>
      <c r="AF111" s="52"/>
      <c r="AG111" s="53"/>
      <c r="AH111" s="7"/>
      <c r="AI11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1" s="31" t="str">
        <f aca="false">IF(Tasks[[#This Row],[Task Name]]="","",IF(N(Tasks[[#This Row],[Baseline Start]])&gt;0,Tasks[[#This Row],[Baseline Start]],Tasks[[#This Row],[_CalcStart]]))</f>
        <v/>
      </c>
      <c r="AK111" s="31" t="str">
        <f aca="false">IF(Tasks[[#This Row],[Task Name]]="","",IF(N(Tasks[[#This Row],[Baseline Finish]])&gt;0,Tasks[[#This Row],[Baseline Finish]],Tasks[[#This Row],[_CalcFinish]]))</f>
        <v/>
      </c>
      <c r="AL11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1" s="31" t="str">
        <f aca="false">IF(Tasks[[#This Row],[Task Name]]="","",IF(Tasks[[#This Row],[_IsSummary]],MIN(INDEX(Tasks[_LeafLateStart],Tasks[[#This Row],[_Row]]+1):INDEX(Tasks[_LeafLateStart],Tasks[[#This Row],[_Row]]+Tasks[[#This Row],[_Descendants]])),Tasks[[#This Row],[_LeafLateStart]]))</f>
        <v/>
      </c>
      <c r="AN111" s="31" t="str">
        <f aca="false">IF(Tasks[[#This Row],[Task Name]]="","",IF(Tasks[[#This Row],[_IsSummary]],MAX(INDEX(Tasks[_LeafLateFinish],Tasks[[#This Row],[_Row]]+1):INDEX(Tasks[_LeafLateFinish],Tasks[[#This Row],[_Row]]+Tasks[[#This Row],[_Descendants]])),Tasks[[#This Row],[_LeafLateFinish]]))</f>
        <v/>
      </c>
      <c r="AO111" s="51" t="str">
        <f aca="false">IF(Tasks[[#This Row],[Task Name]]="","",IF(Tasks[[#This Row],[_IsSummary]],MIN(INDEX(Tasks[_LeafTotalSlack],Tasks[[#This Row],[_Row]]+1):INDEX(Tasks[_LeafTotalSlack],Tasks[[#This Row],[_Row]]+Tasks[[#This Row],[_Descendants]])),Tasks[[#This Row],[_LeafTotalSlack]]))</f>
        <v/>
      </c>
      <c r="AP11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1" s="110" t="str">
        <f aca="false">IF(Tasks[[#This Row],[Task Name]]="","",IF(Tasks[[#This Row],[_IsSummary]],SUM(INDEX(Tasks[_LeafTotalWork],Tasks[[#This Row],[_Row]]+1):INDEX(Tasks[_LeafTotalWork],Tasks[[#This Row],[_Row]]+Tasks[[#This Row],[_Descendants]])),Tasks[[#This Row],[_LeafTotalWork]]))</f>
        <v/>
      </c>
      <c r="AV11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1" s="111" t="str">
        <f aca="false">IF(Tasks[[#This Row],[Task Name]]="","",IF(Tasks[[#This Row],[_IsSummary]],SUM(INDEX(Tasks[_LeafTotalCost],Tasks[[#This Row],[_Row]]+1):INDEX(Tasks[_LeafTotalCost],Tasks[[#This Row],[_Row]]+Tasks[[#This Row],[_Descendants]])),Tasks[[#This Row],[_LeafTotalCost]]))</f>
        <v/>
      </c>
      <c r="AY111" s="112"/>
      <c r="AZ11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1" s="52"/>
      <c r="BB111" s="98"/>
      <c r="BC111" s="51" t="str">
        <f aca="false">IF(OR(Tasks[[#This Row],[Task Name]]="",Tasks[[#This Row],[Baseline Duration]]=""),"",Tasks[[#This Row],[BL Source Duration]]-N(Tasks[[#This Row],[Baseline Duration]]))</f>
        <v/>
      </c>
      <c r="BD111" s="110" t="str">
        <f aca="false">IF(OR(Tasks[[#This Row],[Task Name]]="",Tasks[[#This Row],[Baseline Work]]=""),"",Tasks[[#This Row],[Work]]-N(Tasks[[#This Row],[Baseline Work]]))</f>
        <v/>
      </c>
      <c r="BE111" s="111" t="str">
        <f aca="false">IF(OR(Tasks[[#This Row],[Task Name]]="",Tasks[[#This Row],[Baseline Cost]]=""),"",Tasks[[#This Row],[Cost]]-N(Tasks[[#This Row],[Baseline Cost]]))</f>
        <v/>
      </c>
      <c r="BF111" s="31" t="str">
        <f aca="false">IF(Tasks[[#This Row],[Task Name]]="","",Tasks[[#This Row],[Forecast Start]])</f>
        <v/>
      </c>
      <c r="BG111" s="31" t="str">
        <f aca="false">IF(Tasks[[#This Row],[Task Name]]="","",Tasks[[#This Row],[Forecast Finish]])</f>
        <v/>
      </c>
      <c r="BH111" s="51" t="str">
        <f aca="false">IF(Tasks[[#This Row],[Task Name]]="","",IF(Tasks[[#This Row],[_IsSummary]],NETWORKDAYS.INTL(Tasks[[#This Row],[Forecast Start]],Tasks[[#This Row],[Forecast Finish]],WorkWeek,Holidays),N(Tasks[[#This Row],[Duration]])))</f>
        <v/>
      </c>
      <c r="BI111" s="110" t="str">
        <f aca="false">IF(Tasks[[#This Row],[Task Name]]="","",Tasks[[#This Row],[Work]])</f>
        <v/>
      </c>
      <c r="BJ111" s="111" t="str">
        <f aca="false">IF(Tasks[[#This Row],[Task Name]]="","",Tasks[[#This Row],[Cost]])</f>
        <v/>
      </c>
      <c r="BK111" s="7"/>
      <c r="BL111" s="7"/>
      <c r="BM111" s="52"/>
      <c r="BN111" s="113"/>
      <c r="BO111" s="112"/>
      <c r="BP111" s="111" t="str">
        <f aca="false">IF(Tasks[[#This Row],[Task Name]]="","",IF(Tasks[[#This Row],[_IsSummary]],SUM(INDEX(Tasks[_LeafEV],Tasks[[#This Row],[_Row]]+1):INDEX(Tasks[_LeafEV],Tasks[[#This Row],[_Row]]+Tasks[[#This Row],[_Descendants]])),Tasks[[#This Row],[_LeafEV]]))</f>
        <v/>
      </c>
      <c r="BQ111" s="111" t="str">
        <f aca="false">IF(Tasks[[#This Row],[Task Name]]="","",IF(Tasks[[#This Row],[_IsSummary]],SUM(INDEX(Tasks[_LeafBudget],Tasks[[#This Row],[_Row]]+1):INDEX(Tasks[_LeafBudget],Tasks[[#This Row],[_Row]]+Tasks[[#This Row],[_Descendants]])),Tasks[[#This Row],[_LeafBudget]]))</f>
        <v/>
      </c>
      <c r="BR111" s="111" t="str">
        <f aca="false">IF(Tasks[[#This Row],[Task Name]]="","",IF(Tasks[[#This Row],[_IsSummary]],SUM(INDEX(Tasks[_LeafPV],Tasks[[#This Row],[_Row]]+1):INDEX(Tasks[_LeafPV],Tasks[[#This Row],[_Row]]+Tasks[[#This Row],[_Descendants]])),Tasks[[#This Row],[_LeafPV]]))</f>
        <v/>
      </c>
      <c r="BS111" s="111" t="str">
        <f aca="false">IF(Tasks[[#This Row],[Task Name]]="","",IF(Tasks[[#This Row],[_IsSummary]],SUM(INDEX(Tasks[_LeafAC],Tasks[[#This Row],[_Row]]+1):INDEX(Tasks[_LeafAC],Tasks[[#This Row],[_Row]]+Tasks[[#This Row],[_Descendants]])),Tasks[[#This Row],[_LeafAC]]))</f>
        <v/>
      </c>
      <c r="BT111" s="38" t="str">
        <f aca="false">IF(Tasks[[#This Row],[Task Name]]="","",MAX(1,N(Tasks[[#This Row],[Level]])))</f>
        <v/>
      </c>
      <c r="BU111" s="38" t="n">
        <f aca="false">ROW()-ROW(Tasks[[#Headers],[ID]])</f>
        <v>106</v>
      </c>
      <c r="BV111" s="38" t="n">
        <f aca="false">IF(OR(Tasks[[#This Row],[Task Name]]="",Tasks[[#This Row],[_Level]]&lt;=1),0,IFERROR(LOOKUP(2,1/(Tasks[[#Headers],[_Level]]:Tasks[[#This Row],[_Level]]=Tasks[[#This Row],[_Level]]-1),ROW(Tasks[[#Headers],[_Level]]:Tasks[[#This Row],[_Level]])),0))</f>
        <v>0</v>
      </c>
      <c r="BW111" s="38" t="n">
        <f aca="false">IFERROR(N(INDEX(Tasks[_Level],Tasks[[#This Row],[_Row]]+1)),0)</f>
        <v>0</v>
      </c>
      <c r="BX111" s="114" t="b">
        <f aca="false">AND(Tasks[[#This Row],[Task Name]]&lt;&gt;"",Tasks[[#This Row],[_NextLevel]]&gt;Tasks[[#This Row],[_Level]])</f>
        <v>0</v>
      </c>
      <c r="BY111" s="38" t="n">
        <f aca="false">IF(Tasks[[#This Row],[_IsSummary]],COUNTIF(Tasks[WBS],Tasks[[#This Row],[WBS]]&amp;".*"),0)</f>
        <v>0</v>
      </c>
      <c r="BZ111" s="38" t="n">
        <f aca="false">IF(AND(Tasks[[#This Row],[Task Name]]&lt;&gt;"",NOT(Tasks[[#This Row],[_IsSummary]])),1,0)</f>
        <v>0</v>
      </c>
      <c r="CA111" s="38" t="n">
        <f aca="false">IF(N(Tasks[[#This Row],[Pred1 UID]])=0,0,IFERROR(MATCH(Tasks[[#This Row],[Pred1 UID]],Tasks[UID],0),-1))</f>
        <v>0</v>
      </c>
      <c r="CB111" s="38" t="n">
        <f aca="false">IF(N(Tasks[[#This Row],[Pred2 UID]])=0,0,IFERROR(MATCH(Tasks[[#This Row],[Pred2 UID]],Tasks[UID],0),-1))</f>
        <v>0</v>
      </c>
      <c r="CC111" s="38" t="n">
        <f aca="false">IF(N(Tasks[[#This Row],[Pred3 UID]])=0,0,IFERROR(MATCH(Tasks[[#This Row],[Pred3 UID]],Tasks[UID],0),-1))</f>
        <v>0</v>
      </c>
      <c r="CD111" s="38" t="n">
        <f aca="false">IF(N(Tasks[[#This Row],[Pred4 UID]])=0,0,IFERROR(MATCH(Tasks[[#This Row],[Pred4 UID]],Tasks[UID],0),-1))</f>
        <v>0</v>
      </c>
      <c r="CE11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1" s="115" t="n">
        <f aca="false">IF(OR(Tasks[[#This Row],[_ConstraintCode]]=2,Tasks[[#This Row],[_ConstraintCode]]=3,Tasks[[#This Row],[_ConstraintCode]]=4,Tasks[[#This Row],[_ConstraintCode]]=6),Tasks[[#This Row],[_ConstraintStart]],0)</f>
        <v>0</v>
      </c>
      <c r="CH111" s="115" t="n">
        <f aca="false">IF(OR(Tasks[[#This Row],[_ConstraintCode]]=2,Tasks[[#This Row],[_ConstraintCode]]=3,Tasks[[#This Row],[_ConstraintCode]]=5,Tasks[[#This Row],[_ConstraintCode]]=7),Tasks[[#This Row],[_ConstraintStart]],2958465)</f>
        <v>2958465</v>
      </c>
      <c r="CI11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1" s="115" t="str">
        <f aca="false">IF(NOT(Tasks[[#This Row],[_IsLeaf]]=1),"",IF(N(Tasks[[#This Row],[Duration]])&lt;=0,Tasks[[#This Row],[_LeafCalcStart]],WORKDAY.INTL(Tasks[[#This Row],[_LeafCalcStart]],Tasks[[#This Row],[Duration]]-1,WorkWeek,Holidays)))</f>
        <v/>
      </c>
      <c r="CK11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1" s="38" t="n">
        <f aca="false">IF(NOT(Tasks[[#This Row],[_IsLeaf]]=1),0,IF(N(Tasks[[#This Row],[Actual Finish]])&gt;0,1,MIN(1,N(Tasks[[#This Row],[% Complete]]))))</f>
        <v>0</v>
      </c>
      <c r="CN111" s="38" t="n">
        <f aca="false">IF(OR(NOT(Tasks[[#This Row],[_IsLeaf]]=1),Tasks[[#This Row],[Resource]]=""),0,N(Tasks[[#This Row],[Duration]])*HoursPerDay*IF(Tasks[[#This Row],[Units]]="",DefaultUnits,Tasks[[#This Row],[Units]]))</f>
        <v>0</v>
      </c>
      <c r="CO111" s="38" t="n">
        <f aca="false">IF(Tasks[[#This Row],[_LeafWork]]=0,0,Tasks[[#This Row],[_LeafWork]]*IFERROR(INDEX(res_Rate,MATCH(Tasks[[#This Row],[Resource]],res_Name,0)),0))</f>
        <v>0</v>
      </c>
      <c r="CP111" s="38" t="n">
        <f aca="false">Tasks[[#This Row],[_LeafWork]]+IF(Tasks[[#This Row],[_IsLeaf]]=1,SUMIFS(asg_Work,asg_TaskUID,Tasks[[#This Row],[UID]],asg_Valid,1),0)</f>
        <v>0</v>
      </c>
      <c r="CQ111" s="38" t="n">
        <f aca="false">Tasks[[#This Row],[_LeafCost]]+IF(Tasks[[#This Row],[_IsLeaf]]=1,SUMIFS(asg_Cost,asg_TaskUID,Tasks[[#This Row],[UID]],asg_Valid,1),0)</f>
        <v>0</v>
      </c>
      <c r="CR111" s="38" t="n">
        <f aca="false">IF(Tasks[[#This Row],[_LeafTotalCost]]=0,Tasks[[#This Row],[_LeafAC]],Tasks[[#This Row],[_LeafAC]]*Tasks[[#This Row],[_LeafCost]]/Tasks[[#This Row],[_LeafTotalCost]])</f>
        <v>0</v>
      </c>
      <c r="CS11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1" s="38" t="n">
        <f aca="false">IF(NOT(Tasks[[#This Row],[_IsLeaf]]=1),0,MAX(_xlfn.MAXIFS(Tasks[_Row],Tasks[Pred1 UID],Tasks[[#This Row],[UID]]),_xlfn.MAXIFS(Tasks[_Row],Tasks[Pred2 UID],Tasks[[#This Row],[UID]]),_xlfn.MAXIFS(Tasks[_Row],Tasks[Pred3 UID],Tasks[[#This Row],[UID]]),_xlfn.MAXIFS(Tasks[_Row],Tasks[Pred4 UID],Tasks[[#This Row],[UID]])))</f>
        <v>0</v>
      </c>
      <c r="DB11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1" s="115" t="str">
        <f aca="false">IF(NOT(Tasks[[#This Row],[_IsLeaf]]=1),"",IF(N(Tasks[[#This Row],[Duration]])&lt;=0,Tasks[[#This Row],[_LeafLateFinish]],WORKDAY.INTL(Tasks[[#This Row],[_LeafLateFinish]],-(Tasks[[#This Row],[Duration]]-1),WorkWeek,Holidays)))</f>
        <v/>
      </c>
      <c r="DE11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1" s="114" t="b">
        <f aca="false">AND(Tasks[[#This Row],[_IsLeaf]]=1,Tasks[[#This Row],[_LeafProgress]]&lt;1,N(Tasks[[#This Row],[_LeafTotalSlack]])&lt;=CriticalSlackDays)</f>
        <v>0</v>
      </c>
      <c r="DG111" s="38" t="n">
        <f aca="false">IF(AND(Tasks[[#This Row],[_IsLeaf]]=1,Tasks[[#This Row],[_ConstraintCode]]=1,Tasks[[#This Row],[Mode]]&lt;&gt;"Manual",N(Tasks[[#This Row],[Actual Start]])=0),MAX(0,N(Tasks[[#This Row],[Free Slack]])),0)</f>
        <v>0</v>
      </c>
      <c r="DH111" s="115" t="str">
        <f aca="false">IF(NOT(Tasks[[#This Row],[_IsLeaf]]=1),"",IF(Tasks[[#This Row],[_AlapShift]]=0,Tasks[[#This Row],[_LeafCalcStart]],WORKDAY.INTL(Tasks[[#This Row],[_LeafCalcStart]],Tasks[[#This Row],[_AlapShift]],WorkWeek,Holidays)))</f>
        <v/>
      </c>
      <c r="DI111" s="115" t="str">
        <f aca="false">IF(NOT(Tasks[[#This Row],[_IsLeaf]]=1),"",IF(Tasks[[#This Row],[_AlapShift]]=0,Tasks[[#This Row],[_LeafCalcFinish]],WORKDAY.INTL(Tasks[[#This Row],[_LeafCalcFinish]],Tasks[[#This Row],[_AlapShift]],WorkWeek,Holidays)))</f>
        <v/>
      </c>
      <c r="DJ111" s="115" t="str">
        <f aca="false">IF(NOT(Tasks[[#This Row],[_IsLeaf]]=1),"",IF(Tasks[[#This Row],[_AlapShift]]=0,Tasks[[#This Row],[_LeafFcstStart]],WORKDAY.INTL(Tasks[[#This Row],[_LeafFcstStart]],Tasks[[#This Row],[_AlapShift]],WorkWeek,Holidays)))</f>
        <v/>
      </c>
      <c r="DK111" s="115" t="str">
        <f aca="false">IF(NOT(Tasks[[#This Row],[_IsLeaf]]=1),"",IF(Tasks[[#This Row],[_AlapShift]]=0,Tasks[[#This Row],[_LeafFcstFinish]],WORKDAY.INTL(Tasks[[#This Row],[_LeafFcstFinish]],Tasks[[#This Row],[_AlapShift]],WorkWeek,Holidays)))</f>
        <v/>
      </c>
      <c r="DL111" s="115" t="str">
        <f aca="false">IF(Tasks[[#This Row],[Task Name]]="","",IF(Tasks[[#This Row],[_IsSummary]],MIN(INDEX(Tasks[_ShownCalcStart],Tasks[[#This Row],[_Row]]+1):INDEX(Tasks[_ShownCalcStart],Tasks[[#This Row],[_Row]]+Tasks[[#This Row],[_Descendants]])),Tasks[[#This Row],[_ShownCalcStart]]))</f>
        <v/>
      </c>
      <c r="DM111" s="115" t="str">
        <f aca="false">IF(Tasks[[#This Row],[Task Name]]="","",IF(Tasks[[#This Row],[_IsSummary]],MAX(INDEX(Tasks[_ShownCalcFinish],Tasks[[#This Row],[_Row]]+1):INDEX(Tasks[_ShownCalcFinish],Tasks[[#This Row],[_Row]]+Tasks[[#This Row],[_Descendants]])),Tasks[[#This Row],[_ShownCalcFinish]]))</f>
        <v/>
      </c>
      <c r="DN11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1" s="38" t="n">
        <f aca="false">IF(AND(Tasks[[#This Row],[_IsLeaf]]=1,Tasks[[#This Row],[_LeafTotalWork]]&gt;0),NETWORKDAYS.INTL(ProjectStart,Tasks[[#This Row],[_ShownFcstStart]],WorkWeek,Holidays),0)</f>
        <v>0</v>
      </c>
      <c r="EA111" s="38" t="n">
        <f aca="false">IF(AND(Tasks[[#This Row],[_IsLeaf]]=1,Tasks[[#This Row],[_LeafTotalWork]]&gt;0),MAX(Tasks[[#This Row],[_StartWorkday]],NETWORKDAYS.INTL(ProjectStart,Tasks[[#This Row],[_ShownFcstFinish]],WorkWeek,Holidays)),0)</f>
        <v>0</v>
      </c>
      <c r="EB111" s="38" t="n">
        <f aca="false">IF(AND(Tasks[[#This Row],[_IsLeaf]]=1,Tasks[[#This Row],[_LeafTotalWork]]&gt;0),Tasks[[#This Row],[_LeafWork]]/(Tasks[[#This Row],[_FinishWorkday]]-Tasks[[#This Row],[_StartWorkday]]+1),0)</f>
        <v>0</v>
      </c>
      <c r="EC111" s="38" t="n">
        <f aca="false">Tasks[[#This Row],[_WorkPerWorkday]]*(Tasks[[#This Row],[_StartWorkday]]-1)</f>
        <v>-0</v>
      </c>
      <c r="ED111" s="38" t="n">
        <f aca="false">IF(Tasks[[#This Row],[_IsLeaf]]=1,MAX(N(Tasks[[#This Row],[Duration]]),0.1),0)</f>
        <v>0</v>
      </c>
      <c r="EE111" s="38" t="n">
        <f aca="false">Tasks[[#This Row],[_WeightDur]]*Tasks[[#This Row],[_LeafProgress]]</f>
        <v>0</v>
      </c>
      <c r="EF11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1" s="38" t="str">
        <f aca="false">IF(AND(Tasks[[#This Row],[_IsLeaf]]=1,N(Tasks[[#This Row],[Duration]])=0,Tasks[[#This Row],[_LeafProgress]]&lt;1),Tasks[[#This Row],[_ShownFcstFinish]]+Tasks[[#This Row],[_Row]]/100000,"")</f>
        <v/>
      </c>
      <c r="EH11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1" s="38" t="n">
        <f aca="false">IF(NOT(Tasks[[#This Row],[_IsLeaf]]=1),0,IF(Tasks[[#This Row],[Baseline Cost]]="",Tasks[[#This Row],[_LeafTotalCost]],N(Tasks[[#This Row],[Baseline Cost]])))</f>
        <v>0</v>
      </c>
      <c r="EJ111" s="38" t="n">
        <f aca="false">Tasks[[#This Row],[_LeafBudget]]*Tasks[[#This Row],[_PlannedPct]]</f>
        <v>0</v>
      </c>
      <c r="EK111" s="38" t="n">
        <f aca="false">Tasks[[#This Row],[_LeafBudget]]*Tasks[[#This Row],[_LeafProgress]]</f>
        <v>0</v>
      </c>
      <c r="EL111" s="38" t="n">
        <f aca="false">IF(NOT(Tasks[[#This Row],[_IsLeaf]]=1),0,IF(Tasks[[#This Row],[Actual Cost]]="",Tasks[[#This Row],[_LeafTotalCost]]*Tasks[[#This Row],[_LeafProgress]],N(Tasks[[#This Row],[Actual Cost]])))</f>
        <v>0</v>
      </c>
      <c r="EM111" s="38" t="str">
        <f aca="false">IF(Tasks[[#This Row],[Task Name]]="","",LEFT(Tasks[[#This Row],[WBS]],FIND(".",Tasks[[#This Row],[WBS]]&amp;".")-1))</f>
        <v/>
      </c>
      <c r="EN111" s="38" t="str">
        <f aca="false">IF(AND(Tasks[[#This Row],[Task Name]]&lt;&gt;"",Tasks[[#This Row],[_Level]]=1),Tasks[[#This Row],[_Row]],"")</f>
        <v/>
      </c>
      <c r="EO111" s="38" t="str">
        <f aca="false">IF(AND(Tasks[[#This Row],[_IsLeaf]]=1,N(Tasks[[#This Row],[Duration]])=0),Tasks[[#This Row],[Planned Finish]]+Tasks[[#This Row],[_Row]]/100000,"")</f>
        <v/>
      </c>
      <c r="EP111" s="38" t="str">
        <f aca="false">IF(AND(Tasks[[#This Row],[_IsLeaf]]=1,Tasks[[#This Row],[_LeafProgress]]&lt;1,OR(N(Tasks[[#This Row],[Finish Var]])&gt;0,Tasks[[#This Row],[Status]]="Late Start")),MAX(0,Tasks[[#This Row],[Finish Var]])+1-Tasks[[#This Row],[_Row]]/1000000,"")</f>
        <v/>
      </c>
      <c r="EQ111" s="38" t="str">
        <f aca="false">IF(AND(Tasks[[#This Row],[_IsLeaf]]=1,N(Tasks[[#This Row],[Actual Start]])=0,Tasks[[#This Row],[_ShownFcstStart]]&gt;=StatusDate,Tasks[[#This Row],[_ShownFcstStart]]&lt;=LookaheadEnd),Tasks[[#This Row],[_ShownFcstStart]]+Tasks[[#This Row],[_Row]]/100000,"")</f>
        <v/>
      </c>
      <c r="ER111" s="38" t="str">
        <f aca="false">IF(AND(Tasks[[#This Row],[_IsLeaf]]=1,Tasks[[#This Row],[_LeafProgress]]&lt;1,Tasks[[#This Row],[_ShownFcstFinish]]&gt;=StatusDate,Tasks[[#This Row],[_ShownFcstFinish]]&lt;=LookaheadEnd),Tasks[[#This Row],[_ShownFcstFinish]]+Tasks[[#This Row],[_Row]]/100000,"")</f>
        <v/>
      </c>
      <c r="ES111" s="38" t="str">
        <f aca="false">IF(Tasks[[#This Row],[_LeafCritical]],Tasks[[#This Row],[_ShownFcstStart]]+Tasks[[#This Row],[_Row]]/100000,"")</f>
        <v/>
      </c>
      <c r="ET111" s="38" t="n">
        <f aca="false">Tasks[[#This Row],[_LeafWork]]*Tasks[[#This Row],[_LeafProgress]]</f>
        <v>0</v>
      </c>
      <c r="EU111" s="115" t="str">
        <f aca="false">IF(AND(Tasks[[#This Row],[_IsLeaf]]=1,Tasks[[#This Row],[_LeafProgress]]&gt;=1),IF(N(Tasks[[#This Row],[Actual Finish]])&gt;0,Tasks[[#This Row],[Actual Finish]],Tasks[[#This Row],[_ShownFcstFinish]]),"")</f>
        <v/>
      </c>
      <c r="EV111" s="38" t="n">
        <f aca="false">IF(Tasks[[#This Row],[_IsLeaf]]=1,N(Tasks[[#This Row],[Story Points]]),0)</f>
        <v>0</v>
      </c>
      <c r="EW111" s="38" t="str">
        <f aca="false">IF(AND(Tasks[[#This Row],[_IsLeaf]]=1,CurrentSprint&lt;&gt;"",Tasks[[#This Row],[Sprint]]=CurrentSprint),Tasks[[#This Row],[_Row]],"")</f>
        <v/>
      </c>
    </row>
    <row r="112" customFormat="false" ht="15" hidden="false" customHeight="false" outlineLevel="0" collapsed="false">
      <c r="A112" s="51" t="str">
        <f aca="false">IF(Tasks[[#This Row],[Task Name]]="","",COUNTA(Tasks[[#Headers],[Task Name]]:Tasks[[#This Row],[Task Name]])-1)</f>
        <v/>
      </c>
      <c r="B112" s="52" t="n">
        <v>107</v>
      </c>
      <c r="C11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52"/>
      <c r="E112" s="53"/>
      <c r="F112" s="52"/>
      <c r="G112" s="52"/>
      <c r="H112" s="52"/>
      <c r="I112" s="52"/>
      <c r="J112" s="52"/>
      <c r="K112" s="52"/>
      <c r="L112" s="52"/>
      <c r="M112" s="52"/>
      <c r="N112" s="52"/>
      <c r="O112" s="52"/>
      <c r="P112" s="52"/>
      <c r="Q112" s="52"/>
      <c r="R112" s="52"/>
      <c r="S112" s="53"/>
      <c r="T112" s="102"/>
      <c r="U112" s="102"/>
      <c r="V112" s="7"/>
      <c r="W112" s="7"/>
      <c r="X112" s="53"/>
      <c r="Y112" s="31" t="str">
        <f aca="false">IF(Tasks[[#This Row],[Task Name]]="","",IF(Tasks[[#This Row],[_IsSummary]],MIN(INDEX(Tasks[_ShownFcstStart],Tasks[[#This Row],[_Row]]+1):INDEX(Tasks[_ShownFcstStart],Tasks[[#This Row],[_Row]]+Tasks[[#This Row],[_Descendants]])),Tasks[[#This Row],[_ShownFcstStart]]))</f>
        <v/>
      </c>
      <c r="Z112" s="31" t="str">
        <f aca="false">IF(Tasks[[#This Row],[Task Name]]="","",IF(Tasks[[#This Row],[_IsSummary]],MAX(INDEX(Tasks[_ShownFcstFinish],Tasks[[#This Row],[_Row]]+1):INDEX(Tasks[_ShownFcstFinish],Tasks[[#This Row],[_Row]]+Tasks[[#This Row],[_Descendants]])),Tasks[[#This Row],[_ShownFcstFinish]]))</f>
        <v/>
      </c>
      <c r="AA112" s="51" t="str">
        <f aca="false">IF(Tasks[[#This Row],[Task Name]]="","",IF(Tasks[[#This Row],[Progress]]&gt;=1,"Complete",IF(OR(N(Tasks[[#This Row],[Actual Start]])&gt;0,Tasks[[#This Row],[Progress]]&gt;0),IF(Tasks[[#This Row],[Finish Var]]&gt;0,"Behind","In Progress"),IF(Tasks[[#This Row],[Planned Start]]&lt;StatusDate,"Late Start","Not Started"))))</f>
        <v/>
      </c>
      <c r="AB112" s="51" t="str">
        <f aca="false">IF(Tasks[[#This Row],[Task Name]]="","",IF(IF(Tasks[[#This Row],[_IsSummary]],COUNTIF(INDEX(Tasks[_LeafCritical],Tasks[[#This Row],[_Row]]+1):INDEX(Tasks[_LeafCritical],Tasks[[#This Row],[_Row]]+Tasks[[#This Row],[_Descendants]]),TRUE())&gt;0,Tasks[[#This Row],[_LeafCritical]]),"Yes",""))</f>
        <v/>
      </c>
      <c r="AC11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2" s="51" t="str">
        <f aca="false">IF(Tasks[[#This Row],[Task Name]]="","",IF(Tasks[[#This Row],[_Level]]&lt;=OutlineShowLevel,"Yes","No"))</f>
        <v/>
      </c>
      <c r="AE112" s="7"/>
      <c r="AF112" s="52"/>
      <c r="AG112" s="53"/>
      <c r="AH112" s="7"/>
      <c r="AI11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2" s="31" t="str">
        <f aca="false">IF(Tasks[[#This Row],[Task Name]]="","",IF(N(Tasks[[#This Row],[Baseline Start]])&gt;0,Tasks[[#This Row],[Baseline Start]],Tasks[[#This Row],[_CalcStart]]))</f>
        <v/>
      </c>
      <c r="AK112" s="31" t="str">
        <f aca="false">IF(Tasks[[#This Row],[Task Name]]="","",IF(N(Tasks[[#This Row],[Baseline Finish]])&gt;0,Tasks[[#This Row],[Baseline Finish]],Tasks[[#This Row],[_CalcFinish]]))</f>
        <v/>
      </c>
      <c r="AL11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2" s="31" t="str">
        <f aca="false">IF(Tasks[[#This Row],[Task Name]]="","",IF(Tasks[[#This Row],[_IsSummary]],MIN(INDEX(Tasks[_LeafLateStart],Tasks[[#This Row],[_Row]]+1):INDEX(Tasks[_LeafLateStart],Tasks[[#This Row],[_Row]]+Tasks[[#This Row],[_Descendants]])),Tasks[[#This Row],[_LeafLateStart]]))</f>
        <v/>
      </c>
      <c r="AN112" s="31" t="str">
        <f aca="false">IF(Tasks[[#This Row],[Task Name]]="","",IF(Tasks[[#This Row],[_IsSummary]],MAX(INDEX(Tasks[_LeafLateFinish],Tasks[[#This Row],[_Row]]+1):INDEX(Tasks[_LeafLateFinish],Tasks[[#This Row],[_Row]]+Tasks[[#This Row],[_Descendants]])),Tasks[[#This Row],[_LeafLateFinish]]))</f>
        <v/>
      </c>
      <c r="AO112" s="51" t="str">
        <f aca="false">IF(Tasks[[#This Row],[Task Name]]="","",IF(Tasks[[#This Row],[_IsSummary]],MIN(INDEX(Tasks[_LeafTotalSlack],Tasks[[#This Row],[_Row]]+1):INDEX(Tasks[_LeafTotalSlack],Tasks[[#This Row],[_Row]]+Tasks[[#This Row],[_Descendants]])),Tasks[[#This Row],[_LeafTotalSlack]]))</f>
        <v/>
      </c>
      <c r="AP11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2" s="110" t="str">
        <f aca="false">IF(Tasks[[#This Row],[Task Name]]="","",IF(Tasks[[#This Row],[_IsSummary]],SUM(INDEX(Tasks[_LeafTotalWork],Tasks[[#This Row],[_Row]]+1):INDEX(Tasks[_LeafTotalWork],Tasks[[#This Row],[_Row]]+Tasks[[#This Row],[_Descendants]])),Tasks[[#This Row],[_LeafTotalWork]]))</f>
        <v/>
      </c>
      <c r="AV11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2" s="111" t="str">
        <f aca="false">IF(Tasks[[#This Row],[Task Name]]="","",IF(Tasks[[#This Row],[_IsSummary]],SUM(INDEX(Tasks[_LeafTotalCost],Tasks[[#This Row],[_Row]]+1):INDEX(Tasks[_LeafTotalCost],Tasks[[#This Row],[_Row]]+Tasks[[#This Row],[_Descendants]])),Tasks[[#This Row],[_LeafTotalCost]]))</f>
        <v/>
      </c>
      <c r="AY112" s="112"/>
      <c r="AZ11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2" s="52"/>
      <c r="BB112" s="98"/>
      <c r="BC112" s="51" t="str">
        <f aca="false">IF(OR(Tasks[[#This Row],[Task Name]]="",Tasks[[#This Row],[Baseline Duration]]=""),"",Tasks[[#This Row],[BL Source Duration]]-N(Tasks[[#This Row],[Baseline Duration]]))</f>
        <v/>
      </c>
      <c r="BD112" s="110" t="str">
        <f aca="false">IF(OR(Tasks[[#This Row],[Task Name]]="",Tasks[[#This Row],[Baseline Work]]=""),"",Tasks[[#This Row],[Work]]-N(Tasks[[#This Row],[Baseline Work]]))</f>
        <v/>
      </c>
      <c r="BE112" s="111" t="str">
        <f aca="false">IF(OR(Tasks[[#This Row],[Task Name]]="",Tasks[[#This Row],[Baseline Cost]]=""),"",Tasks[[#This Row],[Cost]]-N(Tasks[[#This Row],[Baseline Cost]]))</f>
        <v/>
      </c>
      <c r="BF112" s="31" t="str">
        <f aca="false">IF(Tasks[[#This Row],[Task Name]]="","",Tasks[[#This Row],[Forecast Start]])</f>
        <v/>
      </c>
      <c r="BG112" s="31" t="str">
        <f aca="false">IF(Tasks[[#This Row],[Task Name]]="","",Tasks[[#This Row],[Forecast Finish]])</f>
        <v/>
      </c>
      <c r="BH112" s="51" t="str">
        <f aca="false">IF(Tasks[[#This Row],[Task Name]]="","",IF(Tasks[[#This Row],[_IsSummary]],NETWORKDAYS.INTL(Tasks[[#This Row],[Forecast Start]],Tasks[[#This Row],[Forecast Finish]],WorkWeek,Holidays),N(Tasks[[#This Row],[Duration]])))</f>
        <v/>
      </c>
      <c r="BI112" s="110" t="str">
        <f aca="false">IF(Tasks[[#This Row],[Task Name]]="","",Tasks[[#This Row],[Work]])</f>
        <v/>
      </c>
      <c r="BJ112" s="111" t="str">
        <f aca="false">IF(Tasks[[#This Row],[Task Name]]="","",Tasks[[#This Row],[Cost]])</f>
        <v/>
      </c>
      <c r="BK112" s="7"/>
      <c r="BL112" s="7"/>
      <c r="BM112" s="52"/>
      <c r="BN112" s="113"/>
      <c r="BO112" s="112"/>
      <c r="BP112" s="111" t="str">
        <f aca="false">IF(Tasks[[#This Row],[Task Name]]="","",IF(Tasks[[#This Row],[_IsSummary]],SUM(INDEX(Tasks[_LeafEV],Tasks[[#This Row],[_Row]]+1):INDEX(Tasks[_LeafEV],Tasks[[#This Row],[_Row]]+Tasks[[#This Row],[_Descendants]])),Tasks[[#This Row],[_LeafEV]]))</f>
        <v/>
      </c>
      <c r="BQ112" s="111" t="str">
        <f aca="false">IF(Tasks[[#This Row],[Task Name]]="","",IF(Tasks[[#This Row],[_IsSummary]],SUM(INDEX(Tasks[_LeafBudget],Tasks[[#This Row],[_Row]]+1):INDEX(Tasks[_LeafBudget],Tasks[[#This Row],[_Row]]+Tasks[[#This Row],[_Descendants]])),Tasks[[#This Row],[_LeafBudget]]))</f>
        <v/>
      </c>
      <c r="BR112" s="111" t="str">
        <f aca="false">IF(Tasks[[#This Row],[Task Name]]="","",IF(Tasks[[#This Row],[_IsSummary]],SUM(INDEX(Tasks[_LeafPV],Tasks[[#This Row],[_Row]]+1):INDEX(Tasks[_LeafPV],Tasks[[#This Row],[_Row]]+Tasks[[#This Row],[_Descendants]])),Tasks[[#This Row],[_LeafPV]]))</f>
        <v/>
      </c>
      <c r="BS112" s="111" t="str">
        <f aca="false">IF(Tasks[[#This Row],[Task Name]]="","",IF(Tasks[[#This Row],[_IsSummary]],SUM(INDEX(Tasks[_LeafAC],Tasks[[#This Row],[_Row]]+1):INDEX(Tasks[_LeafAC],Tasks[[#This Row],[_Row]]+Tasks[[#This Row],[_Descendants]])),Tasks[[#This Row],[_LeafAC]]))</f>
        <v/>
      </c>
      <c r="BT112" s="38" t="str">
        <f aca="false">IF(Tasks[[#This Row],[Task Name]]="","",MAX(1,N(Tasks[[#This Row],[Level]])))</f>
        <v/>
      </c>
      <c r="BU112" s="38" t="n">
        <f aca="false">ROW()-ROW(Tasks[[#Headers],[ID]])</f>
        <v>107</v>
      </c>
      <c r="BV112" s="38" t="n">
        <f aca="false">IF(OR(Tasks[[#This Row],[Task Name]]="",Tasks[[#This Row],[_Level]]&lt;=1),0,IFERROR(LOOKUP(2,1/(Tasks[[#Headers],[_Level]]:Tasks[[#This Row],[_Level]]=Tasks[[#This Row],[_Level]]-1),ROW(Tasks[[#Headers],[_Level]]:Tasks[[#This Row],[_Level]])),0))</f>
        <v>0</v>
      </c>
      <c r="BW112" s="38" t="n">
        <f aca="false">IFERROR(N(INDEX(Tasks[_Level],Tasks[[#This Row],[_Row]]+1)),0)</f>
        <v>0</v>
      </c>
      <c r="BX112" s="114" t="b">
        <f aca="false">AND(Tasks[[#This Row],[Task Name]]&lt;&gt;"",Tasks[[#This Row],[_NextLevel]]&gt;Tasks[[#This Row],[_Level]])</f>
        <v>0</v>
      </c>
      <c r="BY112" s="38" t="n">
        <f aca="false">IF(Tasks[[#This Row],[_IsSummary]],COUNTIF(Tasks[WBS],Tasks[[#This Row],[WBS]]&amp;".*"),0)</f>
        <v>0</v>
      </c>
      <c r="BZ112" s="38" t="n">
        <f aca="false">IF(AND(Tasks[[#This Row],[Task Name]]&lt;&gt;"",NOT(Tasks[[#This Row],[_IsSummary]])),1,0)</f>
        <v>0</v>
      </c>
      <c r="CA112" s="38" t="n">
        <f aca="false">IF(N(Tasks[[#This Row],[Pred1 UID]])=0,0,IFERROR(MATCH(Tasks[[#This Row],[Pred1 UID]],Tasks[UID],0),-1))</f>
        <v>0</v>
      </c>
      <c r="CB112" s="38" t="n">
        <f aca="false">IF(N(Tasks[[#This Row],[Pred2 UID]])=0,0,IFERROR(MATCH(Tasks[[#This Row],[Pred2 UID]],Tasks[UID],0),-1))</f>
        <v>0</v>
      </c>
      <c r="CC112" s="38" t="n">
        <f aca="false">IF(N(Tasks[[#This Row],[Pred3 UID]])=0,0,IFERROR(MATCH(Tasks[[#This Row],[Pred3 UID]],Tasks[UID],0),-1))</f>
        <v>0</v>
      </c>
      <c r="CD112" s="38" t="n">
        <f aca="false">IF(N(Tasks[[#This Row],[Pred4 UID]])=0,0,IFERROR(MATCH(Tasks[[#This Row],[Pred4 UID]],Tasks[UID],0),-1))</f>
        <v>0</v>
      </c>
      <c r="CE11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2" s="115" t="n">
        <f aca="false">IF(OR(Tasks[[#This Row],[_ConstraintCode]]=2,Tasks[[#This Row],[_ConstraintCode]]=3,Tasks[[#This Row],[_ConstraintCode]]=4,Tasks[[#This Row],[_ConstraintCode]]=6),Tasks[[#This Row],[_ConstraintStart]],0)</f>
        <v>0</v>
      </c>
      <c r="CH112" s="115" t="n">
        <f aca="false">IF(OR(Tasks[[#This Row],[_ConstraintCode]]=2,Tasks[[#This Row],[_ConstraintCode]]=3,Tasks[[#This Row],[_ConstraintCode]]=5,Tasks[[#This Row],[_ConstraintCode]]=7),Tasks[[#This Row],[_ConstraintStart]],2958465)</f>
        <v>2958465</v>
      </c>
      <c r="CI11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2" s="115" t="str">
        <f aca="false">IF(NOT(Tasks[[#This Row],[_IsLeaf]]=1),"",IF(N(Tasks[[#This Row],[Duration]])&lt;=0,Tasks[[#This Row],[_LeafCalcStart]],WORKDAY.INTL(Tasks[[#This Row],[_LeafCalcStart]],Tasks[[#This Row],[Duration]]-1,WorkWeek,Holidays)))</f>
        <v/>
      </c>
      <c r="CK11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2" s="38" t="n">
        <f aca="false">IF(NOT(Tasks[[#This Row],[_IsLeaf]]=1),0,IF(N(Tasks[[#This Row],[Actual Finish]])&gt;0,1,MIN(1,N(Tasks[[#This Row],[% Complete]]))))</f>
        <v>0</v>
      </c>
      <c r="CN112" s="38" t="n">
        <f aca="false">IF(OR(NOT(Tasks[[#This Row],[_IsLeaf]]=1),Tasks[[#This Row],[Resource]]=""),0,N(Tasks[[#This Row],[Duration]])*HoursPerDay*IF(Tasks[[#This Row],[Units]]="",DefaultUnits,Tasks[[#This Row],[Units]]))</f>
        <v>0</v>
      </c>
      <c r="CO112" s="38" t="n">
        <f aca="false">IF(Tasks[[#This Row],[_LeafWork]]=0,0,Tasks[[#This Row],[_LeafWork]]*IFERROR(INDEX(res_Rate,MATCH(Tasks[[#This Row],[Resource]],res_Name,0)),0))</f>
        <v>0</v>
      </c>
      <c r="CP112" s="38" t="n">
        <f aca="false">Tasks[[#This Row],[_LeafWork]]+IF(Tasks[[#This Row],[_IsLeaf]]=1,SUMIFS(asg_Work,asg_TaskUID,Tasks[[#This Row],[UID]],asg_Valid,1),0)</f>
        <v>0</v>
      </c>
      <c r="CQ112" s="38" t="n">
        <f aca="false">Tasks[[#This Row],[_LeafCost]]+IF(Tasks[[#This Row],[_IsLeaf]]=1,SUMIFS(asg_Cost,asg_TaskUID,Tasks[[#This Row],[UID]],asg_Valid,1),0)</f>
        <v>0</v>
      </c>
      <c r="CR112" s="38" t="n">
        <f aca="false">IF(Tasks[[#This Row],[_LeafTotalCost]]=0,Tasks[[#This Row],[_LeafAC]],Tasks[[#This Row],[_LeafAC]]*Tasks[[#This Row],[_LeafCost]]/Tasks[[#This Row],[_LeafTotalCost]])</f>
        <v>0</v>
      </c>
      <c r="CS11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2" s="38" t="n">
        <f aca="false">IF(NOT(Tasks[[#This Row],[_IsLeaf]]=1),0,MAX(_xlfn.MAXIFS(Tasks[_Row],Tasks[Pred1 UID],Tasks[[#This Row],[UID]]),_xlfn.MAXIFS(Tasks[_Row],Tasks[Pred2 UID],Tasks[[#This Row],[UID]]),_xlfn.MAXIFS(Tasks[_Row],Tasks[Pred3 UID],Tasks[[#This Row],[UID]]),_xlfn.MAXIFS(Tasks[_Row],Tasks[Pred4 UID],Tasks[[#This Row],[UID]])))</f>
        <v>0</v>
      </c>
      <c r="DB11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2" s="115" t="str">
        <f aca="false">IF(NOT(Tasks[[#This Row],[_IsLeaf]]=1),"",IF(N(Tasks[[#This Row],[Duration]])&lt;=0,Tasks[[#This Row],[_LeafLateFinish]],WORKDAY.INTL(Tasks[[#This Row],[_LeafLateFinish]],-(Tasks[[#This Row],[Duration]]-1),WorkWeek,Holidays)))</f>
        <v/>
      </c>
      <c r="DE11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2" s="114" t="b">
        <f aca="false">AND(Tasks[[#This Row],[_IsLeaf]]=1,Tasks[[#This Row],[_LeafProgress]]&lt;1,N(Tasks[[#This Row],[_LeafTotalSlack]])&lt;=CriticalSlackDays)</f>
        <v>0</v>
      </c>
      <c r="DG112" s="38" t="n">
        <f aca="false">IF(AND(Tasks[[#This Row],[_IsLeaf]]=1,Tasks[[#This Row],[_ConstraintCode]]=1,Tasks[[#This Row],[Mode]]&lt;&gt;"Manual",N(Tasks[[#This Row],[Actual Start]])=0),MAX(0,N(Tasks[[#This Row],[Free Slack]])),0)</f>
        <v>0</v>
      </c>
      <c r="DH112" s="115" t="str">
        <f aca="false">IF(NOT(Tasks[[#This Row],[_IsLeaf]]=1),"",IF(Tasks[[#This Row],[_AlapShift]]=0,Tasks[[#This Row],[_LeafCalcStart]],WORKDAY.INTL(Tasks[[#This Row],[_LeafCalcStart]],Tasks[[#This Row],[_AlapShift]],WorkWeek,Holidays)))</f>
        <v/>
      </c>
      <c r="DI112" s="115" t="str">
        <f aca="false">IF(NOT(Tasks[[#This Row],[_IsLeaf]]=1),"",IF(Tasks[[#This Row],[_AlapShift]]=0,Tasks[[#This Row],[_LeafCalcFinish]],WORKDAY.INTL(Tasks[[#This Row],[_LeafCalcFinish]],Tasks[[#This Row],[_AlapShift]],WorkWeek,Holidays)))</f>
        <v/>
      </c>
      <c r="DJ112" s="115" t="str">
        <f aca="false">IF(NOT(Tasks[[#This Row],[_IsLeaf]]=1),"",IF(Tasks[[#This Row],[_AlapShift]]=0,Tasks[[#This Row],[_LeafFcstStart]],WORKDAY.INTL(Tasks[[#This Row],[_LeafFcstStart]],Tasks[[#This Row],[_AlapShift]],WorkWeek,Holidays)))</f>
        <v/>
      </c>
      <c r="DK112" s="115" t="str">
        <f aca="false">IF(NOT(Tasks[[#This Row],[_IsLeaf]]=1),"",IF(Tasks[[#This Row],[_AlapShift]]=0,Tasks[[#This Row],[_LeafFcstFinish]],WORKDAY.INTL(Tasks[[#This Row],[_LeafFcstFinish]],Tasks[[#This Row],[_AlapShift]],WorkWeek,Holidays)))</f>
        <v/>
      </c>
      <c r="DL112" s="115" t="str">
        <f aca="false">IF(Tasks[[#This Row],[Task Name]]="","",IF(Tasks[[#This Row],[_IsSummary]],MIN(INDEX(Tasks[_ShownCalcStart],Tasks[[#This Row],[_Row]]+1):INDEX(Tasks[_ShownCalcStart],Tasks[[#This Row],[_Row]]+Tasks[[#This Row],[_Descendants]])),Tasks[[#This Row],[_ShownCalcStart]]))</f>
        <v/>
      </c>
      <c r="DM112" s="115" t="str">
        <f aca="false">IF(Tasks[[#This Row],[Task Name]]="","",IF(Tasks[[#This Row],[_IsSummary]],MAX(INDEX(Tasks[_ShownCalcFinish],Tasks[[#This Row],[_Row]]+1):INDEX(Tasks[_ShownCalcFinish],Tasks[[#This Row],[_Row]]+Tasks[[#This Row],[_Descendants]])),Tasks[[#This Row],[_ShownCalcFinish]]))</f>
        <v/>
      </c>
      <c r="DN11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2" s="38" t="n">
        <f aca="false">IF(AND(Tasks[[#This Row],[_IsLeaf]]=1,Tasks[[#This Row],[_LeafTotalWork]]&gt;0),NETWORKDAYS.INTL(ProjectStart,Tasks[[#This Row],[_ShownFcstStart]],WorkWeek,Holidays),0)</f>
        <v>0</v>
      </c>
      <c r="EA112" s="38" t="n">
        <f aca="false">IF(AND(Tasks[[#This Row],[_IsLeaf]]=1,Tasks[[#This Row],[_LeafTotalWork]]&gt;0),MAX(Tasks[[#This Row],[_StartWorkday]],NETWORKDAYS.INTL(ProjectStart,Tasks[[#This Row],[_ShownFcstFinish]],WorkWeek,Holidays)),0)</f>
        <v>0</v>
      </c>
      <c r="EB112" s="38" t="n">
        <f aca="false">IF(AND(Tasks[[#This Row],[_IsLeaf]]=1,Tasks[[#This Row],[_LeafTotalWork]]&gt;0),Tasks[[#This Row],[_LeafWork]]/(Tasks[[#This Row],[_FinishWorkday]]-Tasks[[#This Row],[_StartWorkday]]+1),0)</f>
        <v>0</v>
      </c>
      <c r="EC112" s="38" t="n">
        <f aca="false">Tasks[[#This Row],[_WorkPerWorkday]]*(Tasks[[#This Row],[_StartWorkday]]-1)</f>
        <v>-0</v>
      </c>
      <c r="ED112" s="38" t="n">
        <f aca="false">IF(Tasks[[#This Row],[_IsLeaf]]=1,MAX(N(Tasks[[#This Row],[Duration]]),0.1),0)</f>
        <v>0</v>
      </c>
      <c r="EE112" s="38" t="n">
        <f aca="false">Tasks[[#This Row],[_WeightDur]]*Tasks[[#This Row],[_LeafProgress]]</f>
        <v>0</v>
      </c>
      <c r="EF11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2" s="38" t="str">
        <f aca="false">IF(AND(Tasks[[#This Row],[_IsLeaf]]=1,N(Tasks[[#This Row],[Duration]])=0,Tasks[[#This Row],[_LeafProgress]]&lt;1),Tasks[[#This Row],[_ShownFcstFinish]]+Tasks[[#This Row],[_Row]]/100000,"")</f>
        <v/>
      </c>
      <c r="EH11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2" s="38" t="n">
        <f aca="false">IF(NOT(Tasks[[#This Row],[_IsLeaf]]=1),0,IF(Tasks[[#This Row],[Baseline Cost]]="",Tasks[[#This Row],[_LeafTotalCost]],N(Tasks[[#This Row],[Baseline Cost]])))</f>
        <v>0</v>
      </c>
      <c r="EJ112" s="38" t="n">
        <f aca="false">Tasks[[#This Row],[_LeafBudget]]*Tasks[[#This Row],[_PlannedPct]]</f>
        <v>0</v>
      </c>
      <c r="EK112" s="38" t="n">
        <f aca="false">Tasks[[#This Row],[_LeafBudget]]*Tasks[[#This Row],[_LeafProgress]]</f>
        <v>0</v>
      </c>
      <c r="EL112" s="38" t="n">
        <f aca="false">IF(NOT(Tasks[[#This Row],[_IsLeaf]]=1),0,IF(Tasks[[#This Row],[Actual Cost]]="",Tasks[[#This Row],[_LeafTotalCost]]*Tasks[[#This Row],[_LeafProgress]],N(Tasks[[#This Row],[Actual Cost]])))</f>
        <v>0</v>
      </c>
      <c r="EM112" s="38" t="str">
        <f aca="false">IF(Tasks[[#This Row],[Task Name]]="","",LEFT(Tasks[[#This Row],[WBS]],FIND(".",Tasks[[#This Row],[WBS]]&amp;".")-1))</f>
        <v/>
      </c>
      <c r="EN112" s="38" t="str">
        <f aca="false">IF(AND(Tasks[[#This Row],[Task Name]]&lt;&gt;"",Tasks[[#This Row],[_Level]]=1),Tasks[[#This Row],[_Row]],"")</f>
        <v/>
      </c>
      <c r="EO112" s="38" t="str">
        <f aca="false">IF(AND(Tasks[[#This Row],[_IsLeaf]]=1,N(Tasks[[#This Row],[Duration]])=0),Tasks[[#This Row],[Planned Finish]]+Tasks[[#This Row],[_Row]]/100000,"")</f>
        <v/>
      </c>
      <c r="EP112" s="38" t="str">
        <f aca="false">IF(AND(Tasks[[#This Row],[_IsLeaf]]=1,Tasks[[#This Row],[_LeafProgress]]&lt;1,OR(N(Tasks[[#This Row],[Finish Var]])&gt;0,Tasks[[#This Row],[Status]]="Late Start")),MAX(0,Tasks[[#This Row],[Finish Var]])+1-Tasks[[#This Row],[_Row]]/1000000,"")</f>
        <v/>
      </c>
      <c r="EQ112" s="38" t="str">
        <f aca="false">IF(AND(Tasks[[#This Row],[_IsLeaf]]=1,N(Tasks[[#This Row],[Actual Start]])=0,Tasks[[#This Row],[_ShownFcstStart]]&gt;=StatusDate,Tasks[[#This Row],[_ShownFcstStart]]&lt;=LookaheadEnd),Tasks[[#This Row],[_ShownFcstStart]]+Tasks[[#This Row],[_Row]]/100000,"")</f>
        <v/>
      </c>
      <c r="ER112" s="38" t="str">
        <f aca="false">IF(AND(Tasks[[#This Row],[_IsLeaf]]=1,Tasks[[#This Row],[_LeafProgress]]&lt;1,Tasks[[#This Row],[_ShownFcstFinish]]&gt;=StatusDate,Tasks[[#This Row],[_ShownFcstFinish]]&lt;=LookaheadEnd),Tasks[[#This Row],[_ShownFcstFinish]]+Tasks[[#This Row],[_Row]]/100000,"")</f>
        <v/>
      </c>
      <c r="ES112" s="38" t="str">
        <f aca="false">IF(Tasks[[#This Row],[_LeafCritical]],Tasks[[#This Row],[_ShownFcstStart]]+Tasks[[#This Row],[_Row]]/100000,"")</f>
        <v/>
      </c>
      <c r="ET112" s="38" t="n">
        <f aca="false">Tasks[[#This Row],[_LeafWork]]*Tasks[[#This Row],[_LeafProgress]]</f>
        <v>0</v>
      </c>
      <c r="EU112" s="115" t="str">
        <f aca="false">IF(AND(Tasks[[#This Row],[_IsLeaf]]=1,Tasks[[#This Row],[_LeafProgress]]&gt;=1),IF(N(Tasks[[#This Row],[Actual Finish]])&gt;0,Tasks[[#This Row],[Actual Finish]],Tasks[[#This Row],[_ShownFcstFinish]]),"")</f>
        <v/>
      </c>
      <c r="EV112" s="38" t="n">
        <f aca="false">IF(Tasks[[#This Row],[_IsLeaf]]=1,N(Tasks[[#This Row],[Story Points]]),0)</f>
        <v>0</v>
      </c>
      <c r="EW112" s="38" t="str">
        <f aca="false">IF(AND(Tasks[[#This Row],[_IsLeaf]]=1,CurrentSprint&lt;&gt;"",Tasks[[#This Row],[Sprint]]=CurrentSprint),Tasks[[#This Row],[_Row]],"")</f>
        <v/>
      </c>
    </row>
    <row r="113" customFormat="false" ht="15" hidden="false" customHeight="false" outlineLevel="0" collapsed="false">
      <c r="A113" s="51" t="str">
        <f aca="false">IF(Tasks[[#This Row],[Task Name]]="","",COUNTA(Tasks[[#Headers],[Task Name]]:Tasks[[#This Row],[Task Name]])-1)</f>
        <v/>
      </c>
      <c r="B113" s="52" t="n">
        <v>108</v>
      </c>
      <c r="C11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52"/>
      <c r="E113" s="53"/>
      <c r="F113" s="52"/>
      <c r="G113" s="52"/>
      <c r="H113" s="52"/>
      <c r="I113" s="52"/>
      <c r="J113" s="52"/>
      <c r="K113" s="52"/>
      <c r="L113" s="52"/>
      <c r="M113" s="52"/>
      <c r="N113" s="52"/>
      <c r="O113" s="52"/>
      <c r="P113" s="52"/>
      <c r="Q113" s="52"/>
      <c r="R113" s="52"/>
      <c r="S113" s="53"/>
      <c r="T113" s="102"/>
      <c r="U113" s="102"/>
      <c r="V113" s="7"/>
      <c r="W113" s="7"/>
      <c r="X113" s="53"/>
      <c r="Y113" s="31" t="str">
        <f aca="false">IF(Tasks[[#This Row],[Task Name]]="","",IF(Tasks[[#This Row],[_IsSummary]],MIN(INDEX(Tasks[_ShownFcstStart],Tasks[[#This Row],[_Row]]+1):INDEX(Tasks[_ShownFcstStart],Tasks[[#This Row],[_Row]]+Tasks[[#This Row],[_Descendants]])),Tasks[[#This Row],[_ShownFcstStart]]))</f>
        <v/>
      </c>
      <c r="Z113" s="31" t="str">
        <f aca="false">IF(Tasks[[#This Row],[Task Name]]="","",IF(Tasks[[#This Row],[_IsSummary]],MAX(INDEX(Tasks[_ShownFcstFinish],Tasks[[#This Row],[_Row]]+1):INDEX(Tasks[_ShownFcstFinish],Tasks[[#This Row],[_Row]]+Tasks[[#This Row],[_Descendants]])),Tasks[[#This Row],[_ShownFcstFinish]]))</f>
        <v/>
      </c>
      <c r="AA113" s="51" t="str">
        <f aca="false">IF(Tasks[[#This Row],[Task Name]]="","",IF(Tasks[[#This Row],[Progress]]&gt;=1,"Complete",IF(OR(N(Tasks[[#This Row],[Actual Start]])&gt;0,Tasks[[#This Row],[Progress]]&gt;0),IF(Tasks[[#This Row],[Finish Var]]&gt;0,"Behind","In Progress"),IF(Tasks[[#This Row],[Planned Start]]&lt;StatusDate,"Late Start","Not Started"))))</f>
        <v/>
      </c>
      <c r="AB113" s="51" t="str">
        <f aca="false">IF(Tasks[[#This Row],[Task Name]]="","",IF(IF(Tasks[[#This Row],[_IsSummary]],COUNTIF(INDEX(Tasks[_LeafCritical],Tasks[[#This Row],[_Row]]+1):INDEX(Tasks[_LeafCritical],Tasks[[#This Row],[_Row]]+Tasks[[#This Row],[_Descendants]]),TRUE())&gt;0,Tasks[[#This Row],[_LeafCritical]]),"Yes",""))</f>
        <v/>
      </c>
      <c r="AC11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3" s="51" t="str">
        <f aca="false">IF(Tasks[[#This Row],[Task Name]]="","",IF(Tasks[[#This Row],[_Level]]&lt;=OutlineShowLevel,"Yes","No"))</f>
        <v/>
      </c>
      <c r="AE113" s="7"/>
      <c r="AF113" s="52"/>
      <c r="AG113" s="53"/>
      <c r="AH113" s="7"/>
      <c r="AI11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3" s="31" t="str">
        <f aca="false">IF(Tasks[[#This Row],[Task Name]]="","",IF(N(Tasks[[#This Row],[Baseline Start]])&gt;0,Tasks[[#This Row],[Baseline Start]],Tasks[[#This Row],[_CalcStart]]))</f>
        <v/>
      </c>
      <c r="AK113" s="31" t="str">
        <f aca="false">IF(Tasks[[#This Row],[Task Name]]="","",IF(N(Tasks[[#This Row],[Baseline Finish]])&gt;0,Tasks[[#This Row],[Baseline Finish]],Tasks[[#This Row],[_CalcFinish]]))</f>
        <v/>
      </c>
      <c r="AL11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3" s="31" t="str">
        <f aca="false">IF(Tasks[[#This Row],[Task Name]]="","",IF(Tasks[[#This Row],[_IsSummary]],MIN(INDEX(Tasks[_LeafLateStart],Tasks[[#This Row],[_Row]]+1):INDEX(Tasks[_LeafLateStart],Tasks[[#This Row],[_Row]]+Tasks[[#This Row],[_Descendants]])),Tasks[[#This Row],[_LeafLateStart]]))</f>
        <v/>
      </c>
      <c r="AN113" s="31" t="str">
        <f aca="false">IF(Tasks[[#This Row],[Task Name]]="","",IF(Tasks[[#This Row],[_IsSummary]],MAX(INDEX(Tasks[_LeafLateFinish],Tasks[[#This Row],[_Row]]+1):INDEX(Tasks[_LeafLateFinish],Tasks[[#This Row],[_Row]]+Tasks[[#This Row],[_Descendants]])),Tasks[[#This Row],[_LeafLateFinish]]))</f>
        <v/>
      </c>
      <c r="AO113" s="51" t="str">
        <f aca="false">IF(Tasks[[#This Row],[Task Name]]="","",IF(Tasks[[#This Row],[_IsSummary]],MIN(INDEX(Tasks[_LeafTotalSlack],Tasks[[#This Row],[_Row]]+1):INDEX(Tasks[_LeafTotalSlack],Tasks[[#This Row],[_Row]]+Tasks[[#This Row],[_Descendants]])),Tasks[[#This Row],[_LeafTotalSlack]]))</f>
        <v/>
      </c>
      <c r="AP11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3" s="110" t="str">
        <f aca="false">IF(Tasks[[#This Row],[Task Name]]="","",IF(Tasks[[#This Row],[_IsSummary]],SUM(INDEX(Tasks[_LeafTotalWork],Tasks[[#This Row],[_Row]]+1):INDEX(Tasks[_LeafTotalWork],Tasks[[#This Row],[_Row]]+Tasks[[#This Row],[_Descendants]])),Tasks[[#This Row],[_LeafTotalWork]]))</f>
        <v/>
      </c>
      <c r="AV11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3" s="111" t="str">
        <f aca="false">IF(Tasks[[#This Row],[Task Name]]="","",IF(Tasks[[#This Row],[_IsSummary]],SUM(INDEX(Tasks[_LeafTotalCost],Tasks[[#This Row],[_Row]]+1):INDEX(Tasks[_LeafTotalCost],Tasks[[#This Row],[_Row]]+Tasks[[#This Row],[_Descendants]])),Tasks[[#This Row],[_LeafTotalCost]]))</f>
        <v/>
      </c>
      <c r="AY113" s="112"/>
      <c r="AZ11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3" s="52"/>
      <c r="BB113" s="98"/>
      <c r="BC113" s="51" t="str">
        <f aca="false">IF(OR(Tasks[[#This Row],[Task Name]]="",Tasks[[#This Row],[Baseline Duration]]=""),"",Tasks[[#This Row],[BL Source Duration]]-N(Tasks[[#This Row],[Baseline Duration]]))</f>
        <v/>
      </c>
      <c r="BD113" s="110" t="str">
        <f aca="false">IF(OR(Tasks[[#This Row],[Task Name]]="",Tasks[[#This Row],[Baseline Work]]=""),"",Tasks[[#This Row],[Work]]-N(Tasks[[#This Row],[Baseline Work]]))</f>
        <v/>
      </c>
      <c r="BE113" s="111" t="str">
        <f aca="false">IF(OR(Tasks[[#This Row],[Task Name]]="",Tasks[[#This Row],[Baseline Cost]]=""),"",Tasks[[#This Row],[Cost]]-N(Tasks[[#This Row],[Baseline Cost]]))</f>
        <v/>
      </c>
      <c r="BF113" s="31" t="str">
        <f aca="false">IF(Tasks[[#This Row],[Task Name]]="","",Tasks[[#This Row],[Forecast Start]])</f>
        <v/>
      </c>
      <c r="BG113" s="31" t="str">
        <f aca="false">IF(Tasks[[#This Row],[Task Name]]="","",Tasks[[#This Row],[Forecast Finish]])</f>
        <v/>
      </c>
      <c r="BH113" s="51" t="str">
        <f aca="false">IF(Tasks[[#This Row],[Task Name]]="","",IF(Tasks[[#This Row],[_IsSummary]],NETWORKDAYS.INTL(Tasks[[#This Row],[Forecast Start]],Tasks[[#This Row],[Forecast Finish]],WorkWeek,Holidays),N(Tasks[[#This Row],[Duration]])))</f>
        <v/>
      </c>
      <c r="BI113" s="110" t="str">
        <f aca="false">IF(Tasks[[#This Row],[Task Name]]="","",Tasks[[#This Row],[Work]])</f>
        <v/>
      </c>
      <c r="BJ113" s="111" t="str">
        <f aca="false">IF(Tasks[[#This Row],[Task Name]]="","",Tasks[[#This Row],[Cost]])</f>
        <v/>
      </c>
      <c r="BK113" s="7"/>
      <c r="BL113" s="7"/>
      <c r="BM113" s="52"/>
      <c r="BN113" s="113"/>
      <c r="BO113" s="112"/>
      <c r="BP113" s="111" t="str">
        <f aca="false">IF(Tasks[[#This Row],[Task Name]]="","",IF(Tasks[[#This Row],[_IsSummary]],SUM(INDEX(Tasks[_LeafEV],Tasks[[#This Row],[_Row]]+1):INDEX(Tasks[_LeafEV],Tasks[[#This Row],[_Row]]+Tasks[[#This Row],[_Descendants]])),Tasks[[#This Row],[_LeafEV]]))</f>
        <v/>
      </c>
      <c r="BQ113" s="111" t="str">
        <f aca="false">IF(Tasks[[#This Row],[Task Name]]="","",IF(Tasks[[#This Row],[_IsSummary]],SUM(INDEX(Tasks[_LeafBudget],Tasks[[#This Row],[_Row]]+1):INDEX(Tasks[_LeafBudget],Tasks[[#This Row],[_Row]]+Tasks[[#This Row],[_Descendants]])),Tasks[[#This Row],[_LeafBudget]]))</f>
        <v/>
      </c>
      <c r="BR113" s="111" t="str">
        <f aca="false">IF(Tasks[[#This Row],[Task Name]]="","",IF(Tasks[[#This Row],[_IsSummary]],SUM(INDEX(Tasks[_LeafPV],Tasks[[#This Row],[_Row]]+1):INDEX(Tasks[_LeafPV],Tasks[[#This Row],[_Row]]+Tasks[[#This Row],[_Descendants]])),Tasks[[#This Row],[_LeafPV]]))</f>
        <v/>
      </c>
      <c r="BS113" s="111" t="str">
        <f aca="false">IF(Tasks[[#This Row],[Task Name]]="","",IF(Tasks[[#This Row],[_IsSummary]],SUM(INDEX(Tasks[_LeafAC],Tasks[[#This Row],[_Row]]+1):INDEX(Tasks[_LeafAC],Tasks[[#This Row],[_Row]]+Tasks[[#This Row],[_Descendants]])),Tasks[[#This Row],[_LeafAC]]))</f>
        <v/>
      </c>
      <c r="BT113" s="38" t="str">
        <f aca="false">IF(Tasks[[#This Row],[Task Name]]="","",MAX(1,N(Tasks[[#This Row],[Level]])))</f>
        <v/>
      </c>
      <c r="BU113" s="38" t="n">
        <f aca="false">ROW()-ROW(Tasks[[#Headers],[ID]])</f>
        <v>108</v>
      </c>
      <c r="BV113" s="38" t="n">
        <f aca="false">IF(OR(Tasks[[#This Row],[Task Name]]="",Tasks[[#This Row],[_Level]]&lt;=1),0,IFERROR(LOOKUP(2,1/(Tasks[[#Headers],[_Level]]:Tasks[[#This Row],[_Level]]=Tasks[[#This Row],[_Level]]-1),ROW(Tasks[[#Headers],[_Level]]:Tasks[[#This Row],[_Level]])),0))</f>
        <v>0</v>
      </c>
      <c r="BW113" s="38" t="n">
        <f aca="false">IFERROR(N(INDEX(Tasks[_Level],Tasks[[#This Row],[_Row]]+1)),0)</f>
        <v>0</v>
      </c>
      <c r="BX113" s="114" t="b">
        <f aca="false">AND(Tasks[[#This Row],[Task Name]]&lt;&gt;"",Tasks[[#This Row],[_NextLevel]]&gt;Tasks[[#This Row],[_Level]])</f>
        <v>0</v>
      </c>
      <c r="BY113" s="38" t="n">
        <f aca="false">IF(Tasks[[#This Row],[_IsSummary]],COUNTIF(Tasks[WBS],Tasks[[#This Row],[WBS]]&amp;".*"),0)</f>
        <v>0</v>
      </c>
      <c r="BZ113" s="38" t="n">
        <f aca="false">IF(AND(Tasks[[#This Row],[Task Name]]&lt;&gt;"",NOT(Tasks[[#This Row],[_IsSummary]])),1,0)</f>
        <v>0</v>
      </c>
      <c r="CA113" s="38" t="n">
        <f aca="false">IF(N(Tasks[[#This Row],[Pred1 UID]])=0,0,IFERROR(MATCH(Tasks[[#This Row],[Pred1 UID]],Tasks[UID],0),-1))</f>
        <v>0</v>
      </c>
      <c r="CB113" s="38" t="n">
        <f aca="false">IF(N(Tasks[[#This Row],[Pred2 UID]])=0,0,IFERROR(MATCH(Tasks[[#This Row],[Pred2 UID]],Tasks[UID],0),-1))</f>
        <v>0</v>
      </c>
      <c r="CC113" s="38" t="n">
        <f aca="false">IF(N(Tasks[[#This Row],[Pred3 UID]])=0,0,IFERROR(MATCH(Tasks[[#This Row],[Pred3 UID]],Tasks[UID],0),-1))</f>
        <v>0</v>
      </c>
      <c r="CD113" s="38" t="n">
        <f aca="false">IF(N(Tasks[[#This Row],[Pred4 UID]])=0,0,IFERROR(MATCH(Tasks[[#This Row],[Pred4 UID]],Tasks[UID],0),-1))</f>
        <v>0</v>
      </c>
      <c r="CE11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3" s="115" t="n">
        <f aca="false">IF(OR(Tasks[[#This Row],[_ConstraintCode]]=2,Tasks[[#This Row],[_ConstraintCode]]=3,Tasks[[#This Row],[_ConstraintCode]]=4,Tasks[[#This Row],[_ConstraintCode]]=6),Tasks[[#This Row],[_ConstraintStart]],0)</f>
        <v>0</v>
      </c>
      <c r="CH113" s="115" t="n">
        <f aca="false">IF(OR(Tasks[[#This Row],[_ConstraintCode]]=2,Tasks[[#This Row],[_ConstraintCode]]=3,Tasks[[#This Row],[_ConstraintCode]]=5,Tasks[[#This Row],[_ConstraintCode]]=7),Tasks[[#This Row],[_ConstraintStart]],2958465)</f>
        <v>2958465</v>
      </c>
      <c r="CI11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3" s="115" t="str">
        <f aca="false">IF(NOT(Tasks[[#This Row],[_IsLeaf]]=1),"",IF(N(Tasks[[#This Row],[Duration]])&lt;=0,Tasks[[#This Row],[_LeafCalcStart]],WORKDAY.INTL(Tasks[[#This Row],[_LeafCalcStart]],Tasks[[#This Row],[Duration]]-1,WorkWeek,Holidays)))</f>
        <v/>
      </c>
      <c r="CK11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3" s="38" t="n">
        <f aca="false">IF(NOT(Tasks[[#This Row],[_IsLeaf]]=1),0,IF(N(Tasks[[#This Row],[Actual Finish]])&gt;0,1,MIN(1,N(Tasks[[#This Row],[% Complete]]))))</f>
        <v>0</v>
      </c>
      <c r="CN113" s="38" t="n">
        <f aca="false">IF(OR(NOT(Tasks[[#This Row],[_IsLeaf]]=1),Tasks[[#This Row],[Resource]]=""),0,N(Tasks[[#This Row],[Duration]])*HoursPerDay*IF(Tasks[[#This Row],[Units]]="",DefaultUnits,Tasks[[#This Row],[Units]]))</f>
        <v>0</v>
      </c>
      <c r="CO113" s="38" t="n">
        <f aca="false">IF(Tasks[[#This Row],[_LeafWork]]=0,0,Tasks[[#This Row],[_LeafWork]]*IFERROR(INDEX(res_Rate,MATCH(Tasks[[#This Row],[Resource]],res_Name,0)),0))</f>
        <v>0</v>
      </c>
      <c r="CP113" s="38" t="n">
        <f aca="false">Tasks[[#This Row],[_LeafWork]]+IF(Tasks[[#This Row],[_IsLeaf]]=1,SUMIFS(asg_Work,asg_TaskUID,Tasks[[#This Row],[UID]],asg_Valid,1),0)</f>
        <v>0</v>
      </c>
      <c r="CQ113" s="38" t="n">
        <f aca="false">Tasks[[#This Row],[_LeafCost]]+IF(Tasks[[#This Row],[_IsLeaf]]=1,SUMIFS(asg_Cost,asg_TaskUID,Tasks[[#This Row],[UID]],asg_Valid,1),0)</f>
        <v>0</v>
      </c>
      <c r="CR113" s="38" t="n">
        <f aca="false">IF(Tasks[[#This Row],[_LeafTotalCost]]=0,Tasks[[#This Row],[_LeafAC]],Tasks[[#This Row],[_LeafAC]]*Tasks[[#This Row],[_LeafCost]]/Tasks[[#This Row],[_LeafTotalCost]])</f>
        <v>0</v>
      </c>
      <c r="CS11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3" s="38" t="n">
        <f aca="false">IF(NOT(Tasks[[#This Row],[_IsLeaf]]=1),0,MAX(_xlfn.MAXIFS(Tasks[_Row],Tasks[Pred1 UID],Tasks[[#This Row],[UID]]),_xlfn.MAXIFS(Tasks[_Row],Tasks[Pred2 UID],Tasks[[#This Row],[UID]]),_xlfn.MAXIFS(Tasks[_Row],Tasks[Pred3 UID],Tasks[[#This Row],[UID]]),_xlfn.MAXIFS(Tasks[_Row],Tasks[Pred4 UID],Tasks[[#This Row],[UID]])))</f>
        <v>0</v>
      </c>
      <c r="DB11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3" s="115" t="str">
        <f aca="false">IF(NOT(Tasks[[#This Row],[_IsLeaf]]=1),"",IF(N(Tasks[[#This Row],[Duration]])&lt;=0,Tasks[[#This Row],[_LeafLateFinish]],WORKDAY.INTL(Tasks[[#This Row],[_LeafLateFinish]],-(Tasks[[#This Row],[Duration]]-1),WorkWeek,Holidays)))</f>
        <v/>
      </c>
      <c r="DE11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3" s="114" t="b">
        <f aca="false">AND(Tasks[[#This Row],[_IsLeaf]]=1,Tasks[[#This Row],[_LeafProgress]]&lt;1,N(Tasks[[#This Row],[_LeafTotalSlack]])&lt;=CriticalSlackDays)</f>
        <v>0</v>
      </c>
      <c r="DG113" s="38" t="n">
        <f aca="false">IF(AND(Tasks[[#This Row],[_IsLeaf]]=1,Tasks[[#This Row],[_ConstraintCode]]=1,Tasks[[#This Row],[Mode]]&lt;&gt;"Manual",N(Tasks[[#This Row],[Actual Start]])=0),MAX(0,N(Tasks[[#This Row],[Free Slack]])),0)</f>
        <v>0</v>
      </c>
      <c r="DH113" s="115" t="str">
        <f aca="false">IF(NOT(Tasks[[#This Row],[_IsLeaf]]=1),"",IF(Tasks[[#This Row],[_AlapShift]]=0,Tasks[[#This Row],[_LeafCalcStart]],WORKDAY.INTL(Tasks[[#This Row],[_LeafCalcStart]],Tasks[[#This Row],[_AlapShift]],WorkWeek,Holidays)))</f>
        <v/>
      </c>
      <c r="DI113" s="115" t="str">
        <f aca="false">IF(NOT(Tasks[[#This Row],[_IsLeaf]]=1),"",IF(Tasks[[#This Row],[_AlapShift]]=0,Tasks[[#This Row],[_LeafCalcFinish]],WORKDAY.INTL(Tasks[[#This Row],[_LeafCalcFinish]],Tasks[[#This Row],[_AlapShift]],WorkWeek,Holidays)))</f>
        <v/>
      </c>
      <c r="DJ113" s="115" t="str">
        <f aca="false">IF(NOT(Tasks[[#This Row],[_IsLeaf]]=1),"",IF(Tasks[[#This Row],[_AlapShift]]=0,Tasks[[#This Row],[_LeafFcstStart]],WORKDAY.INTL(Tasks[[#This Row],[_LeafFcstStart]],Tasks[[#This Row],[_AlapShift]],WorkWeek,Holidays)))</f>
        <v/>
      </c>
      <c r="DK113" s="115" t="str">
        <f aca="false">IF(NOT(Tasks[[#This Row],[_IsLeaf]]=1),"",IF(Tasks[[#This Row],[_AlapShift]]=0,Tasks[[#This Row],[_LeafFcstFinish]],WORKDAY.INTL(Tasks[[#This Row],[_LeafFcstFinish]],Tasks[[#This Row],[_AlapShift]],WorkWeek,Holidays)))</f>
        <v/>
      </c>
      <c r="DL113" s="115" t="str">
        <f aca="false">IF(Tasks[[#This Row],[Task Name]]="","",IF(Tasks[[#This Row],[_IsSummary]],MIN(INDEX(Tasks[_ShownCalcStart],Tasks[[#This Row],[_Row]]+1):INDEX(Tasks[_ShownCalcStart],Tasks[[#This Row],[_Row]]+Tasks[[#This Row],[_Descendants]])),Tasks[[#This Row],[_ShownCalcStart]]))</f>
        <v/>
      </c>
      <c r="DM113" s="115" t="str">
        <f aca="false">IF(Tasks[[#This Row],[Task Name]]="","",IF(Tasks[[#This Row],[_IsSummary]],MAX(INDEX(Tasks[_ShownCalcFinish],Tasks[[#This Row],[_Row]]+1):INDEX(Tasks[_ShownCalcFinish],Tasks[[#This Row],[_Row]]+Tasks[[#This Row],[_Descendants]])),Tasks[[#This Row],[_ShownCalcFinish]]))</f>
        <v/>
      </c>
      <c r="DN11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3" s="38" t="n">
        <f aca="false">IF(AND(Tasks[[#This Row],[_IsLeaf]]=1,Tasks[[#This Row],[_LeafTotalWork]]&gt;0),NETWORKDAYS.INTL(ProjectStart,Tasks[[#This Row],[_ShownFcstStart]],WorkWeek,Holidays),0)</f>
        <v>0</v>
      </c>
      <c r="EA113" s="38" t="n">
        <f aca="false">IF(AND(Tasks[[#This Row],[_IsLeaf]]=1,Tasks[[#This Row],[_LeafTotalWork]]&gt;0),MAX(Tasks[[#This Row],[_StartWorkday]],NETWORKDAYS.INTL(ProjectStart,Tasks[[#This Row],[_ShownFcstFinish]],WorkWeek,Holidays)),0)</f>
        <v>0</v>
      </c>
      <c r="EB113" s="38" t="n">
        <f aca="false">IF(AND(Tasks[[#This Row],[_IsLeaf]]=1,Tasks[[#This Row],[_LeafTotalWork]]&gt;0),Tasks[[#This Row],[_LeafWork]]/(Tasks[[#This Row],[_FinishWorkday]]-Tasks[[#This Row],[_StartWorkday]]+1),0)</f>
        <v>0</v>
      </c>
      <c r="EC113" s="38" t="n">
        <f aca="false">Tasks[[#This Row],[_WorkPerWorkday]]*(Tasks[[#This Row],[_StartWorkday]]-1)</f>
        <v>-0</v>
      </c>
      <c r="ED113" s="38" t="n">
        <f aca="false">IF(Tasks[[#This Row],[_IsLeaf]]=1,MAX(N(Tasks[[#This Row],[Duration]]),0.1),0)</f>
        <v>0</v>
      </c>
      <c r="EE113" s="38" t="n">
        <f aca="false">Tasks[[#This Row],[_WeightDur]]*Tasks[[#This Row],[_LeafProgress]]</f>
        <v>0</v>
      </c>
      <c r="EF11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3" s="38" t="str">
        <f aca="false">IF(AND(Tasks[[#This Row],[_IsLeaf]]=1,N(Tasks[[#This Row],[Duration]])=0,Tasks[[#This Row],[_LeafProgress]]&lt;1),Tasks[[#This Row],[_ShownFcstFinish]]+Tasks[[#This Row],[_Row]]/100000,"")</f>
        <v/>
      </c>
      <c r="EH11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3" s="38" t="n">
        <f aca="false">IF(NOT(Tasks[[#This Row],[_IsLeaf]]=1),0,IF(Tasks[[#This Row],[Baseline Cost]]="",Tasks[[#This Row],[_LeafTotalCost]],N(Tasks[[#This Row],[Baseline Cost]])))</f>
        <v>0</v>
      </c>
      <c r="EJ113" s="38" t="n">
        <f aca="false">Tasks[[#This Row],[_LeafBudget]]*Tasks[[#This Row],[_PlannedPct]]</f>
        <v>0</v>
      </c>
      <c r="EK113" s="38" t="n">
        <f aca="false">Tasks[[#This Row],[_LeafBudget]]*Tasks[[#This Row],[_LeafProgress]]</f>
        <v>0</v>
      </c>
      <c r="EL113" s="38" t="n">
        <f aca="false">IF(NOT(Tasks[[#This Row],[_IsLeaf]]=1),0,IF(Tasks[[#This Row],[Actual Cost]]="",Tasks[[#This Row],[_LeafTotalCost]]*Tasks[[#This Row],[_LeafProgress]],N(Tasks[[#This Row],[Actual Cost]])))</f>
        <v>0</v>
      </c>
      <c r="EM113" s="38" t="str">
        <f aca="false">IF(Tasks[[#This Row],[Task Name]]="","",LEFT(Tasks[[#This Row],[WBS]],FIND(".",Tasks[[#This Row],[WBS]]&amp;".")-1))</f>
        <v/>
      </c>
      <c r="EN113" s="38" t="str">
        <f aca="false">IF(AND(Tasks[[#This Row],[Task Name]]&lt;&gt;"",Tasks[[#This Row],[_Level]]=1),Tasks[[#This Row],[_Row]],"")</f>
        <v/>
      </c>
      <c r="EO113" s="38" t="str">
        <f aca="false">IF(AND(Tasks[[#This Row],[_IsLeaf]]=1,N(Tasks[[#This Row],[Duration]])=0),Tasks[[#This Row],[Planned Finish]]+Tasks[[#This Row],[_Row]]/100000,"")</f>
        <v/>
      </c>
      <c r="EP113" s="38" t="str">
        <f aca="false">IF(AND(Tasks[[#This Row],[_IsLeaf]]=1,Tasks[[#This Row],[_LeafProgress]]&lt;1,OR(N(Tasks[[#This Row],[Finish Var]])&gt;0,Tasks[[#This Row],[Status]]="Late Start")),MAX(0,Tasks[[#This Row],[Finish Var]])+1-Tasks[[#This Row],[_Row]]/1000000,"")</f>
        <v/>
      </c>
      <c r="EQ113" s="38" t="str">
        <f aca="false">IF(AND(Tasks[[#This Row],[_IsLeaf]]=1,N(Tasks[[#This Row],[Actual Start]])=0,Tasks[[#This Row],[_ShownFcstStart]]&gt;=StatusDate,Tasks[[#This Row],[_ShownFcstStart]]&lt;=LookaheadEnd),Tasks[[#This Row],[_ShownFcstStart]]+Tasks[[#This Row],[_Row]]/100000,"")</f>
        <v/>
      </c>
      <c r="ER113" s="38" t="str">
        <f aca="false">IF(AND(Tasks[[#This Row],[_IsLeaf]]=1,Tasks[[#This Row],[_LeafProgress]]&lt;1,Tasks[[#This Row],[_ShownFcstFinish]]&gt;=StatusDate,Tasks[[#This Row],[_ShownFcstFinish]]&lt;=LookaheadEnd),Tasks[[#This Row],[_ShownFcstFinish]]+Tasks[[#This Row],[_Row]]/100000,"")</f>
        <v/>
      </c>
      <c r="ES113" s="38" t="str">
        <f aca="false">IF(Tasks[[#This Row],[_LeafCritical]],Tasks[[#This Row],[_ShownFcstStart]]+Tasks[[#This Row],[_Row]]/100000,"")</f>
        <v/>
      </c>
      <c r="ET113" s="38" t="n">
        <f aca="false">Tasks[[#This Row],[_LeafWork]]*Tasks[[#This Row],[_LeafProgress]]</f>
        <v>0</v>
      </c>
      <c r="EU113" s="115" t="str">
        <f aca="false">IF(AND(Tasks[[#This Row],[_IsLeaf]]=1,Tasks[[#This Row],[_LeafProgress]]&gt;=1),IF(N(Tasks[[#This Row],[Actual Finish]])&gt;0,Tasks[[#This Row],[Actual Finish]],Tasks[[#This Row],[_ShownFcstFinish]]),"")</f>
        <v/>
      </c>
      <c r="EV113" s="38" t="n">
        <f aca="false">IF(Tasks[[#This Row],[_IsLeaf]]=1,N(Tasks[[#This Row],[Story Points]]),0)</f>
        <v>0</v>
      </c>
      <c r="EW113" s="38" t="str">
        <f aca="false">IF(AND(Tasks[[#This Row],[_IsLeaf]]=1,CurrentSprint&lt;&gt;"",Tasks[[#This Row],[Sprint]]=CurrentSprint),Tasks[[#This Row],[_Row]],"")</f>
        <v/>
      </c>
    </row>
    <row r="114" customFormat="false" ht="15" hidden="false" customHeight="false" outlineLevel="0" collapsed="false">
      <c r="A114" s="51" t="str">
        <f aca="false">IF(Tasks[[#This Row],[Task Name]]="","",COUNTA(Tasks[[#Headers],[Task Name]]:Tasks[[#This Row],[Task Name]])-1)</f>
        <v/>
      </c>
      <c r="B114" s="52" t="n">
        <v>109</v>
      </c>
      <c r="C11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52"/>
      <c r="E114" s="53"/>
      <c r="F114" s="52"/>
      <c r="G114" s="52"/>
      <c r="H114" s="52"/>
      <c r="I114" s="52"/>
      <c r="J114" s="52"/>
      <c r="K114" s="52"/>
      <c r="L114" s="52"/>
      <c r="M114" s="52"/>
      <c r="N114" s="52"/>
      <c r="O114" s="52"/>
      <c r="P114" s="52"/>
      <c r="Q114" s="52"/>
      <c r="R114" s="52"/>
      <c r="S114" s="53"/>
      <c r="T114" s="102"/>
      <c r="U114" s="102"/>
      <c r="V114" s="7"/>
      <c r="W114" s="7"/>
      <c r="X114" s="53"/>
      <c r="Y114" s="31" t="str">
        <f aca="false">IF(Tasks[[#This Row],[Task Name]]="","",IF(Tasks[[#This Row],[_IsSummary]],MIN(INDEX(Tasks[_ShownFcstStart],Tasks[[#This Row],[_Row]]+1):INDEX(Tasks[_ShownFcstStart],Tasks[[#This Row],[_Row]]+Tasks[[#This Row],[_Descendants]])),Tasks[[#This Row],[_ShownFcstStart]]))</f>
        <v/>
      </c>
      <c r="Z114" s="31" t="str">
        <f aca="false">IF(Tasks[[#This Row],[Task Name]]="","",IF(Tasks[[#This Row],[_IsSummary]],MAX(INDEX(Tasks[_ShownFcstFinish],Tasks[[#This Row],[_Row]]+1):INDEX(Tasks[_ShownFcstFinish],Tasks[[#This Row],[_Row]]+Tasks[[#This Row],[_Descendants]])),Tasks[[#This Row],[_ShownFcstFinish]]))</f>
        <v/>
      </c>
      <c r="AA114" s="51" t="str">
        <f aca="false">IF(Tasks[[#This Row],[Task Name]]="","",IF(Tasks[[#This Row],[Progress]]&gt;=1,"Complete",IF(OR(N(Tasks[[#This Row],[Actual Start]])&gt;0,Tasks[[#This Row],[Progress]]&gt;0),IF(Tasks[[#This Row],[Finish Var]]&gt;0,"Behind","In Progress"),IF(Tasks[[#This Row],[Planned Start]]&lt;StatusDate,"Late Start","Not Started"))))</f>
        <v/>
      </c>
      <c r="AB114" s="51" t="str">
        <f aca="false">IF(Tasks[[#This Row],[Task Name]]="","",IF(IF(Tasks[[#This Row],[_IsSummary]],COUNTIF(INDEX(Tasks[_LeafCritical],Tasks[[#This Row],[_Row]]+1):INDEX(Tasks[_LeafCritical],Tasks[[#This Row],[_Row]]+Tasks[[#This Row],[_Descendants]]),TRUE())&gt;0,Tasks[[#This Row],[_LeafCritical]]),"Yes",""))</f>
        <v/>
      </c>
      <c r="AC11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4" s="51" t="str">
        <f aca="false">IF(Tasks[[#This Row],[Task Name]]="","",IF(Tasks[[#This Row],[_Level]]&lt;=OutlineShowLevel,"Yes","No"))</f>
        <v/>
      </c>
      <c r="AE114" s="7"/>
      <c r="AF114" s="52"/>
      <c r="AG114" s="53"/>
      <c r="AH114" s="7"/>
      <c r="AI11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4" s="31" t="str">
        <f aca="false">IF(Tasks[[#This Row],[Task Name]]="","",IF(N(Tasks[[#This Row],[Baseline Start]])&gt;0,Tasks[[#This Row],[Baseline Start]],Tasks[[#This Row],[_CalcStart]]))</f>
        <v/>
      </c>
      <c r="AK114" s="31" t="str">
        <f aca="false">IF(Tasks[[#This Row],[Task Name]]="","",IF(N(Tasks[[#This Row],[Baseline Finish]])&gt;0,Tasks[[#This Row],[Baseline Finish]],Tasks[[#This Row],[_CalcFinish]]))</f>
        <v/>
      </c>
      <c r="AL11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4" s="31" t="str">
        <f aca="false">IF(Tasks[[#This Row],[Task Name]]="","",IF(Tasks[[#This Row],[_IsSummary]],MIN(INDEX(Tasks[_LeafLateStart],Tasks[[#This Row],[_Row]]+1):INDEX(Tasks[_LeafLateStart],Tasks[[#This Row],[_Row]]+Tasks[[#This Row],[_Descendants]])),Tasks[[#This Row],[_LeafLateStart]]))</f>
        <v/>
      </c>
      <c r="AN114" s="31" t="str">
        <f aca="false">IF(Tasks[[#This Row],[Task Name]]="","",IF(Tasks[[#This Row],[_IsSummary]],MAX(INDEX(Tasks[_LeafLateFinish],Tasks[[#This Row],[_Row]]+1):INDEX(Tasks[_LeafLateFinish],Tasks[[#This Row],[_Row]]+Tasks[[#This Row],[_Descendants]])),Tasks[[#This Row],[_LeafLateFinish]]))</f>
        <v/>
      </c>
      <c r="AO114" s="51" t="str">
        <f aca="false">IF(Tasks[[#This Row],[Task Name]]="","",IF(Tasks[[#This Row],[_IsSummary]],MIN(INDEX(Tasks[_LeafTotalSlack],Tasks[[#This Row],[_Row]]+1):INDEX(Tasks[_LeafTotalSlack],Tasks[[#This Row],[_Row]]+Tasks[[#This Row],[_Descendants]])),Tasks[[#This Row],[_LeafTotalSlack]]))</f>
        <v/>
      </c>
      <c r="AP11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4" s="110" t="str">
        <f aca="false">IF(Tasks[[#This Row],[Task Name]]="","",IF(Tasks[[#This Row],[_IsSummary]],SUM(INDEX(Tasks[_LeafTotalWork],Tasks[[#This Row],[_Row]]+1):INDEX(Tasks[_LeafTotalWork],Tasks[[#This Row],[_Row]]+Tasks[[#This Row],[_Descendants]])),Tasks[[#This Row],[_LeafTotalWork]]))</f>
        <v/>
      </c>
      <c r="AV11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4" s="111" t="str">
        <f aca="false">IF(Tasks[[#This Row],[Task Name]]="","",IF(Tasks[[#This Row],[_IsSummary]],SUM(INDEX(Tasks[_LeafTotalCost],Tasks[[#This Row],[_Row]]+1):INDEX(Tasks[_LeafTotalCost],Tasks[[#This Row],[_Row]]+Tasks[[#This Row],[_Descendants]])),Tasks[[#This Row],[_LeafTotalCost]]))</f>
        <v/>
      </c>
      <c r="AY114" s="112"/>
      <c r="AZ11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4" s="52"/>
      <c r="BB114" s="98"/>
      <c r="BC114" s="51" t="str">
        <f aca="false">IF(OR(Tasks[[#This Row],[Task Name]]="",Tasks[[#This Row],[Baseline Duration]]=""),"",Tasks[[#This Row],[BL Source Duration]]-N(Tasks[[#This Row],[Baseline Duration]]))</f>
        <v/>
      </c>
      <c r="BD114" s="110" t="str">
        <f aca="false">IF(OR(Tasks[[#This Row],[Task Name]]="",Tasks[[#This Row],[Baseline Work]]=""),"",Tasks[[#This Row],[Work]]-N(Tasks[[#This Row],[Baseline Work]]))</f>
        <v/>
      </c>
      <c r="BE114" s="111" t="str">
        <f aca="false">IF(OR(Tasks[[#This Row],[Task Name]]="",Tasks[[#This Row],[Baseline Cost]]=""),"",Tasks[[#This Row],[Cost]]-N(Tasks[[#This Row],[Baseline Cost]]))</f>
        <v/>
      </c>
      <c r="BF114" s="31" t="str">
        <f aca="false">IF(Tasks[[#This Row],[Task Name]]="","",Tasks[[#This Row],[Forecast Start]])</f>
        <v/>
      </c>
      <c r="BG114" s="31" t="str">
        <f aca="false">IF(Tasks[[#This Row],[Task Name]]="","",Tasks[[#This Row],[Forecast Finish]])</f>
        <v/>
      </c>
      <c r="BH114" s="51" t="str">
        <f aca="false">IF(Tasks[[#This Row],[Task Name]]="","",IF(Tasks[[#This Row],[_IsSummary]],NETWORKDAYS.INTL(Tasks[[#This Row],[Forecast Start]],Tasks[[#This Row],[Forecast Finish]],WorkWeek,Holidays),N(Tasks[[#This Row],[Duration]])))</f>
        <v/>
      </c>
      <c r="BI114" s="110" t="str">
        <f aca="false">IF(Tasks[[#This Row],[Task Name]]="","",Tasks[[#This Row],[Work]])</f>
        <v/>
      </c>
      <c r="BJ114" s="111" t="str">
        <f aca="false">IF(Tasks[[#This Row],[Task Name]]="","",Tasks[[#This Row],[Cost]])</f>
        <v/>
      </c>
      <c r="BK114" s="7"/>
      <c r="BL114" s="7"/>
      <c r="BM114" s="52"/>
      <c r="BN114" s="113"/>
      <c r="BO114" s="112"/>
      <c r="BP114" s="111" t="str">
        <f aca="false">IF(Tasks[[#This Row],[Task Name]]="","",IF(Tasks[[#This Row],[_IsSummary]],SUM(INDEX(Tasks[_LeafEV],Tasks[[#This Row],[_Row]]+1):INDEX(Tasks[_LeafEV],Tasks[[#This Row],[_Row]]+Tasks[[#This Row],[_Descendants]])),Tasks[[#This Row],[_LeafEV]]))</f>
        <v/>
      </c>
      <c r="BQ114" s="111" t="str">
        <f aca="false">IF(Tasks[[#This Row],[Task Name]]="","",IF(Tasks[[#This Row],[_IsSummary]],SUM(INDEX(Tasks[_LeafBudget],Tasks[[#This Row],[_Row]]+1):INDEX(Tasks[_LeafBudget],Tasks[[#This Row],[_Row]]+Tasks[[#This Row],[_Descendants]])),Tasks[[#This Row],[_LeafBudget]]))</f>
        <v/>
      </c>
      <c r="BR114" s="111" t="str">
        <f aca="false">IF(Tasks[[#This Row],[Task Name]]="","",IF(Tasks[[#This Row],[_IsSummary]],SUM(INDEX(Tasks[_LeafPV],Tasks[[#This Row],[_Row]]+1):INDEX(Tasks[_LeafPV],Tasks[[#This Row],[_Row]]+Tasks[[#This Row],[_Descendants]])),Tasks[[#This Row],[_LeafPV]]))</f>
        <v/>
      </c>
      <c r="BS114" s="111" t="str">
        <f aca="false">IF(Tasks[[#This Row],[Task Name]]="","",IF(Tasks[[#This Row],[_IsSummary]],SUM(INDEX(Tasks[_LeafAC],Tasks[[#This Row],[_Row]]+1):INDEX(Tasks[_LeafAC],Tasks[[#This Row],[_Row]]+Tasks[[#This Row],[_Descendants]])),Tasks[[#This Row],[_LeafAC]]))</f>
        <v/>
      </c>
      <c r="BT114" s="38" t="str">
        <f aca="false">IF(Tasks[[#This Row],[Task Name]]="","",MAX(1,N(Tasks[[#This Row],[Level]])))</f>
        <v/>
      </c>
      <c r="BU114" s="38" t="n">
        <f aca="false">ROW()-ROW(Tasks[[#Headers],[ID]])</f>
        <v>109</v>
      </c>
      <c r="BV114" s="38" t="n">
        <f aca="false">IF(OR(Tasks[[#This Row],[Task Name]]="",Tasks[[#This Row],[_Level]]&lt;=1),0,IFERROR(LOOKUP(2,1/(Tasks[[#Headers],[_Level]]:Tasks[[#This Row],[_Level]]=Tasks[[#This Row],[_Level]]-1),ROW(Tasks[[#Headers],[_Level]]:Tasks[[#This Row],[_Level]])),0))</f>
        <v>0</v>
      </c>
      <c r="BW114" s="38" t="n">
        <f aca="false">IFERROR(N(INDEX(Tasks[_Level],Tasks[[#This Row],[_Row]]+1)),0)</f>
        <v>0</v>
      </c>
      <c r="BX114" s="114" t="b">
        <f aca="false">AND(Tasks[[#This Row],[Task Name]]&lt;&gt;"",Tasks[[#This Row],[_NextLevel]]&gt;Tasks[[#This Row],[_Level]])</f>
        <v>0</v>
      </c>
      <c r="BY114" s="38" t="n">
        <f aca="false">IF(Tasks[[#This Row],[_IsSummary]],COUNTIF(Tasks[WBS],Tasks[[#This Row],[WBS]]&amp;".*"),0)</f>
        <v>0</v>
      </c>
      <c r="BZ114" s="38" t="n">
        <f aca="false">IF(AND(Tasks[[#This Row],[Task Name]]&lt;&gt;"",NOT(Tasks[[#This Row],[_IsSummary]])),1,0)</f>
        <v>0</v>
      </c>
      <c r="CA114" s="38" t="n">
        <f aca="false">IF(N(Tasks[[#This Row],[Pred1 UID]])=0,0,IFERROR(MATCH(Tasks[[#This Row],[Pred1 UID]],Tasks[UID],0),-1))</f>
        <v>0</v>
      </c>
      <c r="CB114" s="38" t="n">
        <f aca="false">IF(N(Tasks[[#This Row],[Pred2 UID]])=0,0,IFERROR(MATCH(Tasks[[#This Row],[Pred2 UID]],Tasks[UID],0),-1))</f>
        <v>0</v>
      </c>
      <c r="CC114" s="38" t="n">
        <f aca="false">IF(N(Tasks[[#This Row],[Pred3 UID]])=0,0,IFERROR(MATCH(Tasks[[#This Row],[Pred3 UID]],Tasks[UID],0),-1))</f>
        <v>0</v>
      </c>
      <c r="CD114" s="38" t="n">
        <f aca="false">IF(N(Tasks[[#This Row],[Pred4 UID]])=0,0,IFERROR(MATCH(Tasks[[#This Row],[Pred4 UID]],Tasks[UID],0),-1))</f>
        <v>0</v>
      </c>
      <c r="CE11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4" s="115" t="n">
        <f aca="false">IF(OR(Tasks[[#This Row],[_ConstraintCode]]=2,Tasks[[#This Row],[_ConstraintCode]]=3,Tasks[[#This Row],[_ConstraintCode]]=4,Tasks[[#This Row],[_ConstraintCode]]=6),Tasks[[#This Row],[_ConstraintStart]],0)</f>
        <v>0</v>
      </c>
      <c r="CH114" s="115" t="n">
        <f aca="false">IF(OR(Tasks[[#This Row],[_ConstraintCode]]=2,Tasks[[#This Row],[_ConstraintCode]]=3,Tasks[[#This Row],[_ConstraintCode]]=5,Tasks[[#This Row],[_ConstraintCode]]=7),Tasks[[#This Row],[_ConstraintStart]],2958465)</f>
        <v>2958465</v>
      </c>
      <c r="CI11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4" s="115" t="str">
        <f aca="false">IF(NOT(Tasks[[#This Row],[_IsLeaf]]=1),"",IF(N(Tasks[[#This Row],[Duration]])&lt;=0,Tasks[[#This Row],[_LeafCalcStart]],WORKDAY.INTL(Tasks[[#This Row],[_LeafCalcStart]],Tasks[[#This Row],[Duration]]-1,WorkWeek,Holidays)))</f>
        <v/>
      </c>
      <c r="CK11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4" s="38" t="n">
        <f aca="false">IF(NOT(Tasks[[#This Row],[_IsLeaf]]=1),0,IF(N(Tasks[[#This Row],[Actual Finish]])&gt;0,1,MIN(1,N(Tasks[[#This Row],[% Complete]]))))</f>
        <v>0</v>
      </c>
      <c r="CN114" s="38" t="n">
        <f aca="false">IF(OR(NOT(Tasks[[#This Row],[_IsLeaf]]=1),Tasks[[#This Row],[Resource]]=""),0,N(Tasks[[#This Row],[Duration]])*HoursPerDay*IF(Tasks[[#This Row],[Units]]="",DefaultUnits,Tasks[[#This Row],[Units]]))</f>
        <v>0</v>
      </c>
      <c r="CO114" s="38" t="n">
        <f aca="false">IF(Tasks[[#This Row],[_LeafWork]]=0,0,Tasks[[#This Row],[_LeafWork]]*IFERROR(INDEX(res_Rate,MATCH(Tasks[[#This Row],[Resource]],res_Name,0)),0))</f>
        <v>0</v>
      </c>
      <c r="CP114" s="38" t="n">
        <f aca="false">Tasks[[#This Row],[_LeafWork]]+IF(Tasks[[#This Row],[_IsLeaf]]=1,SUMIFS(asg_Work,asg_TaskUID,Tasks[[#This Row],[UID]],asg_Valid,1),0)</f>
        <v>0</v>
      </c>
      <c r="CQ114" s="38" t="n">
        <f aca="false">Tasks[[#This Row],[_LeafCost]]+IF(Tasks[[#This Row],[_IsLeaf]]=1,SUMIFS(asg_Cost,asg_TaskUID,Tasks[[#This Row],[UID]],asg_Valid,1),0)</f>
        <v>0</v>
      </c>
      <c r="CR114" s="38" t="n">
        <f aca="false">IF(Tasks[[#This Row],[_LeafTotalCost]]=0,Tasks[[#This Row],[_LeafAC]],Tasks[[#This Row],[_LeafAC]]*Tasks[[#This Row],[_LeafCost]]/Tasks[[#This Row],[_LeafTotalCost]])</f>
        <v>0</v>
      </c>
      <c r="CS11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4" s="38" t="n">
        <f aca="false">IF(NOT(Tasks[[#This Row],[_IsLeaf]]=1),0,MAX(_xlfn.MAXIFS(Tasks[_Row],Tasks[Pred1 UID],Tasks[[#This Row],[UID]]),_xlfn.MAXIFS(Tasks[_Row],Tasks[Pred2 UID],Tasks[[#This Row],[UID]]),_xlfn.MAXIFS(Tasks[_Row],Tasks[Pred3 UID],Tasks[[#This Row],[UID]]),_xlfn.MAXIFS(Tasks[_Row],Tasks[Pred4 UID],Tasks[[#This Row],[UID]])))</f>
        <v>0</v>
      </c>
      <c r="DB11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4" s="115" t="str">
        <f aca="false">IF(NOT(Tasks[[#This Row],[_IsLeaf]]=1),"",IF(N(Tasks[[#This Row],[Duration]])&lt;=0,Tasks[[#This Row],[_LeafLateFinish]],WORKDAY.INTL(Tasks[[#This Row],[_LeafLateFinish]],-(Tasks[[#This Row],[Duration]]-1),WorkWeek,Holidays)))</f>
        <v/>
      </c>
      <c r="DE11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4" s="114" t="b">
        <f aca="false">AND(Tasks[[#This Row],[_IsLeaf]]=1,Tasks[[#This Row],[_LeafProgress]]&lt;1,N(Tasks[[#This Row],[_LeafTotalSlack]])&lt;=CriticalSlackDays)</f>
        <v>0</v>
      </c>
      <c r="DG114" s="38" t="n">
        <f aca="false">IF(AND(Tasks[[#This Row],[_IsLeaf]]=1,Tasks[[#This Row],[_ConstraintCode]]=1,Tasks[[#This Row],[Mode]]&lt;&gt;"Manual",N(Tasks[[#This Row],[Actual Start]])=0),MAX(0,N(Tasks[[#This Row],[Free Slack]])),0)</f>
        <v>0</v>
      </c>
      <c r="DH114" s="115" t="str">
        <f aca="false">IF(NOT(Tasks[[#This Row],[_IsLeaf]]=1),"",IF(Tasks[[#This Row],[_AlapShift]]=0,Tasks[[#This Row],[_LeafCalcStart]],WORKDAY.INTL(Tasks[[#This Row],[_LeafCalcStart]],Tasks[[#This Row],[_AlapShift]],WorkWeek,Holidays)))</f>
        <v/>
      </c>
      <c r="DI114" s="115" t="str">
        <f aca="false">IF(NOT(Tasks[[#This Row],[_IsLeaf]]=1),"",IF(Tasks[[#This Row],[_AlapShift]]=0,Tasks[[#This Row],[_LeafCalcFinish]],WORKDAY.INTL(Tasks[[#This Row],[_LeafCalcFinish]],Tasks[[#This Row],[_AlapShift]],WorkWeek,Holidays)))</f>
        <v/>
      </c>
      <c r="DJ114" s="115" t="str">
        <f aca="false">IF(NOT(Tasks[[#This Row],[_IsLeaf]]=1),"",IF(Tasks[[#This Row],[_AlapShift]]=0,Tasks[[#This Row],[_LeafFcstStart]],WORKDAY.INTL(Tasks[[#This Row],[_LeafFcstStart]],Tasks[[#This Row],[_AlapShift]],WorkWeek,Holidays)))</f>
        <v/>
      </c>
      <c r="DK114" s="115" t="str">
        <f aca="false">IF(NOT(Tasks[[#This Row],[_IsLeaf]]=1),"",IF(Tasks[[#This Row],[_AlapShift]]=0,Tasks[[#This Row],[_LeafFcstFinish]],WORKDAY.INTL(Tasks[[#This Row],[_LeafFcstFinish]],Tasks[[#This Row],[_AlapShift]],WorkWeek,Holidays)))</f>
        <v/>
      </c>
      <c r="DL114" s="115" t="str">
        <f aca="false">IF(Tasks[[#This Row],[Task Name]]="","",IF(Tasks[[#This Row],[_IsSummary]],MIN(INDEX(Tasks[_ShownCalcStart],Tasks[[#This Row],[_Row]]+1):INDEX(Tasks[_ShownCalcStart],Tasks[[#This Row],[_Row]]+Tasks[[#This Row],[_Descendants]])),Tasks[[#This Row],[_ShownCalcStart]]))</f>
        <v/>
      </c>
      <c r="DM114" s="115" t="str">
        <f aca="false">IF(Tasks[[#This Row],[Task Name]]="","",IF(Tasks[[#This Row],[_IsSummary]],MAX(INDEX(Tasks[_ShownCalcFinish],Tasks[[#This Row],[_Row]]+1):INDEX(Tasks[_ShownCalcFinish],Tasks[[#This Row],[_Row]]+Tasks[[#This Row],[_Descendants]])),Tasks[[#This Row],[_ShownCalcFinish]]))</f>
        <v/>
      </c>
      <c r="DN11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4" s="38" t="n">
        <f aca="false">IF(AND(Tasks[[#This Row],[_IsLeaf]]=1,Tasks[[#This Row],[_LeafTotalWork]]&gt;0),NETWORKDAYS.INTL(ProjectStart,Tasks[[#This Row],[_ShownFcstStart]],WorkWeek,Holidays),0)</f>
        <v>0</v>
      </c>
      <c r="EA114" s="38" t="n">
        <f aca="false">IF(AND(Tasks[[#This Row],[_IsLeaf]]=1,Tasks[[#This Row],[_LeafTotalWork]]&gt;0),MAX(Tasks[[#This Row],[_StartWorkday]],NETWORKDAYS.INTL(ProjectStart,Tasks[[#This Row],[_ShownFcstFinish]],WorkWeek,Holidays)),0)</f>
        <v>0</v>
      </c>
      <c r="EB114" s="38" t="n">
        <f aca="false">IF(AND(Tasks[[#This Row],[_IsLeaf]]=1,Tasks[[#This Row],[_LeafTotalWork]]&gt;0),Tasks[[#This Row],[_LeafWork]]/(Tasks[[#This Row],[_FinishWorkday]]-Tasks[[#This Row],[_StartWorkday]]+1),0)</f>
        <v>0</v>
      </c>
      <c r="EC114" s="38" t="n">
        <f aca="false">Tasks[[#This Row],[_WorkPerWorkday]]*(Tasks[[#This Row],[_StartWorkday]]-1)</f>
        <v>-0</v>
      </c>
      <c r="ED114" s="38" t="n">
        <f aca="false">IF(Tasks[[#This Row],[_IsLeaf]]=1,MAX(N(Tasks[[#This Row],[Duration]]),0.1),0)</f>
        <v>0</v>
      </c>
      <c r="EE114" s="38" t="n">
        <f aca="false">Tasks[[#This Row],[_WeightDur]]*Tasks[[#This Row],[_LeafProgress]]</f>
        <v>0</v>
      </c>
      <c r="EF11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4" s="38" t="str">
        <f aca="false">IF(AND(Tasks[[#This Row],[_IsLeaf]]=1,N(Tasks[[#This Row],[Duration]])=0,Tasks[[#This Row],[_LeafProgress]]&lt;1),Tasks[[#This Row],[_ShownFcstFinish]]+Tasks[[#This Row],[_Row]]/100000,"")</f>
        <v/>
      </c>
      <c r="EH11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4" s="38" t="n">
        <f aca="false">IF(NOT(Tasks[[#This Row],[_IsLeaf]]=1),0,IF(Tasks[[#This Row],[Baseline Cost]]="",Tasks[[#This Row],[_LeafTotalCost]],N(Tasks[[#This Row],[Baseline Cost]])))</f>
        <v>0</v>
      </c>
      <c r="EJ114" s="38" t="n">
        <f aca="false">Tasks[[#This Row],[_LeafBudget]]*Tasks[[#This Row],[_PlannedPct]]</f>
        <v>0</v>
      </c>
      <c r="EK114" s="38" t="n">
        <f aca="false">Tasks[[#This Row],[_LeafBudget]]*Tasks[[#This Row],[_LeafProgress]]</f>
        <v>0</v>
      </c>
      <c r="EL114" s="38" t="n">
        <f aca="false">IF(NOT(Tasks[[#This Row],[_IsLeaf]]=1),0,IF(Tasks[[#This Row],[Actual Cost]]="",Tasks[[#This Row],[_LeafTotalCost]]*Tasks[[#This Row],[_LeafProgress]],N(Tasks[[#This Row],[Actual Cost]])))</f>
        <v>0</v>
      </c>
      <c r="EM114" s="38" t="str">
        <f aca="false">IF(Tasks[[#This Row],[Task Name]]="","",LEFT(Tasks[[#This Row],[WBS]],FIND(".",Tasks[[#This Row],[WBS]]&amp;".")-1))</f>
        <v/>
      </c>
      <c r="EN114" s="38" t="str">
        <f aca="false">IF(AND(Tasks[[#This Row],[Task Name]]&lt;&gt;"",Tasks[[#This Row],[_Level]]=1),Tasks[[#This Row],[_Row]],"")</f>
        <v/>
      </c>
      <c r="EO114" s="38" t="str">
        <f aca="false">IF(AND(Tasks[[#This Row],[_IsLeaf]]=1,N(Tasks[[#This Row],[Duration]])=0),Tasks[[#This Row],[Planned Finish]]+Tasks[[#This Row],[_Row]]/100000,"")</f>
        <v/>
      </c>
      <c r="EP114" s="38" t="str">
        <f aca="false">IF(AND(Tasks[[#This Row],[_IsLeaf]]=1,Tasks[[#This Row],[_LeafProgress]]&lt;1,OR(N(Tasks[[#This Row],[Finish Var]])&gt;0,Tasks[[#This Row],[Status]]="Late Start")),MAX(0,Tasks[[#This Row],[Finish Var]])+1-Tasks[[#This Row],[_Row]]/1000000,"")</f>
        <v/>
      </c>
      <c r="EQ114" s="38" t="str">
        <f aca="false">IF(AND(Tasks[[#This Row],[_IsLeaf]]=1,N(Tasks[[#This Row],[Actual Start]])=0,Tasks[[#This Row],[_ShownFcstStart]]&gt;=StatusDate,Tasks[[#This Row],[_ShownFcstStart]]&lt;=LookaheadEnd),Tasks[[#This Row],[_ShownFcstStart]]+Tasks[[#This Row],[_Row]]/100000,"")</f>
        <v/>
      </c>
      <c r="ER114" s="38" t="str">
        <f aca="false">IF(AND(Tasks[[#This Row],[_IsLeaf]]=1,Tasks[[#This Row],[_LeafProgress]]&lt;1,Tasks[[#This Row],[_ShownFcstFinish]]&gt;=StatusDate,Tasks[[#This Row],[_ShownFcstFinish]]&lt;=LookaheadEnd),Tasks[[#This Row],[_ShownFcstFinish]]+Tasks[[#This Row],[_Row]]/100000,"")</f>
        <v/>
      </c>
      <c r="ES114" s="38" t="str">
        <f aca="false">IF(Tasks[[#This Row],[_LeafCritical]],Tasks[[#This Row],[_ShownFcstStart]]+Tasks[[#This Row],[_Row]]/100000,"")</f>
        <v/>
      </c>
      <c r="ET114" s="38" t="n">
        <f aca="false">Tasks[[#This Row],[_LeafWork]]*Tasks[[#This Row],[_LeafProgress]]</f>
        <v>0</v>
      </c>
      <c r="EU114" s="115" t="str">
        <f aca="false">IF(AND(Tasks[[#This Row],[_IsLeaf]]=1,Tasks[[#This Row],[_LeafProgress]]&gt;=1),IF(N(Tasks[[#This Row],[Actual Finish]])&gt;0,Tasks[[#This Row],[Actual Finish]],Tasks[[#This Row],[_ShownFcstFinish]]),"")</f>
        <v/>
      </c>
      <c r="EV114" s="38" t="n">
        <f aca="false">IF(Tasks[[#This Row],[_IsLeaf]]=1,N(Tasks[[#This Row],[Story Points]]),0)</f>
        <v>0</v>
      </c>
      <c r="EW114" s="38" t="str">
        <f aca="false">IF(AND(Tasks[[#This Row],[_IsLeaf]]=1,CurrentSprint&lt;&gt;"",Tasks[[#This Row],[Sprint]]=CurrentSprint),Tasks[[#This Row],[_Row]],"")</f>
        <v/>
      </c>
    </row>
    <row r="115" customFormat="false" ht="15" hidden="false" customHeight="false" outlineLevel="0" collapsed="false">
      <c r="A115" s="51" t="str">
        <f aca="false">IF(Tasks[[#This Row],[Task Name]]="","",COUNTA(Tasks[[#Headers],[Task Name]]:Tasks[[#This Row],[Task Name]])-1)</f>
        <v/>
      </c>
      <c r="B115" s="52" t="n">
        <v>110</v>
      </c>
      <c r="C11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52"/>
      <c r="E115" s="53"/>
      <c r="F115" s="52"/>
      <c r="G115" s="52"/>
      <c r="H115" s="52"/>
      <c r="I115" s="52"/>
      <c r="J115" s="52"/>
      <c r="K115" s="52"/>
      <c r="L115" s="52"/>
      <c r="M115" s="52"/>
      <c r="N115" s="52"/>
      <c r="O115" s="52"/>
      <c r="P115" s="52"/>
      <c r="Q115" s="52"/>
      <c r="R115" s="52"/>
      <c r="S115" s="53"/>
      <c r="T115" s="102"/>
      <c r="U115" s="102"/>
      <c r="V115" s="7"/>
      <c r="W115" s="7"/>
      <c r="X115" s="53"/>
      <c r="Y115" s="31" t="str">
        <f aca="false">IF(Tasks[[#This Row],[Task Name]]="","",IF(Tasks[[#This Row],[_IsSummary]],MIN(INDEX(Tasks[_ShownFcstStart],Tasks[[#This Row],[_Row]]+1):INDEX(Tasks[_ShownFcstStart],Tasks[[#This Row],[_Row]]+Tasks[[#This Row],[_Descendants]])),Tasks[[#This Row],[_ShownFcstStart]]))</f>
        <v/>
      </c>
      <c r="Z115" s="31" t="str">
        <f aca="false">IF(Tasks[[#This Row],[Task Name]]="","",IF(Tasks[[#This Row],[_IsSummary]],MAX(INDEX(Tasks[_ShownFcstFinish],Tasks[[#This Row],[_Row]]+1):INDEX(Tasks[_ShownFcstFinish],Tasks[[#This Row],[_Row]]+Tasks[[#This Row],[_Descendants]])),Tasks[[#This Row],[_ShownFcstFinish]]))</f>
        <v/>
      </c>
      <c r="AA115" s="51" t="str">
        <f aca="false">IF(Tasks[[#This Row],[Task Name]]="","",IF(Tasks[[#This Row],[Progress]]&gt;=1,"Complete",IF(OR(N(Tasks[[#This Row],[Actual Start]])&gt;0,Tasks[[#This Row],[Progress]]&gt;0),IF(Tasks[[#This Row],[Finish Var]]&gt;0,"Behind","In Progress"),IF(Tasks[[#This Row],[Planned Start]]&lt;StatusDate,"Late Start","Not Started"))))</f>
        <v/>
      </c>
      <c r="AB115" s="51" t="str">
        <f aca="false">IF(Tasks[[#This Row],[Task Name]]="","",IF(IF(Tasks[[#This Row],[_IsSummary]],COUNTIF(INDEX(Tasks[_LeafCritical],Tasks[[#This Row],[_Row]]+1):INDEX(Tasks[_LeafCritical],Tasks[[#This Row],[_Row]]+Tasks[[#This Row],[_Descendants]]),TRUE())&gt;0,Tasks[[#This Row],[_LeafCritical]]),"Yes",""))</f>
        <v/>
      </c>
      <c r="AC11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5" s="51" t="str">
        <f aca="false">IF(Tasks[[#This Row],[Task Name]]="","",IF(Tasks[[#This Row],[_Level]]&lt;=OutlineShowLevel,"Yes","No"))</f>
        <v/>
      </c>
      <c r="AE115" s="7"/>
      <c r="AF115" s="52"/>
      <c r="AG115" s="53"/>
      <c r="AH115" s="7"/>
      <c r="AI11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5" s="31" t="str">
        <f aca="false">IF(Tasks[[#This Row],[Task Name]]="","",IF(N(Tasks[[#This Row],[Baseline Start]])&gt;0,Tasks[[#This Row],[Baseline Start]],Tasks[[#This Row],[_CalcStart]]))</f>
        <v/>
      </c>
      <c r="AK115" s="31" t="str">
        <f aca="false">IF(Tasks[[#This Row],[Task Name]]="","",IF(N(Tasks[[#This Row],[Baseline Finish]])&gt;0,Tasks[[#This Row],[Baseline Finish]],Tasks[[#This Row],[_CalcFinish]]))</f>
        <v/>
      </c>
      <c r="AL11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5" s="31" t="str">
        <f aca="false">IF(Tasks[[#This Row],[Task Name]]="","",IF(Tasks[[#This Row],[_IsSummary]],MIN(INDEX(Tasks[_LeafLateStart],Tasks[[#This Row],[_Row]]+1):INDEX(Tasks[_LeafLateStart],Tasks[[#This Row],[_Row]]+Tasks[[#This Row],[_Descendants]])),Tasks[[#This Row],[_LeafLateStart]]))</f>
        <v/>
      </c>
      <c r="AN115" s="31" t="str">
        <f aca="false">IF(Tasks[[#This Row],[Task Name]]="","",IF(Tasks[[#This Row],[_IsSummary]],MAX(INDEX(Tasks[_LeafLateFinish],Tasks[[#This Row],[_Row]]+1):INDEX(Tasks[_LeafLateFinish],Tasks[[#This Row],[_Row]]+Tasks[[#This Row],[_Descendants]])),Tasks[[#This Row],[_LeafLateFinish]]))</f>
        <v/>
      </c>
      <c r="AO115" s="51" t="str">
        <f aca="false">IF(Tasks[[#This Row],[Task Name]]="","",IF(Tasks[[#This Row],[_IsSummary]],MIN(INDEX(Tasks[_LeafTotalSlack],Tasks[[#This Row],[_Row]]+1):INDEX(Tasks[_LeafTotalSlack],Tasks[[#This Row],[_Row]]+Tasks[[#This Row],[_Descendants]])),Tasks[[#This Row],[_LeafTotalSlack]]))</f>
        <v/>
      </c>
      <c r="AP11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5" s="110" t="str">
        <f aca="false">IF(Tasks[[#This Row],[Task Name]]="","",IF(Tasks[[#This Row],[_IsSummary]],SUM(INDEX(Tasks[_LeafTotalWork],Tasks[[#This Row],[_Row]]+1):INDEX(Tasks[_LeafTotalWork],Tasks[[#This Row],[_Row]]+Tasks[[#This Row],[_Descendants]])),Tasks[[#This Row],[_LeafTotalWork]]))</f>
        <v/>
      </c>
      <c r="AV11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5" s="111" t="str">
        <f aca="false">IF(Tasks[[#This Row],[Task Name]]="","",IF(Tasks[[#This Row],[_IsSummary]],SUM(INDEX(Tasks[_LeafTotalCost],Tasks[[#This Row],[_Row]]+1):INDEX(Tasks[_LeafTotalCost],Tasks[[#This Row],[_Row]]+Tasks[[#This Row],[_Descendants]])),Tasks[[#This Row],[_LeafTotalCost]]))</f>
        <v/>
      </c>
      <c r="AY115" s="112"/>
      <c r="AZ11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5" s="52"/>
      <c r="BB115" s="98"/>
      <c r="BC115" s="51" t="str">
        <f aca="false">IF(OR(Tasks[[#This Row],[Task Name]]="",Tasks[[#This Row],[Baseline Duration]]=""),"",Tasks[[#This Row],[BL Source Duration]]-N(Tasks[[#This Row],[Baseline Duration]]))</f>
        <v/>
      </c>
      <c r="BD115" s="110" t="str">
        <f aca="false">IF(OR(Tasks[[#This Row],[Task Name]]="",Tasks[[#This Row],[Baseline Work]]=""),"",Tasks[[#This Row],[Work]]-N(Tasks[[#This Row],[Baseline Work]]))</f>
        <v/>
      </c>
      <c r="BE115" s="111" t="str">
        <f aca="false">IF(OR(Tasks[[#This Row],[Task Name]]="",Tasks[[#This Row],[Baseline Cost]]=""),"",Tasks[[#This Row],[Cost]]-N(Tasks[[#This Row],[Baseline Cost]]))</f>
        <v/>
      </c>
      <c r="BF115" s="31" t="str">
        <f aca="false">IF(Tasks[[#This Row],[Task Name]]="","",Tasks[[#This Row],[Forecast Start]])</f>
        <v/>
      </c>
      <c r="BG115" s="31" t="str">
        <f aca="false">IF(Tasks[[#This Row],[Task Name]]="","",Tasks[[#This Row],[Forecast Finish]])</f>
        <v/>
      </c>
      <c r="BH115" s="51" t="str">
        <f aca="false">IF(Tasks[[#This Row],[Task Name]]="","",IF(Tasks[[#This Row],[_IsSummary]],NETWORKDAYS.INTL(Tasks[[#This Row],[Forecast Start]],Tasks[[#This Row],[Forecast Finish]],WorkWeek,Holidays),N(Tasks[[#This Row],[Duration]])))</f>
        <v/>
      </c>
      <c r="BI115" s="110" t="str">
        <f aca="false">IF(Tasks[[#This Row],[Task Name]]="","",Tasks[[#This Row],[Work]])</f>
        <v/>
      </c>
      <c r="BJ115" s="111" t="str">
        <f aca="false">IF(Tasks[[#This Row],[Task Name]]="","",Tasks[[#This Row],[Cost]])</f>
        <v/>
      </c>
      <c r="BK115" s="7"/>
      <c r="BL115" s="7"/>
      <c r="BM115" s="52"/>
      <c r="BN115" s="113"/>
      <c r="BO115" s="112"/>
      <c r="BP115" s="111" t="str">
        <f aca="false">IF(Tasks[[#This Row],[Task Name]]="","",IF(Tasks[[#This Row],[_IsSummary]],SUM(INDEX(Tasks[_LeafEV],Tasks[[#This Row],[_Row]]+1):INDEX(Tasks[_LeafEV],Tasks[[#This Row],[_Row]]+Tasks[[#This Row],[_Descendants]])),Tasks[[#This Row],[_LeafEV]]))</f>
        <v/>
      </c>
      <c r="BQ115" s="111" t="str">
        <f aca="false">IF(Tasks[[#This Row],[Task Name]]="","",IF(Tasks[[#This Row],[_IsSummary]],SUM(INDEX(Tasks[_LeafBudget],Tasks[[#This Row],[_Row]]+1):INDEX(Tasks[_LeafBudget],Tasks[[#This Row],[_Row]]+Tasks[[#This Row],[_Descendants]])),Tasks[[#This Row],[_LeafBudget]]))</f>
        <v/>
      </c>
      <c r="BR115" s="111" t="str">
        <f aca="false">IF(Tasks[[#This Row],[Task Name]]="","",IF(Tasks[[#This Row],[_IsSummary]],SUM(INDEX(Tasks[_LeafPV],Tasks[[#This Row],[_Row]]+1):INDEX(Tasks[_LeafPV],Tasks[[#This Row],[_Row]]+Tasks[[#This Row],[_Descendants]])),Tasks[[#This Row],[_LeafPV]]))</f>
        <v/>
      </c>
      <c r="BS115" s="111" t="str">
        <f aca="false">IF(Tasks[[#This Row],[Task Name]]="","",IF(Tasks[[#This Row],[_IsSummary]],SUM(INDEX(Tasks[_LeafAC],Tasks[[#This Row],[_Row]]+1):INDEX(Tasks[_LeafAC],Tasks[[#This Row],[_Row]]+Tasks[[#This Row],[_Descendants]])),Tasks[[#This Row],[_LeafAC]]))</f>
        <v/>
      </c>
      <c r="BT115" s="38" t="str">
        <f aca="false">IF(Tasks[[#This Row],[Task Name]]="","",MAX(1,N(Tasks[[#This Row],[Level]])))</f>
        <v/>
      </c>
      <c r="BU115" s="38" t="n">
        <f aca="false">ROW()-ROW(Tasks[[#Headers],[ID]])</f>
        <v>110</v>
      </c>
      <c r="BV115" s="38" t="n">
        <f aca="false">IF(OR(Tasks[[#This Row],[Task Name]]="",Tasks[[#This Row],[_Level]]&lt;=1),0,IFERROR(LOOKUP(2,1/(Tasks[[#Headers],[_Level]]:Tasks[[#This Row],[_Level]]=Tasks[[#This Row],[_Level]]-1),ROW(Tasks[[#Headers],[_Level]]:Tasks[[#This Row],[_Level]])),0))</f>
        <v>0</v>
      </c>
      <c r="BW115" s="38" t="n">
        <f aca="false">IFERROR(N(INDEX(Tasks[_Level],Tasks[[#This Row],[_Row]]+1)),0)</f>
        <v>0</v>
      </c>
      <c r="BX115" s="114" t="b">
        <f aca="false">AND(Tasks[[#This Row],[Task Name]]&lt;&gt;"",Tasks[[#This Row],[_NextLevel]]&gt;Tasks[[#This Row],[_Level]])</f>
        <v>0</v>
      </c>
      <c r="BY115" s="38" t="n">
        <f aca="false">IF(Tasks[[#This Row],[_IsSummary]],COUNTIF(Tasks[WBS],Tasks[[#This Row],[WBS]]&amp;".*"),0)</f>
        <v>0</v>
      </c>
      <c r="BZ115" s="38" t="n">
        <f aca="false">IF(AND(Tasks[[#This Row],[Task Name]]&lt;&gt;"",NOT(Tasks[[#This Row],[_IsSummary]])),1,0)</f>
        <v>0</v>
      </c>
      <c r="CA115" s="38" t="n">
        <f aca="false">IF(N(Tasks[[#This Row],[Pred1 UID]])=0,0,IFERROR(MATCH(Tasks[[#This Row],[Pred1 UID]],Tasks[UID],0),-1))</f>
        <v>0</v>
      </c>
      <c r="CB115" s="38" t="n">
        <f aca="false">IF(N(Tasks[[#This Row],[Pred2 UID]])=0,0,IFERROR(MATCH(Tasks[[#This Row],[Pred2 UID]],Tasks[UID],0),-1))</f>
        <v>0</v>
      </c>
      <c r="CC115" s="38" t="n">
        <f aca="false">IF(N(Tasks[[#This Row],[Pred3 UID]])=0,0,IFERROR(MATCH(Tasks[[#This Row],[Pred3 UID]],Tasks[UID],0),-1))</f>
        <v>0</v>
      </c>
      <c r="CD115" s="38" t="n">
        <f aca="false">IF(N(Tasks[[#This Row],[Pred4 UID]])=0,0,IFERROR(MATCH(Tasks[[#This Row],[Pred4 UID]],Tasks[UID],0),-1))</f>
        <v>0</v>
      </c>
      <c r="CE11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5" s="115" t="n">
        <f aca="false">IF(OR(Tasks[[#This Row],[_ConstraintCode]]=2,Tasks[[#This Row],[_ConstraintCode]]=3,Tasks[[#This Row],[_ConstraintCode]]=4,Tasks[[#This Row],[_ConstraintCode]]=6),Tasks[[#This Row],[_ConstraintStart]],0)</f>
        <v>0</v>
      </c>
      <c r="CH115" s="115" t="n">
        <f aca="false">IF(OR(Tasks[[#This Row],[_ConstraintCode]]=2,Tasks[[#This Row],[_ConstraintCode]]=3,Tasks[[#This Row],[_ConstraintCode]]=5,Tasks[[#This Row],[_ConstraintCode]]=7),Tasks[[#This Row],[_ConstraintStart]],2958465)</f>
        <v>2958465</v>
      </c>
      <c r="CI11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5" s="115" t="str">
        <f aca="false">IF(NOT(Tasks[[#This Row],[_IsLeaf]]=1),"",IF(N(Tasks[[#This Row],[Duration]])&lt;=0,Tasks[[#This Row],[_LeafCalcStart]],WORKDAY.INTL(Tasks[[#This Row],[_LeafCalcStart]],Tasks[[#This Row],[Duration]]-1,WorkWeek,Holidays)))</f>
        <v/>
      </c>
      <c r="CK11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5" s="38" t="n">
        <f aca="false">IF(NOT(Tasks[[#This Row],[_IsLeaf]]=1),0,IF(N(Tasks[[#This Row],[Actual Finish]])&gt;0,1,MIN(1,N(Tasks[[#This Row],[% Complete]]))))</f>
        <v>0</v>
      </c>
      <c r="CN115" s="38" t="n">
        <f aca="false">IF(OR(NOT(Tasks[[#This Row],[_IsLeaf]]=1),Tasks[[#This Row],[Resource]]=""),0,N(Tasks[[#This Row],[Duration]])*HoursPerDay*IF(Tasks[[#This Row],[Units]]="",DefaultUnits,Tasks[[#This Row],[Units]]))</f>
        <v>0</v>
      </c>
      <c r="CO115" s="38" t="n">
        <f aca="false">IF(Tasks[[#This Row],[_LeafWork]]=0,0,Tasks[[#This Row],[_LeafWork]]*IFERROR(INDEX(res_Rate,MATCH(Tasks[[#This Row],[Resource]],res_Name,0)),0))</f>
        <v>0</v>
      </c>
      <c r="CP115" s="38" t="n">
        <f aca="false">Tasks[[#This Row],[_LeafWork]]+IF(Tasks[[#This Row],[_IsLeaf]]=1,SUMIFS(asg_Work,asg_TaskUID,Tasks[[#This Row],[UID]],asg_Valid,1),0)</f>
        <v>0</v>
      </c>
      <c r="CQ115" s="38" t="n">
        <f aca="false">Tasks[[#This Row],[_LeafCost]]+IF(Tasks[[#This Row],[_IsLeaf]]=1,SUMIFS(asg_Cost,asg_TaskUID,Tasks[[#This Row],[UID]],asg_Valid,1),0)</f>
        <v>0</v>
      </c>
      <c r="CR115" s="38" t="n">
        <f aca="false">IF(Tasks[[#This Row],[_LeafTotalCost]]=0,Tasks[[#This Row],[_LeafAC]],Tasks[[#This Row],[_LeafAC]]*Tasks[[#This Row],[_LeafCost]]/Tasks[[#This Row],[_LeafTotalCost]])</f>
        <v>0</v>
      </c>
      <c r="CS11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5" s="38" t="n">
        <f aca="false">IF(NOT(Tasks[[#This Row],[_IsLeaf]]=1),0,MAX(_xlfn.MAXIFS(Tasks[_Row],Tasks[Pred1 UID],Tasks[[#This Row],[UID]]),_xlfn.MAXIFS(Tasks[_Row],Tasks[Pred2 UID],Tasks[[#This Row],[UID]]),_xlfn.MAXIFS(Tasks[_Row],Tasks[Pred3 UID],Tasks[[#This Row],[UID]]),_xlfn.MAXIFS(Tasks[_Row],Tasks[Pred4 UID],Tasks[[#This Row],[UID]])))</f>
        <v>0</v>
      </c>
      <c r="DB11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5" s="115" t="str">
        <f aca="false">IF(NOT(Tasks[[#This Row],[_IsLeaf]]=1),"",IF(N(Tasks[[#This Row],[Duration]])&lt;=0,Tasks[[#This Row],[_LeafLateFinish]],WORKDAY.INTL(Tasks[[#This Row],[_LeafLateFinish]],-(Tasks[[#This Row],[Duration]]-1),WorkWeek,Holidays)))</f>
        <v/>
      </c>
      <c r="DE11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5" s="114" t="b">
        <f aca="false">AND(Tasks[[#This Row],[_IsLeaf]]=1,Tasks[[#This Row],[_LeafProgress]]&lt;1,N(Tasks[[#This Row],[_LeafTotalSlack]])&lt;=CriticalSlackDays)</f>
        <v>0</v>
      </c>
      <c r="DG115" s="38" t="n">
        <f aca="false">IF(AND(Tasks[[#This Row],[_IsLeaf]]=1,Tasks[[#This Row],[_ConstraintCode]]=1,Tasks[[#This Row],[Mode]]&lt;&gt;"Manual",N(Tasks[[#This Row],[Actual Start]])=0),MAX(0,N(Tasks[[#This Row],[Free Slack]])),0)</f>
        <v>0</v>
      </c>
      <c r="DH115" s="115" t="str">
        <f aca="false">IF(NOT(Tasks[[#This Row],[_IsLeaf]]=1),"",IF(Tasks[[#This Row],[_AlapShift]]=0,Tasks[[#This Row],[_LeafCalcStart]],WORKDAY.INTL(Tasks[[#This Row],[_LeafCalcStart]],Tasks[[#This Row],[_AlapShift]],WorkWeek,Holidays)))</f>
        <v/>
      </c>
      <c r="DI115" s="115" t="str">
        <f aca="false">IF(NOT(Tasks[[#This Row],[_IsLeaf]]=1),"",IF(Tasks[[#This Row],[_AlapShift]]=0,Tasks[[#This Row],[_LeafCalcFinish]],WORKDAY.INTL(Tasks[[#This Row],[_LeafCalcFinish]],Tasks[[#This Row],[_AlapShift]],WorkWeek,Holidays)))</f>
        <v/>
      </c>
      <c r="DJ115" s="115" t="str">
        <f aca="false">IF(NOT(Tasks[[#This Row],[_IsLeaf]]=1),"",IF(Tasks[[#This Row],[_AlapShift]]=0,Tasks[[#This Row],[_LeafFcstStart]],WORKDAY.INTL(Tasks[[#This Row],[_LeafFcstStart]],Tasks[[#This Row],[_AlapShift]],WorkWeek,Holidays)))</f>
        <v/>
      </c>
      <c r="DK115" s="115" t="str">
        <f aca="false">IF(NOT(Tasks[[#This Row],[_IsLeaf]]=1),"",IF(Tasks[[#This Row],[_AlapShift]]=0,Tasks[[#This Row],[_LeafFcstFinish]],WORKDAY.INTL(Tasks[[#This Row],[_LeafFcstFinish]],Tasks[[#This Row],[_AlapShift]],WorkWeek,Holidays)))</f>
        <v/>
      </c>
      <c r="DL115" s="115" t="str">
        <f aca="false">IF(Tasks[[#This Row],[Task Name]]="","",IF(Tasks[[#This Row],[_IsSummary]],MIN(INDEX(Tasks[_ShownCalcStart],Tasks[[#This Row],[_Row]]+1):INDEX(Tasks[_ShownCalcStart],Tasks[[#This Row],[_Row]]+Tasks[[#This Row],[_Descendants]])),Tasks[[#This Row],[_ShownCalcStart]]))</f>
        <v/>
      </c>
      <c r="DM115" s="115" t="str">
        <f aca="false">IF(Tasks[[#This Row],[Task Name]]="","",IF(Tasks[[#This Row],[_IsSummary]],MAX(INDEX(Tasks[_ShownCalcFinish],Tasks[[#This Row],[_Row]]+1):INDEX(Tasks[_ShownCalcFinish],Tasks[[#This Row],[_Row]]+Tasks[[#This Row],[_Descendants]])),Tasks[[#This Row],[_ShownCalcFinish]]))</f>
        <v/>
      </c>
      <c r="DN11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5" s="38" t="n">
        <f aca="false">IF(AND(Tasks[[#This Row],[_IsLeaf]]=1,Tasks[[#This Row],[_LeafTotalWork]]&gt;0),NETWORKDAYS.INTL(ProjectStart,Tasks[[#This Row],[_ShownFcstStart]],WorkWeek,Holidays),0)</f>
        <v>0</v>
      </c>
      <c r="EA115" s="38" t="n">
        <f aca="false">IF(AND(Tasks[[#This Row],[_IsLeaf]]=1,Tasks[[#This Row],[_LeafTotalWork]]&gt;0),MAX(Tasks[[#This Row],[_StartWorkday]],NETWORKDAYS.INTL(ProjectStart,Tasks[[#This Row],[_ShownFcstFinish]],WorkWeek,Holidays)),0)</f>
        <v>0</v>
      </c>
      <c r="EB115" s="38" t="n">
        <f aca="false">IF(AND(Tasks[[#This Row],[_IsLeaf]]=1,Tasks[[#This Row],[_LeafTotalWork]]&gt;0),Tasks[[#This Row],[_LeafWork]]/(Tasks[[#This Row],[_FinishWorkday]]-Tasks[[#This Row],[_StartWorkday]]+1),0)</f>
        <v>0</v>
      </c>
      <c r="EC115" s="38" t="n">
        <f aca="false">Tasks[[#This Row],[_WorkPerWorkday]]*(Tasks[[#This Row],[_StartWorkday]]-1)</f>
        <v>-0</v>
      </c>
      <c r="ED115" s="38" t="n">
        <f aca="false">IF(Tasks[[#This Row],[_IsLeaf]]=1,MAX(N(Tasks[[#This Row],[Duration]]),0.1),0)</f>
        <v>0</v>
      </c>
      <c r="EE115" s="38" t="n">
        <f aca="false">Tasks[[#This Row],[_WeightDur]]*Tasks[[#This Row],[_LeafProgress]]</f>
        <v>0</v>
      </c>
      <c r="EF11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5" s="38" t="str">
        <f aca="false">IF(AND(Tasks[[#This Row],[_IsLeaf]]=1,N(Tasks[[#This Row],[Duration]])=0,Tasks[[#This Row],[_LeafProgress]]&lt;1),Tasks[[#This Row],[_ShownFcstFinish]]+Tasks[[#This Row],[_Row]]/100000,"")</f>
        <v/>
      </c>
      <c r="EH11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5" s="38" t="n">
        <f aca="false">IF(NOT(Tasks[[#This Row],[_IsLeaf]]=1),0,IF(Tasks[[#This Row],[Baseline Cost]]="",Tasks[[#This Row],[_LeafTotalCost]],N(Tasks[[#This Row],[Baseline Cost]])))</f>
        <v>0</v>
      </c>
      <c r="EJ115" s="38" t="n">
        <f aca="false">Tasks[[#This Row],[_LeafBudget]]*Tasks[[#This Row],[_PlannedPct]]</f>
        <v>0</v>
      </c>
      <c r="EK115" s="38" t="n">
        <f aca="false">Tasks[[#This Row],[_LeafBudget]]*Tasks[[#This Row],[_LeafProgress]]</f>
        <v>0</v>
      </c>
      <c r="EL115" s="38" t="n">
        <f aca="false">IF(NOT(Tasks[[#This Row],[_IsLeaf]]=1),0,IF(Tasks[[#This Row],[Actual Cost]]="",Tasks[[#This Row],[_LeafTotalCost]]*Tasks[[#This Row],[_LeafProgress]],N(Tasks[[#This Row],[Actual Cost]])))</f>
        <v>0</v>
      </c>
      <c r="EM115" s="38" t="str">
        <f aca="false">IF(Tasks[[#This Row],[Task Name]]="","",LEFT(Tasks[[#This Row],[WBS]],FIND(".",Tasks[[#This Row],[WBS]]&amp;".")-1))</f>
        <v/>
      </c>
      <c r="EN115" s="38" t="str">
        <f aca="false">IF(AND(Tasks[[#This Row],[Task Name]]&lt;&gt;"",Tasks[[#This Row],[_Level]]=1),Tasks[[#This Row],[_Row]],"")</f>
        <v/>
      </c>
      <c r="EO115" s="38" t="str">
        <f aca="false">IF(AND(Tasks[[#This Row],[_IsLeaf]]=1,N(Tasks[[#This Row],[Duration]])=0),Tasks[[#This Row],[Planned Finish]]+Tasks[[#This Row],[_Row]]/100000,"")</f>
        <v/>
      </c>
      <c r="EP115" s="38" t="str">
        <f aca="false">IF(AND(Tasks[[#This Row],[_IsLeaf]]=1,Tasks[[#This Row],[_LeafProgress]]&lt;1,OR(N(Tasks[[#This Row],[Finish Var]])&gt;0,Tasks[[#This Row],[Status]]="Late Start")),MAX(0,Tasks[[#This Row],[Finish Var]])+1-Tasks[[#This Row],[_Row]]/1000000,"")</f>
        <v/>
      </c>
      <c r="EQ115" s="38" t="str">
        <f aca="false">IF(AND(Tasks[[#This Row],[_IsLeaf]]=1,N(Tasks[[#This Row],[Actual Start]])=0,Tasks[[#This Row],[_ShownFcstStart]]&gt;=StatusDate,Tasks[[#This Row],[_ShownFcstStart]]&lt;=LookaheadEnd),Tasks[[#This Row],[_ShownFcstStart]]+Tasks[[#This Row],[_Row]]/100000,"")</f>
        <v/>
      </c>
      <c r="ER115" s="38" t="str">
        <f aca="false">IF(AND(Tasks[[#This Row],[_IsLeaf]]=1,Tasks[[#This Row],[_LeafProgress]]&lt;1,Tasks[[#This Row],[_ShownFcstFinish]]&gt;=StatusDate,Tasks[[#This Row],[_ShownFcstFinish]]&lt;=LookaheadEnd),Tasks[[#This Row],[_ShownFcstFinish]]+Tasks[[#This Row],[_Row]]/100000,"")</f>
        <v/>
      </c>
      <c r="ES115" s="38" t="str">
        <f aca="false">IF(Tasks[[#This Row],[_LeafCritical]],Tasks[[#This Row],[_ShownFcstStart]]+Tasks[[#This Row],[_Row]]/100000,"")</f>
        <v/>
      </c>
      <c r="ET115" s="38" t="n">
        <f aca="false">Tasks[[#This Row],[_LeafWork]]*Tasks[[#This Row],[_LeafProgress]]</f>
        <v>0</v>
      </c>
      <c r="EU115" s="115" t="str">
        <f aca="false">IF(AND(Tasks[[#This Row],[_IsLeaf]]=1,Tasks[[#This Row],[_LeafProgress]]&gt;=1),IF(N(Tasks[[#This Row],[Actual Finish]])&gt;0,Tasks[[#This Row],[Actual Finish]],Tasks[[#This Row],[_ShownFcstFinish]]),"")</f>
        <v/>
      </c>
      <c r="EV115" s="38" t="n">
        <f aca="false">IF(Tasks[[#This Row],[_IsLeaf]]=1,N(Tasks[[#This Row],[Story Points]]),0)</f>
        <v>0</v>
      </c>
      <c r="EW115" s="38" t="str">
        <f aca="false">IF(AND(Tasks[[#This Row],[_IsLeaf]]=1,CurrentSprint&lt;&gt;"",Tasks[[#This Row],[Sprint]]=CurrentSprint),Tasks[[#This Row],[_Row]],"")</f>
        <v/>
      </c>
    </row>
    <row r="116" customFormat="false" ht="15" hidden="false" customHeight="false" outlineLevel="0" collapsed="false">
      <c r="A116" s="51" t="str">
        <f aca="false">IF(Tasks[[#This Row],[Task Name]]="","",COUNTA(Tasks[[#Headers],[Task Name]]:Tasks[[#This Row],[Task Name]])-1)</f>
        <v/>
      </c>
      <c r="B116" s="52" t="n">
        <v>111</v>
      </c>
      <c r="C11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52"/>
      <c r="E116" s="53"/>
      <c r="F116" s="52"/>
      <c r="G116" s="52"/>
      <c r="H116" s="52"/>
      <c r="I116" s="52"/>
      <c r="J116" s="52"/>
      <c r="K116" s="52"/>
      <c r="L116" s="52"/>
      <c r="M116" s="52"/>
      <c r="N116" s="52"/>
      <c r="O116" s="52"/>
      <c r="P116" s="52"/>
      <c r="Q116" s="52"/>
      <c r="R116" s="52"/>
      <c r="S116" s="53"/>
      <c r="T116" s="102"/>
      <c r="U116" s="102"/>
      <c r="V116" s="7"/>
      <c r="W116" s="7"/>
      <c r="X116" s="53"/>
      <c r="Y116" s="31" t="str">
        <f aca="false">IF(Tasks[[#This Row],[Task Name]]="","",IF(Tasks[[#This Row],[_IsSummary]],MIN(INDEX(Tasks[_ShownFcstStart],Tasks[[#This Row],[_Row]]+1):INDEX(Tasks[_ShownFcstStart],Tasks[[#This Row],[_Row]]+Tasks[[#This Row],[_Descendants]])),Tasks[[#This Row],[_ShownFcstStart]]))</f>
        <v/>
      </c>
      <c r="Z116" s="31" t="str">
        <f aca="false">IF(Tasks[[#This Row],[Task Name]]="","",IF(Tasks[[#This Row],[_IsSummary]],MAX(INDEX(Tasks[_ShownFcstFinish],Tasks[[#This Row],[_Row]]+1):INDEX(Tasks[_ShownFcstFinish],Tasks[[#This Row],[_Row]]+Tasks[[#This Row],[_Descendants]])),Tasks[[#This Row],[_ShownFcstFinish]]))</f>
        <v/>
      </c>
      <c r="AA116" s="51" t="str">
        <f aca="false">IF(Tasks[[#This Row],[Task Name]]="","",IF(Tasks[[#This Row],[Progress]]&gt;=1,"Complete",IF(OR(N(Tasks[[#This Row],[Actual Start]])&gt;0,Tasks[[#This Row],[Progress]]&gt;0),IF(Tasks[[#This Row],[Finish Var]]&gt;0,"Behind","In Progress"),IF(Tasks[[#This Row],[Planned Start]]&lt;StatusDate,"Late Start","Not Started"))))</f>
        <v/>
      </c>
      <c r="AB116" s="51" t="str">
        <f aca="false">IF(Tasks[[#This Row],[Task Name]]="","",IF(IF(Tasks[[#This Row],[_IsSummary]],COUNTIF(INDEX(Tasks[_LeafCritical],Tasks[[#This Row],[_Row]]+1):INDEX(Tasks[_LeafCritical],Tasks[[#This Row],[_Row]]+Tasks[[#This Row],[_Descendants]]),TRUE())&gt;0,Tasks[[#This Row],[_LeafCritical]]),"Yes",""))</f>
        <v/>
      </c>
      <c r="AC11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6" s="51" t="str">
        <f aca="false">IF(Tasks[[#This Row],[Task Name]]="","",IF(Tasks[[#This Row],[_Level]]&lt;=OutlineShowLevel,"Yes","No"))</f>
        <v/>
      </c>
      <c r="AE116" s="7"/>
      <c r="AF116" s="52"/>
      <c r="AG116" s="53"/>
      <c r="AH116" s="7"/>
      <c r="AI11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6" s="31" t="str">
        <f aca="false">IF(Tasks[[#This Row],[Task Name]]="","",IF(N(Tasks[[#This Row],[Baseline Start]])&gt;0,Tasks[[#This Row],[Baseline Start]],Tasks[[#This Row],[_CalcStart]]))</f>
        <v/>
      </c>
      <c r="AK116" s="31" t="str">
        <f aca="false">IF(Tasks[[#This Row],[Task Name]]="","",IF(N(Tasks[[#This Row],[Baseline Finish]])&gt;0,Tasks[[#This Row],[Baseline Finish]],Tasks[[#This Row],[_CalcFinish]]))</f>
        <v/>
      </c>
      <c r="AL11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6" s="31" t="str">
        <f aca="false">IF(Tasks[[#This Row],[Task Name]]="","",IF(Tasks[[#This Row],[_IsSummary]],MIN(INDEX(Tasks[_LeafLateStart],Tasks[[#This Row],[_Row]]+1):INDEX(Tasks[_LeafLateStart],Tasks[[#This Row],[_Row]]+Tasks[[#This Row],[_Descendants]])),Tasks[[#This Row],[_LeafLateStart]]))</f>
        <v/>
      </c>
      <c r="AN116" s="31" t="str">
        <f aca="false">IF(Tasks[[#This Row],[Task Name]]="","",IF(Tasks[[#This Row],[_IsSummary]],MAX(INDEX(Tasks[_LeafLateFinish],Tasks[[#This Row],[_Row]]+1):INDEX(Tasks[_LeafLateFinish],Tasks[[#This Row],[_Row]]+Tasks[[#This Row],[_Descendants]])),Tasks[[#This Row],[_LeafLateFinish]]))</f>
        <v/>
      </c>
      <c r="AO116" s="51" t="str">
        <f aca="false">IF(Tasks[[#This Row],[Task Name]]="","",IF(Tasks[[#This Row],[_IsSummary]],MIN(INDEX(Tasks[_LeafTotalSlack],Tasks[[#This Row],[_Row]]+1):INDEX(Tasks[_LeafTotalSlack],Tasks[[#This Row],[_Row]]+Tasks[[#This Row],[_Descendants]])),Tasks[[#This Row],[_LeafTotalSlack]]))</f>
        <v/>
      </c>
      <c r="AP11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6" s="110" t="str">
        <f aca="false">IF(Tasks[[#This Row],[Task Name]]="","",IF(Tasks[[#This Row],[_IsSummary]],SUM(INDEX(Tasks[_LeafTotalWork],Tasks[[#This Row],[_Row]]+1):INDEX(Tasks[_LeafTotalWork],Tasks[[#This Row],[_Row]]+Tasks[[#This Row],[_Descendants]])),Tasks[[#This Row],[_LeafTotalWork]]))</f>
        <v/>
      </c>
      <c r="AV11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6" s="111" t="str">
        <f aca="false">IF(Tasks[[#This Row],[Task Name]]="","",IF(Tasks[[#This Row],[_IsSummary]],SUM(INDEX(Tasks[_LeafTotalCost],Tasks[[#This Row],[_Row]]+1):INDEX(Tasks[_LeafTotalCost],Tasks[[#This Row],[_Row]]+Tasks[[#This Row],[_Descendants]])),Tasks[[#This Row],[_LeafTotalCost]]))</f>
        <v/>
      </c>
      <c r="AY116" s="112"/>
      <c r="AZ11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6" s="52"/>
      <c r="BB116" s="98"/>
      <c r="BC116" s="51" t="str">
        <f aca="false">IF(OR(Tasks[[#This Row],[Task Name]]="",Tasks[[#This Row],[Baseline Duration]]=""),"",Tasks[[#This Row],[BL Source Duration]]-N(Tasks[[#This Row],[Baseline Duration]]))</f>
        <v/>
      </c>
      <c r="BD116" s="110" t="str">
        <f aca="false">IF(OR(Tasks[[#This Row],[Task Name]]="",Tasks[[#This Row],[Baseline Work]]=""),"",Tasks[[#This Row],[Work]]-N(Tasks[[#This Row],[Baseline Work]]))</f>
        <v/>
      </c>
      <c r="BE116" s="111" t="str">
        <f aca="false">IF(OR(Tasks[[#This Row],[Task Name]]="",Tasks[[#This Row],[Baseline Cost]]=""),"",Tasks[[#This Row],[Cost]]-N(Tasks[[#This Row],[Baseline Cost]]))</f>
        <v/>
      </c>
      <c r="BF116" s="31" t="str">
        <f aca="false">IF(Tasks[[#This Row],[Task Name]]="","",Tasks[[#This Row],[Forecast Start]])</f>
        <v/>
      </c>
      <c r="BG116" s="31" t="str">
        <f aca="false">IF(Tasks[[#This Row],[Task Name]]="","",Tasks[[#This Row],[Forecast Finish]])</f>
        <v/>
      </c>
      <c r="BH116" s="51" t="str">
        <f aca="false">IF(Tasks[[#This Row],[Task Name]]="","",IF(Tasks[[#This Row],[_IsSummary]],NETWORKDAYS.INTL(Tasks[[#This Row],[Forecast Start]],Tasks[[#This Row],[Forecast Finish]],WorkWeek,Holidays),N(Tasks[[#This Row],[Duration]])))</f>
        <v/>
      </c>
      <c r="BI116" s="110" t="str">
        <f aca="false">IF(Tasks[[#This Row],[Task Name]]="","",Tasks[[#This Row],[Work]])</f>
        <v/>
      </c>
      <c r="BJ116" s="111" t="str">
        <f aca="false">IF(Tasks[[#This Row],[Task Name]]="","",Tasks[[#This Row],[Cost]])</f>
        <v/>
      </c>
      <c r="BK116" s="7"/>
      <c r="BL116" s="7"/>
      <c r="BM116" s="52"/>
      <c r="BN116" s="113"/>
      <c r="BO116" s="112"/>
      <c r="BP116" s="111" t="str">
        <f aca="false">IF(Tasks[[#This Row],[Task Name]]="","",IF(Tasks[[#This Row],[_IsSummary]],SUM(INDEX(Tasks[_LeafEV],Tasks[[#This Row],[_Row]]+1):INDEX(Tasks[_LeafEV],Tasks[[#This Row],[_Row]]+Tasks[[#This Row],[_Descendants]])),Tasks[[#This Row],[_LeafEV]]))</f>
        <v/>
      </c>
      <c r="BQ116" s="111" t="str">
        <f aca="false">IF(Tasks[[#This Row],[Task Name]]="","",IF(Tasks[[#This Row],[_IsSummary]],SUM(INDEX(Tasks[_LeafBudget],Tasks[[#This Row],[_Row]]+1):INDEX(Tasks[_LeafBudget],Tasks[[#This Row],[_Row]]+Tasks[[#This Row],[_Descendants]])),Tasks[[#This Row],[_LeafBudget]]))</f>
        <v/>
      </c>
      <c r="BR116" s="111" t="str">
        <f aca="false">IF(Tasks[[#This Row],[Task Name]]="","",IF(Tasks[[#This Row],[_IsSummary]],SUM(INDEX(Tasks[_LeafPV],Tasks[[#This Row],[_Row]]+1):INDEX(Tasks[_LeafPV],Tasks[[#This Row],[_Row]]+Tasks[[#This Row],[_Descendants]])),Tasks[[#This Row],[_LeafPV]]))</f>
        <v/>
      </c>
      <c r="BS116" s="111" t="str">
        <f aca="false">IF(Tasks[[#This Row],[Task Name]]="","",IF(Tasks[[#This Row],[_IsSummary]],SUM(INDEX(Tasks[_LeafAC],Tasks[[#This Row],[_Row]]+1):INDEX(Tasks[_LeafAC],Tasks[[#This Row],[_Row]]+Tasks[[#This Row],[_Descendants]])),Tasks[[#This Row],[_LeafAC]]))</f>
        <v/>
      </c>
      <c r="BT116" s="38" t="str">
        <f aca="false">IF(Tasks[[#This Row],[Task Name]]="","",MAX(1,N(Tasks[[#This Row],[Level]])))</f>
        <v/>
      </c>
      <c r="BU116" s="38" t="n">
        <f aca="false">ROW()-ROW(Tasks[[#Headers],[ID]])</f>
        <v>111</v>
      </c>
      <c r="BV116" s="38" t="n">
        <f aca="false">IF(OR(Tasks[[#This Row],[Task Name]]="",Tasks[[#This Row],[_Level]]&lt;=1),0,IFERROR(LOOKUP(2,1/(Tasks[[#Headers],[_Level]]:Tasks[[#This Row],[_Level]]=Tasks[[#This Row],[_Level]]-1),ROW(Tasks[[#Headers],[_Level]]:Tasks[[#This Row],[_Level]])),0))</f>
        <v>0</v>
      </c>
      <c r="BW116" s="38" t="n">
        <f aca="false">IFERROR(N(INDEX(Tasks[_Level],Tasks[[#This Row],[_Row]]+1)),0)</f>
        <v>0</v>
      </c>
      <c r="BX116" s="114" t="b">
        <f aca="false">AND(Tasks[[#This Row],[Task Name]]&lt;&gt;"",Tasks[[#This Row],[_NextLevel]]&gt;Tasks[[#This Row],[_Level]])</f>
        <v>0</v>
      </c>
      <c r="BY116" s="38" t="n">
        <f aca="false">IF(Tasks[[#This Row],[_IsSummary]],COUNTIF(Tasks[WBS],Tasks[[#This Row],[WBS]]&amp;".*"),0)</f>
        <v>0</v>
      </c>
      <c r="BZ116" s="38" t="n">
        <f aca="false">IF(AND(Tasks[[#This Row],[Task Name]]&lt;&gt;"",NOT(Tasks[[#This Row],[_IsSummary]])),1,0)</f>
        <v>0</v>
      </c>
      <c r="CA116" s="38" t="n">
        <f aca="false">IF(N(Tasks[[#This Row],[Pred1 UID]])=0,0,IFERROR(MATCH(Tasks[[#This Row],[Pred1 UID]],Tasks[UID],0),-1))</f>
        <v>0</v>
      </c>
      <c r="CB116" s="38" t="n">
        <f aca="false">IF(N(Tasks[[#This Row],[Pred2 UID]])=0,0,IFERROR(MATCH(Tasks[[#This Row],[Pred2 UID]],Tasks[UID],0),-1))</f>
        <v>0</v>
      </c>
      <c r="CC116" s="38" t="n">
        <f aca="false">IF(N(Tasks[[#This Row],[Pred3 UID]])=0,0,IFERROR(MATCH(Tasks[[#This Row],[Pred3 UID]],Tasks[UID],0),-1))</f>
        <v>0</v>
      </c>
      <c r="CD116" s="38" t="n">
        <f aca="false">IF(N(Tasks[[#This Row],[Pred4 UID]])=0,0,IFERROR(MATCH(Tasks[[#This Row],[Pred4 UID]],Tasks[UID],0),-1))</f>
        <v>0</v>
      </c>
      <c r="CE11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6" s="115" t="n">
        <f aca="false">IF(OR(Tasks[[#This Row],[_ConstraintCode]]=2,Tasks[[#This Row],[_ConstraintCode]]=3,Tasks[[#This Row],[_ConstraintCode]]=4,Tasks[[#This Row],[_ConstraintCode]]=6),Tasks[[#This Row],[_ConstraintStart]],0)</f>
        <v>0</v>
      </c>
      <c r="CH116" s="115" t="n">
        <f aca="false">IF(OR(Tasks[[#This Row],[_ConstraintCode]]=2,Tasks[[#This Row],[_ConstraintCode]]=3,Tasks[[#This Row],[_ConstraintCode]]=5,Tasks[[#This Row],[_ConstraintCode]]=7),Tasks[[#This Row],[_ConstraintStart]],2958465)</f>
        <v>2958465</v>
      </c>
      <c r="CI11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6" s="115" t="str">
        <f aca="false">IF(NOT(Tasks[[#This Row],[_IsLeaf]]=1),"",IF(N(Tasks[[#This Row],[Duration]])&lt;=0,Tasks[[#This Row],[_LeafCalcStart]],WORKDAY.INTL(Tasks[[#This Row],[_LeafCalcStart]],Tasks[[#This Row],[Duration]]-1,WorkWeek,Holidays)))</f>
        <v/>
      </c>
      <c r="CK11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6" s="38" t="n">
        <f aca="false">IF(NOT(Tasks[[#This Row],[_IsLeaf]]=1),0,IF(N(Tasks[[#This Row],[Actual Finish]])&gt;0,1,MIN(1,N(Tasks[[#This Row],[% Complete]]))))</f>
        <v>0</v>
      </c>
      <c r="CN116" s="38" t="n">
        <f aca="false">IF(OR(NOT(Tasks[[#This Row],[_IsLeaf]]=1),Tasks[[#This Row],[Resource]]=""),0,N(Tasks[[#This Row],[Duration]])*HoursPerDay*IF(Tasks[[#This Row],[Units]]="",DefaultUnits,Tasks[[#This Row],[Units]]))</f>
        <v>0</v>
      </c>
      <c r="CO116" s="38" t="n">
        <f aca="false">IF(Tasks[[#This Row],[_LeafWork]]=0,0,Tasks[[#This Row],[_LeafWork]]*IFERROR(INDEX(res_Rate,MATCH(Tasks[[#This Row],[Resource]],res_Name,0)),0))</f>
        <v>0</v>
      </c>
      <c r="CP116" s="38" t="n">
        <f aca="false">Tasks[[#This Row],[_LeafWork]]+IF(Tasks[[#This Row],[_IsLeaf]]=1,SUMIFS(asg_Work,asg_TaskUID,Tasks[[#This Row],[UID]],asg_Valid,1),0)</f>
        <v>0</v>
      </c>
      <c r="CQ116" s="38" t="n">
        <f aca="false">Tasks[[#This Row],[_LeafCost]]+IF(Tasks[[#This Row],[_IsLeaf]]=1,SUMIFS(asg_Cost,asg_TaskUID,Tasks[[#This Row],[UID]],asg_Valid,1),0)</f>
        <v>0</v>
      </c>
      <c r="CR116" s="38" t="n">
        <f aca="false">IF(Tasks[[#This Row],[_LeafTotalCost]]=0,Tasks[[#This Row],[_LeafAC]],Tasks[[#This Row],[_LeafAC]]*Tasks[[#This Row],[_LeafCost]]/Tasks[[#This Row],[_LeafTotalCost]])</f>
        <v>0</v>
      </c>
      <c r="CS11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6" s="38" t="n">
        <f aca="false">IF(NOT(Tasks[[#This Row],[_IsLeaf]]=1),0,MAX(_xlfn.MAXIFS(Tasks[_Row],Tasks[Pred1 UID],Tasks[[#This Row],[UID]]),_xlfn.MAXIFS(Tasks[_Row],Tasks[Pred2 UID],Tasks[[#This Row],[UID]]),_xlfn.MAXIFS(Tasks[_Row],Tasks[Pred3 UID],Tasks[[#This Row],[UID]]),_xlfn.MAXIFS(Tasks[_Row],Tasks[Pred4 UID],Tasks[[#This Row],[UID]])))</f>
        <v>0</v>
      </c>
      <c r="DB11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6" s="115" t="str">
        <f aca="false">IF(NOT(Tasks[[#This Row],[_IsLeaf]]=1),"",IF(N(Tasks[[#This Row],[Duration]])&lt;=0,Tasks[[#This Row],[_LeafLateFinish]],WORKDAY.INTL(Tasks[[#This Row],[_LeafLateFinish]],-(Tasks[[#This Row],[Duration]]-1),WorkWeek,Holidays)))</f>
        <v/>
      </c>
      <c r="DE11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6" s="114" t="b">
        <f aca="false">AND(Tasks[[#This Row],[_IsLeaf]]=1,Tasks[[#This Row],[_LeafProgress]]&lt;1,N(Tasks[[#This Row],[_LeafTotalSlack]])&lt;=CriticalSlackDays)</f>
        <v>0</v>
      </c>
      <c r="DG116" s="38" t="n">
        <f aca="false">IF(AND(Tasks[[#This Row],[_IsLeaf]]=1,Tasks[[#This Row],[_ConstraintCode]]=1,Tasks[[#This Row],[Mode]]&lt;&gt;"Manual",N(Tasks[[#This Row],[Actual Start]])=0),MAX(0,N(Tasks[[#This Row],[Free Slack]])),0)</f>
        <v>0</v>
      </c>
      <c r="DH116" s="115" t="str">
        <f aca="false">IF(NOT(Tasks[[#This Row],[_IsLeaf]]=1),"",IF(Tasks[[#This Row],[_AlapShift]]=0,Tasks[[#This Row],[_LeafCalcStart]],WORKDAY.INTL(Tasks[[#This Row],[_LeafCalcStart]],Tasks[[#This Row],[_AlapShift]],WorkWeek,Holidays)))</f>
        <v/>
      </c>
      <c r="DI116" s="115" t="str">
        <f aca="false">IF(NOT(Tasks[[#This Row],[_IsLeaf]]=1),"",IF(Tasks[[#This Row],[_AlapShift]]=0,Tasks[[#This Row],[_LeafCalcFinish]],WORKDAY.INTL(Tasks[[#This Row],[_LeafCalcFinish]],Tasks[[#This Row],[_AlapShift]],WorkWeek,Holidays)))</f>
        <v/>
      </c>
      <c r="DJ116" s="115" t="str">
        <f aca="false">IF(NOT(Tasks[[#This Row],[_IsLeaf]]=1),"",IF(Tasks[[#This Row],[_AlapShift]]=0,Tasks[[#This Row],[_LeafFcstStart]],WORKDAY.INTL(Tasks[[#This Row],[_LeafFcstStart]],Tasks[[#This Row],[_AlapShift]],WorkWeek,Holidays)))</f>
        <v/>
      </c>
      <c r="DK116" s="115" t="str">
        <f aca="false">IF(NOT(Tasks[[#This Row],[_IsLeaf]]=1),"",IF(Tasks[[#This Row],[_AlapShift]]=0,Tasks[[#This Row],[_LeafFcstFinish]],WORKDAY.INTL(Tasks[[#This Row],[_LeafFcstFinish]],Tasks[[#This Row],[_AlapShift]],WorkWeek,Holidays)))</f>
        <v/>
      </c>
      <c r="DL116" s="115" t="str">
        <f aca="false">IF(Tasks[[#This Row],[Task Name]]="","",IF(Tasks[[#This Row],[_IsSummary]],MIN(INDEX(Tasks[_ShownCalcStart],Tasks[[#This Row],[_Row]]+1):INDEX(Tasks[_ShownCalcStart],Tasks[[#This Row],[_Row]]+Tasks[[#This Row],[_Descendants]])),Tasks[[#This Row],[_ShownCalcStart]]))</f>
        <v/>
      </c>
      <c r="DM116" s="115" t="str">
        <f aca="false">IF(Tasks[[#This Row],[Task Name]]="","",IF(Tasks[[#This Row],[_IsSummary]],MAX(INDEX(Tasks[_ShownCalcFinish],Tasks[[#This Row],[_Row]]+1):INDEX(Tasks[_ShownCalcFinish],Tasks[[#This Row],[_Row]]+Tasks[[#This Row],[_Descendants]])),Tasks[[#This Row],[_ShownCalcFinish]]))</f>
        <v/>
      </c>
      <c r="DN11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6" s="38" t="n">
        <f aca="false">IF(AND(Tasks[[#This Row],[_IsLeaf]]=1,Tasks[[#This Row],[_LeafTotalWork]]&gt;0),NETWORKDAYS.INTL(ProjectStart,Tasks[[#This Row],[_ShownFcstStart]],WorkWeek,Holidays),0)</f>
        <v>0</v>
      </c>
      <c r="EA116" s="38" t="n">
        <f aca="false">IF(AND(Tasks[[#This Row],[_IsLeaf]]=1,Tasks[[#This Row],[_LeafTotalWork]]&gt;0),MAX(Tasks[[#This Row],[_StartWorkday]],NETWORKDAYS.INTL(ProjectStart,Tasks[[#This Row],[_ShownFcstFinish]],WorkWeek,Holidays)),0)</f>
        <v>0</v>
      </c>
      <c r="EB116" s="38" t="n">
        <f aca="false">IF(AND(Tasks[[#This Row],[_IsLeaf]]=1,Tasks[[#This Row],[_LeafTotalWork]]&gt;0),Tasks[[#This Row],[_LeafWork]]/(Tasks[[#This Row],[_FinishWorkday]]-Tasks[[#This Row],[_StartWorkday]]+1),0)</f>
        <v>0</v>
      </c>
      <c r="EC116" s="38" t="n">
        <f aca="false">Tasks[[#This Row],[_WorkPerWorkday]]*(Tasks[[#This Row],[_StartWorkday]]-1)</f>
        <v>-0</v>
      </c>
      <c r="ED116" s="38" t="n">
        <f aca="false">IF(Tasks[[#This Row],[_IsLeaf]]=1,MAX(N(Tasks[[#This Row],[Duration]]),0.1),0)</f>
        <v>0</v>
      </c>
      <c r="EE116" s="38" t="n">
        <f aca="false">Tasks[[#This Row],[_WeightDur]]*Tasks[[#This Row],[_LeafProgress]]</f>
        <v>0</v>
      </c>
      <c r="EF11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6" s="38" t="str">
        <f aca="false">IF(AND(Tasks[[#This Row],[_IsLeaf]]=1,N(Tasks[[#This Row],[Duration]])=0,Tasks[[#This Row],[_LeafProgress]]&lt;1),Tasks[[#This Row],[_ShownFcstFinish]]+Tasks[[#This Row],[_Row]]/100000,"")</f>
        <v/>
      </c>
      <c r="EH11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6" s="38" t="n">
        <f aca="false">IF(NOT(Tasks[[#This Row],[_IsLeaf]]=1),0,IF(Tasks[[#This Row],[Baseline Cost]]="",Tasks[[#This Row],[_LeafTotalCost]],N(Tasks[[#This Row],[Baseline Cost]])))</f>
        <v>0</v>
      </c>
      <c r="EJ116" s="38" t="n">
        <f aca="false">Tasks[[#This Row],[_LeafBudget]]*Tasks[[#This Row],[_PlannedPct]]</f>
        <v>0</v>
      </c>
      <c r="EK116" s="38" t="n">
        <f aca="false">Tasks[[#This Row],[_LeafBudget]]*Tasks[[#This Row],[_LeafProgress]]</f>
        <v>0</v>
      </c>
      <c r="EL116" s="38" t="n">
        <f aca="false">IF(NOT(Tasks[[#This Row],[_IsLeaf]]=1),0,IF(Tasks[[#This Row],[Actual Cost]]="",Tasks[[#This Row],[_LeafTotalCost]]*Tasks[[#This Row],[_LeafProgress]],N(Tasks[[#This Row],[Actual Cost]])))</f>
        <v>0</v>
      </c>
      <c r="EM116" s="38" t="str">
        <f aca="false">IF(Tasks[[#This Row],[Task Name]]="","",LEFT(Tasks[[#This Row],[WBS]],FIND(".",Tasks[[#This Row],[WBS]]&amp;".")-1))</f>
        <v/>
      </c>
      <c r="EN116" s="38" t="str">
        <f aca="false">IF(AND(Tasks[[#This Row],[Task Name]]&lt;&gt;"",Tasks[[#This Row],[_Level]]=1),Tasks[[#This Row],[_Row]],"")</f>
        <v/>
      </c>
      <c r="EO116" s="38" t="str">
        <f aca="false">IF(AND(Tasks[[#This Row],[_IsLeaf]]=1,N(Tasks[[#This Row],[Duration]])=0),Tasks[[#This Row],[Planned Finish]]+Tasks[[#This Row],[_Row]]/100000,"")</f>
        <v/>
      </c>
      <c r="EP116" s="38" t="str">
        <f aca="false">IF(AND(Tasks[[#This Row],[_IsLeaf]]=1,Tasks[[#This Row],[_LeafProgress]]&lt;1,OR(N(Tasks[[#This Row],[Finish Var]])&gt;0,Tasks[[#This Row],[Status]]="Late Start")),MAX(0,Tasks[[#This Row],[Finish Var]])+1-Tasks[[#This Row],[_Row]]/1000000,"")</f>
        <v/>
      </c>
      <c r="EQ116" s="38" t="str">
        <f aca="false">IF(AND(Tasks[[#This Row],[_IsLeaf]]=1,N(Tasks[[#This Row],[Actual Start]])=0,Tasks[[#This Row],[_ShownFcstStart]]&gt;=StatusDate,Tasks[[#This Row],[_ShownFcstStart]]&lt;=LookaheadEnd),Tasks[[#This Row],[_ShownFcstStart]]+Tasks[[#This Row],[_Row]]/100000,"")</f>
        <v/>
      </c>
      <c r="ER116" s="38" t="str">
        <f aca="false">IF(AND(Tasks[[#This Row],[_IsLeaf]]=1,Tasks[[#This Row],[_LeafProgress]]&lt;1,Tasks[[#This Row],[_ShownFcstFinish]]&gt;=StatusDate,Tasks[[#This Row],[_ShownFcstFinish]]&lt;=LookaheadEnd),Tasks[[#This Row],[_ShownFcstFinish]]+Tasks[[#This Row],[_Row]]/100000,"")</f>
        <v/>
      </c>
      <c r="ES116" s="38" t="str">
        <f aca="false">IF(Tasks[[#This Row],[_LeafCritical]],Tasks[[#This Row],[_ShownFcstStart]]+Tasks[[#This Row],[_Row]]/100000,"")</f>
        <v/>
      </c>
      <c r="ET116" s="38" t="n">
        <f aca="false">Tasks[[#This Row],[_LeafWork]]*Tasks[[#This Row],[_LeafProgress]]</f>
        <v>0</v>
      </c>
      <c r="EU116" s="115" t="str">
        <f aca="false">IF(AND(Tasks[[#This Row],[_IsLeaf]]=1,Tasks[[#This Row],[_LeafProgress]]&gt;=1),IF(N(Tasks[[#This Row],[Actual Finish]])&gt;0,Tasks[[#This Row],[Actual Finish]],Tasks[[#This Row],[_ShownFcstFinish]]),"")</f>
        <v/>
      </c>
      <c r="EV116" s="38" t="n">
        <f aca="false">IF(Tasks[[#This Row],[_IsLeaf]]=1,N(Tasks[[#This Row],[Story Points]]),0)</f>
        <v>0</v>
      </c>
      <c r="EW116" s="38" t="str">
        <f aca="false">IF(AND(Tasks[[#This Row],[_IsLeaf]]=1,CurrentSprint&lt;&gt;"",Tasks[[#This Row],[Sprint]]=CurrentSprint),Tasks[[#This Row],[_Row]],"")</f>
        <v/>
      </c>
    </row>
    <row r="117" customFormat="false" ht="15" hidden="false" customHeight="false" outlineLevel="0" collapsed="false">
      <c r="A117" s="51" t="str">
        <f aca="false">IF(Tasks[[#This Row],[Task Name]]="","",COUNTA(Tasks[[#Headers],[Task Name]]:Tasks[[#This Row],[Task Name]])-1)</f>
        <v/>
      </c>
      <c r="B117" s="52" t="n">
        <v>112</v>
      </c>
      <c r="C11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52"/>
      <c r="E117" s="53"/>
      <c r="F117" s="52"/>
      <c r="G117" s="52"/>
      <c r="H117" s="52"/>
      <c r="I117" s="52"/>
      <c r="J117" s="52"/>
      <c r="K117" s="52"/>
      <c r="L117" s="52"/>
      <c r="M117" s="52"/>
      <c r="N117" s="52"/>
      <c r="O117" s="52"/>
      <c r="P117" s="52"/>
      <c r="Q117" s="52"/>
      <c r="R117" s="52"/>
      <c r="S117" s="53"/>
      <c r="T117" s="102"/>
      <c r="U117" s="102"/>
      <c r="V117" s="7"/>
      <c r="W117" s="7"/>
      <c r="X117" s="53"/>
      <c r="Y117" s="31" t="str">
        <f aca="false">IF(Tasks[[#This Row],[Task Name]]="","",IF(Tasks[[#This Row],[_IsSummary]],MIN(INDEX(Tasks[_ShownFcstStart],Tasks[[#This Row],[_Row]]+1):INDEX(Tasks[_ShownFcstStart],Tasks[[#This Row],[_Row]]+Tasks[[#This Row],[_Descendants]])),Tasks[[#This Row],[_ShownFcstStart]]))</f>
        <v/>
      </c>
      <c r="Z117" s="31" t="str">
        <f aca="false">IF(Tasks[[#This Row],[Task Name]]="","",IF(Tasks[[#This Row],[_IsSummary]],MAX(INDEX(Tasks[_ShownFcstFinish],Tasks[[#This Row],[_Row]]+1):INDEX(Tasks[_ShownFcstFinish],Tasks[[#This Row],[_Row]]+Tasks[[#This Row],[_Descendants]])),Tasks[[#This Row],[_ShownFcstFinish]]))</f>
        <v/>
      </c>
      <c r="AA117" s="51" t="str">
        <f aca="false">IF(Tasks[[#This Row],[Task Name]]="","",IF(Tasks[[#This Row],[Progress]]&gt;=1,"Complete",IF(OR(N(Tasks[[#This Row],[Actual Start]])&gt;0,Tasks[[#This Row],[Progress]]&gt;0),IF(Tasks[[#This Row],[Finish Var]]&gt;0,"Behind","In Progress"),IF(Tasks[[#This Row],[Planned Start]]&lt;StatusDate,"Late Start","Not Started"))))</f>
        <v/>
      </c>
      <c r="AB117" s="51" t="str">
        <f aca="false">IF(Tasks[[#This Row],[Task Name]]="","",IF(IF(Tasks[[#This Row],[_IsSummary]],COUNTIF(INDEX(Tasks[_LeafCritical],Tasks[[#This Row],[_Row]]+1):INDEX(Tasks[_LeafCritical],Tasks[[#This Row],[_Row]]+Tasks[[#This Row],[_Descendants]]),TRUE())&gt;0,Tasks[[#This Row],[_LeafCritical]]),"Yes",""))</f>
        <v/>
      </c>
      <c r="AC11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7" s="51" t="str">
        <f aca="false">IF(Tasks[[#This Row],[Task Name]]="","",IF(Tasks[[#This Row],[_Level]]&lt;=OutlineShowLevel,"Yes","No"))</f>
        <v/>
      </c>
      <c r="AE117" s="7"/>
      <c r="AF117" s="52"/>
      <c r="AG117" s="53"/>
      <c r="AH117" s="7"/>
      <c r="AI11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7" s="31" t="str">
        <f aca="false">IF(Tasks[[#This Row],[Task Name]]="","",IF(N(Tasks[[#This Row],[Baseline Start]])&gt;0,Tasks[[#This Row],[Baseline Start]],Tasks[[#This Row],[_CalcStart]]))</f>
        <v/>
      </c>
      <c r="AK117" s="31" t="str">
        <f aca="false">IF(Tasks[[#This Row],[Task Name]]="","",IF(N(Tasks[[#This Row],[Baseline Finish]])&gt;0,Tasks[[#This Row],[Baseline Finish]],Tasks[[#This Row],[_CalcFinish]]))</f>
        <v/>
      </c>
      <c r="AL11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7" s="31" t="str">
        <f aca="false">IF(Tasks[[#This Row],[Task Name]]="","",IF(Tasks[[#This Row],[_IsSummary]],MIN(INDEX(Tasks[_LeafLateStart],Tasks[[#This Row],[_Row]]+1):INDEX(Tasks[_LeafLateStart],Tasks[[#This Row],[_Row]]+Tasks[[#This Row],[_Descendants]])),Tasks[[#This Row],[_LeafLateStart]]))</f>
        <v/>
      </c>
      <c r="AN117" s="31" t="str">
        <f aca="false">IF(Tasks[[#This Row],[Task Name]]="","",IF(Tasks[[#This Row],[_IsSummary]],MAX(INDEX(Tasks[_LeafLateFinish],Tasks[[#This Row],[_Row]]+1):INDEX(Tasks[_LeafLateFinish],Tasks[[#This Row],[_Row]]+Tasks[[#This Row],[_Descendants]])),Tasks[[#This Row],[_LeafLateFinish]]))</f>
        <v/>
      </c>
      <c r="AO117" s="51" t="str">
        <f aca="false">IF(Tasks[[#This Row],[Task Name]]="","",IF(Tasks[[#This Row],[_IsSummary]],MIN(INDEX(Tasks[_LeafTotalSlack],Tasks[[#This Row],[_Row]]+1):INDEX(Tasks[_LeafTotalSlack],Tasks[[#This Row],[_Row]]+Tasks[[#This Row],[_Descendants]])),Tasks[[#This Row],[_LeafTotalSlack]]))</f>
        <v/>
      </c>
      <c r="AP11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7" s="110" t="str">
        <f aca="false">IF(Tasks[[#This Row],[Task Name]]="","",IF(Tasks[[#This Row],[_IsSummary]],SUM(INDEX(Tasks[_LeafTotalWork],Tasks[[#This Row],[_Row]]+1):INDEX(Tasks[_LeafTotalWork],Tasks[[#This Row],[_Row]]+Tasks[[#This Row],[_Descendants]])),Tasks[[#This Row],[_LeafTotalWork]]))</f>
        <v/>
      </c>
      <c r="AV11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7" s="111" t="str">
        <f aca="false">IF(Tasks[[#This Row],[Task Name]]="","",IF(Tasks[[#This Row],[_IsSummary]],SUM(INDEX(Tasks[_LeafTotalCost],Tasks[[#This Row],[_Row]]+1):INDEX(Tasks[_LeafTotalCost],Tasks[[#This Row],[_Row]]+Tasks[[#This Row],[_Descendants]])),Tasks[[#This Row],[_LeafTotalCost]]))</f>
        <v/>
      </c>
      <c r="AY117" s="112"/>
      <c r="AZ11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7" s="52"/>
      <c r="BB117" s="98"/>
      <c r="BC117" s="51" t="str">
        <f aca="false">IF(OR(Tasks[[#This Row],[Task Name]]="",Tasks[[#This Row],[Baseline Duration]]=""),"",Tasks[[#This Row],[BL Source Duration]]-N(Tasks[[#This Row],[Baseline Duration]]))</f>
        <v/>
      </c>
      <c r="BD117" s="110" t="str">
        <f aca="false">IF(OR(Tasks[[#This Row],[Task Name]]="",Tasks[[#This Row],[Baseline Work]]=""),"",Tasks[[#This Row],[Work]]-N(Tasks[[#This Row],[Baseline Work]]))</f>
        <v/>
      </c>
      <c r="BE117" s="111" t="str">
        <f aca="false">IF(OR(Tasks[[#This Row],[Task Name]]="",Tasks[[#This Row],[Baseline Cost]]=""),"",Tasks[[#This Row],[Cost]]-N(Tasks[[#This Row],[Baseline Cost]]))</f>
        <v/>
      </c>
      <c r="BF117" s="31" t="str">
        <f aca="false">IF(Tasks[[#This Row],[Task Name]]="","",Tasks[[#This Row],[Forecast Start]])</f>
        <v/>
      </c>
      <c r="BG117" s="31" t="str">
        <f aca="false">IF(Tasks[[#This Row],[Task Name]]="","",Tasks[[#This Row],[Forecast Finish]])</f>
        <v/>
      </c>
      <c r="BH117" s="51" t="str">
        <f aca="false">IF(Tasks[[#This Row],[Task Name]]="","",IF(Tasks[[#This Row],[_IsSummary]],NETWORKDAYS.INTL(Tasks[[#This Row],[Forecast Start]],Tasks[[#This Row],[Forecast Finish]],WorkWeek,Holidays),N(Tasks[[#This Row],[Duration]])))</f>
        <v/>
      </c>
      <c r="BI117" s="110" t="str">
        <f aca="false">IF(Tasks[[#This Row],[Task Name]]="","",Tasks[[#This Row],[Work]])</f>
        <v/>
      </c>
      <c r="BJ117" s="111" t="str">
        <f aca="false">IF(Tasks[[#This Row],[Task Name]]="","",Tasks[[#This Row],[Cost]])</f>
        <v/>
      </c>
      <c r="BK117" s="7"/>
      <c r="BL117" s="7"/>
      <c r="BM117" s="52"/>
      <c r="BN117" s="113"/>
      <c r="BO117" s="112"/>
      <c r="BP117" s="111" t="str">
        <f aca="false">IF(Tasks[[#This Row],[Task Name]]="","",IF(Tasks[[#This Row],[_IsSummary]],SUM(INDEX(Tasks[_LeafEV],Tasks[[#This Row],[_Row]]+1):INDEX(Tasks[_LeafEV],Tasks[[#This Row],[_Row]]+Tasks[[#This Row],[_Descendants]])),Tasks[[#This Row],[_LeafEV]]))</f>
        <v/>
      </c>
      <c r="BQ117" s="111" t="str">
        <f aca="false">IF(Tasks[[#This Row],[Task Name]]="","",IF(Tasks[[#This Row],[_IsSummary]],SUM(INDEX(Tasks[_LeafBudget],Tasks[[#This Row],[_Row]]+1):INDEX(Tasks[_LeafBudget],Tasks[[#This Row],[_Row]]+Tasks[[#This Row],[_Descendants]])),Tasks[[#This Row],[_LeafBudget]]))</f>
        <v/>
      </c>
      <c r="BR117" s="111" t="str">
        <f aca="false">IF(Tasks[[#This Row],[Task Name]]="","",IF(Tasks[[#This Row],[_IsSummary]],SUM(INDEX(Tasks[_LeafPV],Tasks[[#This Row],[_Row]]+1):INDEX(Tasks[_LeafPV],Tasks[[#This Row],[_Row]]+Tasks[[#This Row],[_Descendants]])),Tasks[[#This Row],[_LeafPV]]))</f>
        <v/>
      </c>
      <c r="BS117" s="111" t="str">
        <f aca="false">IF(Tasks[[#This Row],[Task Name]]="","",IF(Tasks[[#This Row],[_IsSummary]],SUM(INDEX(Tasks[_LeafAC],Tasks[[#This Row],[_Row]]+1):INDEX(Tasks[_LeafAC],Tasks[[#This Row],[_Row]]+Tasks[[#This Row],[_Descendants]])),Tasks[[#This Row],[_LeafAC]]))</f>
        <v/>
      </c>
      <c r="BT117" s="38" t="str">
        <f aca="false">IF(Tasks[[#This Row],[Task Name]]="","",MAX(1,N(Tasks[[#This Row],[Level]])))</f>
        <v/>
      </c>
      <c r="BU117" s="38" t="n">
        <f aca="false">ROW()-ROW(Tasks[[#Headers],[ID]])</f>
        <v>112</v>
      </c>
      <c r="BV117" s="38" t="n">
        <f aca="false">IF(OR(Tasks[[#This Row],[Task Name]]="",Tasks[[#This Row],[_Level]]&lt;=1),0,IFERROR(LOOKUP(2,1/(Tasks[[#Headers],[_Level]]:Tasks[[#This Row],[_Level]]=Tasks[[#This Row],[_Level]]-1),ROW(Tasks[[#Headers],[_Level]]:Tasks[[#This Row],[_Level]])),0))</f>
        <v>0</v>
      </c>
      <c r="BW117" s="38" t="n">
        <f aca="false">IFERROR(N(INDEX(Tasks[_Level],Tasks[[#This Row],[_Row]]+1)),0)</f>
        <v>0</v>
      </c>
      <c r="BX117" s="114" t="b">
        <f aca="false">AND(Tasks[[#This Row],[Task Name]]&lt;&gt;"",Tasks[[#This Row],[_NextLevel]]&gt;Tasks[[#This Row],[_Level]])</f>
        <v>0</v>
      </c>
      <c r="BY117" s="38" t="n">
        <f aca="false">IF(Tasks[[#This Row],[_IsSummary]],COUNTIF(Tasks[WBS],Tasks[[#This Row],[WBS]]&amp;".*"),0)</f>
        <v>0</v>
      </c>
      <c r="BZ117" s="38" t="n">
        <f aca="false">IF(AND(Tasks[[#This Row],[Task Name]]&lt;&gt;"",NOT(Tasks[[#This Row],[_IsSummary]])),1,0)</f>
        <v>0</v>
      </c>
      <c r="CA117" s="38" t="n">
        <f aca="false">IF(N(Tasks[[#This Row],[Pred1 UID]])=0,0,IFERROR(MATCH(Tasks[[#This Row],[Pred1 UID]],Tasks[UID],0),-1))</f>
        <v>0</v>
      </c>
      <c r="CB117" s="38" t="n">
        <f aca="false">IF(N(Tasks[[#This Row],[Pred2 UID]])=0,0,IFERROR(MATCH(Tasks[[#This Row],[Pred2 UID]],Tasks[UID],0),-1))</f>
        <v>0</v>
      </c>
      <c r="CC117" s="38" t="n">
        <f aca="false">IF(N(Tasks[[#This Row],[Pred3 UID]])=0,0,IFERROR(MATCH(Tasks[[#This Row],[Pred3 UID]],Tasks[UID],0),-1))</f>
        <v>0</v>
      </c>
      <c r="CD117" s="38" t="n">
        <f aca="false">IF(N(Tasks[[#This Row],[Pred4 UID]])=0,0,IFERROR(MATCH(Tasks[[#This Row],[Pred4 UID]],Tasks[UID],0),-1))</f>
        <v>0</v>
      </c>
      <c r="CE11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7" s="115" t="n">
        <f aca="false">IF(OR(Tasks[[#This Row],[_ConstraintCode]]=2,Tasks[[#This Row],[_ConstraintCode]]=3,Tasks[[#This Row],[_ConstraintCode]]=4,Tasks[[#This Row],[_ConstraintCode]]=6),Tasks[[#This Row],[_ConstraintStart]],0)</f>
        <v>0</v>
      </c>
      <c r="CH117" s="115" t="n">
        <f aca="false">IF(OR(Tasks[[#This Row],[_ConstraintCode]]=2,Tasks[[#This Row],[_ConstraintCode]]=3,Tasks[[#This Row],[_ConstraintCode]]=5,Tasks[[#This Row],[_ConstraintCode]]=7),Tasks[[#This Row],[_ConstraintStart]],2958465)</f>
        <v>2958465</v>
      </c>
      <c r="CI11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7" s="115" t="str">
        <f aca="false">IF(NOT(Tasks[[#This Row],[_IsLeaf]]=1),"",IF(N(Tasks[[#This Row],[Duration]])&lt;=0,Tasks[[#This Row],[_LeafCalcStart]],WORKDAY.INTL(Tasks[[#This Row],[_LeafCalcStart]],Tasks[[#This Row],[Duration]]-1,WorkWeek,Holidays)))</f>
        <v/>
      </c>
      <c r="CK11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7" s="38" t="n">
        <f aca="false">IF(NOT(Tasks[[#This Row],[_IsLeaf]]=1),0,IF(N(Tasks[[#This Row],[Actual Finish]])&gt;0,1,MIN(1,N(Tasks[[#This Row],[% Complete]]))))</f>
        <v>0</v>
      </c>
      <c r="CN117" s="38" t="n">
        <f aca="false">IF(OR(NOT(Tasks[[#This Row],[_IsLeaf]]=1),Tasks[[#This Row],[Resource]]=""),0,N(Tasks[[#This Row],[Duration]])*HoursPerDay*IF(Tasks[[#This Row],[Units]]="",DefaultUnits,Tasks[[#This Row],[Units]]))</f>
        <v>0</v>
      </c>
      <c r="CO117" s="38" t="n">
        <f aca="false">IF(Tasks[[#This Row],[_LeafWork]]=0,0,Tasks[[#This Row],[_LeafWork]]*IFERROR(INDEX(res_Rate,MATCH(Tasks[[#This Row],[Resource]],res_Name,0)),0))</f>
        <v>0</v>
      </c>
      <c r="CP117" s="38" t="n">
        <f aca="false">Tasks[[#This Row],[_LeafWork]]+IF(Tasks[[#This Row],[_IsLeaf]]=1,SUMIFS(asg_Work,asg_TaskUID,Tasks[[#This Row],[UID]],asg_Valid,1),0)</f>
        <v>0</v>
      </c>
      <c r="CQ117" s="38" t="n">
        <f aca="false">Tasks[[#This Row],[_LeafCost]]+IF(Tasks[[#This Row],[_IsLeaf]]=1,SUMIFS(asg_Cost,asg_TaskUID,Tasks[[#This Row],[UID]],asg_Valid,1),0)</f>
        <v>0</v>
      </c>
      <c r="CR117" s="38" t="n">
        <f aca="false">IF(Tasks[[#This Row],[_LeafTotalCost]]=0,Tasks[[#This Row],[_LeafAC]],Tasks[[#This Row],[_LeafAC]]*Tasks[[#This Row],[_LeafCost]]/Tasks[[#This Row],[_LeafTotalCost]])</f>
        <v>0</v>
      </c>
      <c r="CS11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7" s="38" t="n">
        <f aca="false">IF(NOT(Tasks[[#This Row],[_IsLeaf]]=1),0,MAX(_xlfn.MAXIFS(Tasks[_Row],Tasks[Pred1 UID],Tasks[[#This Row],[UID]]),_xlfn.MAXIFS(Tasks[_Row],Tasks[Pred2 UID],Tasks[[#This Row],[UID]]),_xlfn.MAXIFS(Tasks[_Row],Tasks[Pred3 UID],Tasks[[#This Row],[UID]]),_xlfn.MAXIFS(Tasks[_Row],Tasks[Pred4 UID],Tasks[[#This Row],[UID]])))</f>
        <v>0</v>
      </c>
      <c r="DB11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7" s="115" t="str">
        <f aca="false">IF(NOT(Tasks[[#This Row],[_IsLeaf]]=1),"",IF(N(Tasks[[#This Row],[Duration]])&lt;=0,Tasks[[#This Row],[_LeafLateFinish]],WORKDAY.INTL(Tasks[[#This Row],[_LeafLateFinish]],-(Tasks[[#This Row],[Duration]]-1),WorkWeek,Holidays)))</f>
        <v/>
      </c>
      <c r="DE11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7" s="114" t="b">
        <f aca="false">AND(Tasks[[#This Row],[_IsLeaf]]=1,Tasks[[#This Row],[_LeafProgress]]&lt;1,N(Tasks[[#This Row],[_LeafTotalSlack]])&lt;=CriticalSlackDays)</f>
        <v>0</v>
      </c>
      <c r="DG117" s="38" t="n">
        <f aca="false">IF(AND(Tasks[[#This Row],[_IsLeaf]]=1,Tasks[[#This Row],[_ConstraintCode]]=1,Tasks[[#This Row],[Mode]]&lt;&gt;"Manual",N(Tasks[[#This Row],[Actual Start]])=0),MAX(0,N(Tasks[[#This Row],[Free Slack]])),0)</f>
        <v>0</v>
      </c>
      <c r="DH117" s="115" t="str">
        <f aca="false">IF(NOT(Tasks[[#This Row],[_IsLeaf]]=1),"",IF(Tasks[[#This Row],[_AlapShift]]=0,Tasks[[#This Row],[_LeafCalcStart]],WORKDAY.INTL(Tasks[[#This Row],[_LeafCalcStart]],Tasks[[#This Row],[_AlapShift]],WorkWeek,Holidays)))</f>
        <v/>
      </c>
      <c r="DI117" s="115" t="str">
        <f aca="false">IF(NOT(Tasks[[#This Row],[_IsLeaf]]=1),"",IF(Tasks[[#This Row],[_AlapShift]]=0,Tasks[[#This Row],[_LeafCalcFinish]],WORKDAY.INTL(Tasks[[#This Row],[_LeafCalcFinish]],Tasks[[#This Row],[_AlapShift]],WorkWeek,Holidays)))</f>
        <v/>
      </c>
      <c r="DJ117" s="115" t="str">
        <f aca="false">IF(NOT(Tasks[[#This Row],[_IsLeaf]]=1),"",IF(Tasks[[#This Row],[_AlapShift]]=0,Tasks[[#This Row],[_LeafFcstStart]],WORKDAY.INTL(Tasks[[#This Row],[_LeafFcstStart]],Tasks[[#This Row],[_AlapShift]],WorkWeek,Holidays)))</f>
        <v/>
      </c>
      <c r="DK117" s="115" t="str">
        <f aca="false">IF(NOT(Tasks[[#This Row],[_IsLeaf]]=1),"",IF(Tasks[[#This Row],[_AlapShift]]=0,Tasks[[#This Row],[_LeafFcstFinish]],WORKDAY.INTL(Tasks[[#This Row],[_LeafFcstFinish]],Tasks[[#This Row],[_AlapShift]],WorkWeek,Holidays)))</f>
        <v/>
      </c>
      <c r="DL117" s="115" t="str">
        <f aca="false">IF(Tasks[[#This Row],[Task Name]]="","",IF(Tasks[[#This Row],[_IsSummary]],MIN(INDEX(Tasks[_ShownCalcStart],Tasks[[#This Row],[_Row]]+1):INDEX(Tasks[_ShownCalcStart],Tasks[[#This Row],[_Row]]+Tasks[[#This Row],[_Descendants]])),Tasks[[#This Row],[_ShownCalcStart]]))</f>
        <v/>
      </c>
      <c r="DM117" s="115" t="str">
        <f aca="false">IF(Tasks[[#This Row],[Task Name]]="","",IF(Tasks[[#This Row],[_IsSummary]],MAX(INDEX(Tasks[_ShownCalcFinish],Tasks[[#This Row],[_Row]]+1):INDEX(Tasks[_ShownCalcFinish],Tasks[[#This Row],[_Row]]+Tasks[[#This Row],[_Descendants]])),Tasks[[#This Row],[_ShownCalcFinish]]))</f>
        <v/>
      </c>
      <c r="DN11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7" s="38" t="n">
        <f aca="false">IF(AND(Tasks[[#This Row],[_IsLeaf]]=1,Tasks[[#This Row],[_LeafTotalWork]]&gt;0),NETWORKDAYS.INTL(ProjectStart,Tasks[[#This Row],[_ShownFcstStart]],WorkWeek,Holidays),0)</f>
        <v>0</v>
      </c>
      <c r="EA117" s="38" t="n">
        <f aca="false">IF(AND(Tasks[[#This Row],[_IsLeaf]]=1,Tasks[[#This Row],[_LeafTotalWork]]&gt;0),MAX(Tasks[[#This Row],[_StartWorkday]],NETWORKDAYS.INTL(ProjectStart,Tasks[[#This Row],[_ShownFcstFinish]],WorkWeek,Holidays)),0)</f>
        <v>0</v>
      </c>
      <c r="EB117" s="38" t="n">
        <f aca="false">IF(AND(Tasks[[#This Row],[_IsLeaf]]=1,Tasks[[#This Row],[_LeafTotalWork]]&gt;0),Tasks[[#This Row],[_LeafWork]]/(Tasks[[#This Row],[_FinishWorkday]]-Tasks[[#This Row],[_StartWorkday]]+1),0)</f>
        <v>0</v>
      </c>
      <c r="EC117" s="38" t="n">
        <f aca="false">Tasks[[#This Row],[_WorkPerWorkday]]*(Tasks[[#This Row],[_StartWorkday]]-1)</f>
        <v>-0</v>
      </c>
      <c r="ED117" s="38" t="n">
        <f aca="false">IF(Tasks[[#This Row],[_IsLeaf]]=1,MAX(N(Tasks[[#This Row],[Duration]]),0.1),0)</f>
        <v>0</v>
      </c>
      <c r="EE117" s="38" t="n">
        <f aca="false">Tasks[[#This Row],[_WeightDur]]*Tasks[[#This Row],[_LeafProgress]]</f>
        <v>0</v>
      </c>
      <c r="EF11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7" s="38" t="str">
        <f aca="false">IF(AND(Tasks[[#This Row],[_IsLeaf]]=1,N(Tasks[[#This Row],[Duration]])=0,Tasks[[#This Row],[_LeafProgress]]&lt;1),Tasks[[#This Row],[_ShownFcstFinish]]+Tasks[[#This Row],[_Row]]/100000,"")</f>
        <v/>
      </c>
      <c r="EH11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7" s="38" t="n">
        <f aca="false">IF(NOT(Tasks[[#This Row],[_IsLeaf]]=1),0,IF(Tasks[[#This Row],[Baseline Cost]]="",Tasks[[#This Row],[_LeafTotalCost]],N(Tasks[[#This Row],[Baseline Cost]])))</f>
        <v>0</v>
      </c>
      <c r="EJ117" s="38" t="n">
        <f aca="false">Tasks[[#This Row],[_LeafBudget]]*Tasks[[#This Row],[_PlannedPct]]</f>
        <v>0</v>
      </c>
      <c r="EK117" s="38" t="n">
        <f aca="false">Tasks[[#This Row],[_LeafBudget]]*Tasks[[#This Row],[_LeafProgress]]</f>
        <v>0</v>
      </c>
      <c r="EL117" s="38" t="n">
        <f aca="false">IF(NOT(Tasks[[#This Row],[_IsLeaf]]=1),0,IF(Tasks[[#This Row],[Actual Cost]]="",Tasks[[#This Row],[_LeafTotalCost]]*Tasks[[#This Row],[_LeafProgress]],N(Tasks[[#This Row],[Actual Cost]])))</f>
        <v>0</v>
      </c>
      <c r="EM117" s="38" t="str">
        <f aca="false">IF(Tasks[[#This Row],[Task Name]]="","",LEFT(Tasks[[#This Row],[WBS]],FIND(".",Tasks[[#This Row],[WBS]]&amp;".")-1))</f>
        <v/>
      </c>
      <c r="EN117" s="38" t="str">
        <f aca="false">IF(AND(Tasks[[#This Row],[Task Name]]&lt;&gt;"",Tasks[[#This Row],[_Level]]=1),Tasks[[#This Row],[_Row]],"")</f>
        <v/>
      </c>
      <c r="EO117" s="38" t="str">
        <f aca="false">IF(AND(Tasks[[#This Row],[_IsLeaf]]=1,N(Tasks[[#This Row],[Duration]])=0),Tasks[[#This Row],[Planned Finish]]+Tasks[[#This Row],[_Row]]/100000,"")</f>
        <v/>
      </c>
      <c r="EP117" s="38" t="str">
        <f aca="false">IF(AND(Tasks[[#This Row],[_IsLeaf]]=1,Tasks[[#This Row],[_LeafProgress]]&lt;1,OR(N(Tasks[[#This Row],[Finish Var]])&gt;0,Tasks[[#This Row],[Status]]="Late Start")),MAX(0,Tasks[[#This Row],[Finish Var]])+1-Tasks[[#This Row],[_Row]]/1000000,"")</f>
        <v/>
      </c>
      <c r="EQ117" s="38" t="str">
        <f aca="false">IF(AND(Tasks[[#This Row],[_IsLeaf]]=1,N(Tasks[[#This Row],[Actual Start]])=0,Tasks[[#This Row],[_ShownFcstStart]]&gt;=StatusDate,Tasks[[#This Row],[_ShownFcstStart]]&lt;=LookaheadEnd),Tasks[[#This Row],[_ShownFcstStart]]+Tasks[[#This Row],[_Row]]/100000,"")</f>
        <v/>
      </c>
      <c r="ER117" s="38" t="str">
        <f aca="false">IF(AND(Tasks[[#This Row],[_IsLeaf]]=1,Tasks[[#This Row],[_LeafProgress]]&lt;1,Tasks[[#This Row],[_ShownFcstFinish]]&gt;=StatusDate,Tasks[[#This Row],[_ShownFcstFinish]]&lt;=LookaheadEnd),Tasks[[#This Row],[_ShownFcstFinish]]+Tasks[[#This Row],[_Row]]/100000,"")</f>
        <v/>
      </c>
      <c r="ES117" s="38" t="str">
        <f aca="false">IF(Tasks[[#This Row],[_LeafCritical]],Tasks[[#This Row],[_ShownFcstStart]]+Tasks[[#This Row],[_Row]]/100000,"")</f>
        <v/>
      </c>
      <c r="ET117" s="38" t="n">
        <f aca="false">Tasks[[#This Row],[_LeafWork]]*Tasks[[#This Row],[_LeafProgress]]</f>
        <v>0</v>
      </c>
      <c r="EU117" s="115" t="str">
        <f aca="false">IF(AND(Tasks[[#This Row],[_IsLeaf]]=1,Tasks[[#This Row],[_LeafProgress]]&gt;=1),IF(N(Tasks[[#This Row],[Actual Finish]])&gt;0,Tasks[[#This Row],[Actual Finish]],Tasks[[#This Row],[_ShownFcstFinish]]),"")</f>
        <v/>
      </c>
      <c r="EV117" s="38" t="n">
        <f aca="false">IF(Tasks[[#This Row],[_IsLeaf]]=1,N(Tasks[[#This Row],[Story Points]]),0)</f>
        <v>0</v>
      </c>
      <c r="EW117" s="38" t="str">
        <f aca="false">IF(AND(Tasks[[#This Row],[_IsLeaf]]=1,CurrentSprint&lt;&gt;"",Tasks[[#This Row],[Sprint]]=CurrentSprint),Tasks[[#This Row],[_Row]],"")</f>
        <v/>
      </c>
    </row>
    <row r="118" customFormat="false" ht="15" hidden="false" customHeight="false" outlineLevel="0" collapsed="false">
      <c r="A118" s="51" t="str">
        <f aca="false">IF(Tasks[[#This Row],[Task Name]]="","",COUNTA(Tasks[[#Headers],[Task Name]]:Tasks[[#This Row],[Task Name]])-1)</f>
        <v/>
      </c>
      <c r="B118" s="52" t="n">
        <v>113</v>
      </c>
      <c r="C11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52"/>
      <c r="E118" s="53"/>
      <c r="F118" s="52"/>
      <c r="G118" s="52"/>
      <c r="H118" s="52"/>
      <c r="I118" s="52"/>
      <c r="J118" s="52"/>
      <c r="K118" s="52"/>
      <c r="L118" s="52"/>
      <c r="M118" s="52"/>
      <c r="N118" s="52"/>
      <c r="O118" s="52"/>
      <c r="P118" s="52"/>
      <c r="Q118" s="52"/>
      <c r="R118" s="52"/>
      <c r="S118" s="53"/>
      <c r="T118" s="102"/>
      <c r="U118" s="102"/>
      <c r="V118" s="7"/>
      <c r="W118" s="7"/>
      <c r="X118" s="53"/>
      <c r="Y118" s="31" t="str">
        <f aca="false">IF(Tasks[[#This Row],[Task Name]]="","",IF(Tasks[[#This Row],[_IsSummary]],MIN(INDEX(Tasks[_ShownFcstStart],Tasks[[#This Row],[_Row]]+1):INDEX(Tasks[_ShownFcstStart],Tasks[[#This Row],[_Row]]+Tasks[[#This Row],[_Descendants]])),Tasks[[#This Row],[_ShownFcstStart]]))</f>
        <v/>
      </c>
      <c r="Z118" s="31" t="str">
        <f aca="false">IF(Tasks[[#This Row],[Task Name]]="","",IF(Tasks[[#This Row],[_IsSummary]],MAX(INDEX(Tasks[_ShownFcstFinish],Tasks[[#This Row],[_Row]]+1):INDEX(Tasks[_ShownFcstFinish],Tasks[[#This Row],[_Row]]+Tasks[[#This Row],[_Descendants]])),Tasks[[#This Row],[_ShownFcstFinish]]))</f>
        <v/>
      </c>
      <c r="AA118" s="51" t="str">
        <f aca="false">IF(Tasks[[#This Row],[Task Name]]="","",IF(Tasks[[#This Row],[Progress]]&gt;=1,"Complete",IF(OR(N(Tasks[[#This Row],[Actual Start]])&gt;0,Tasks[[#This Row],[Progress]]&gt;0),IF(Tasks[[#This Row],[Finish Var]]&gt;0,"Behind","In Progress"),IF(Tasks[[#This Row],[Planned Start]]&lt;StatusDate,"Late Start","Not Started"))))</f>
        <v/>
      </c>
      <c r="AB118" s="51" t="str">
        <f aca="false">IF(Tasks[[#This Row],[Task Name]]="","",IF(IF(Tasks[[#This Row],[_IsSummary]],COUNTIF(INDEX(Tasks[_LeafCritical],Tasks[[#This Row],[_Row]]+1):INDEX(Tasks[_LeafCritical],Tasks[[#This Row],[_Row]]+Tasks[[#This Row],[_Descendants]]),TRUE())&gt;0,Tasks[[#This Row],[_LeafCritical]]),"Yes",""))</f>
        <v/>
      </c>
      <c r="AC11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8" s="51" t="str">
        <f aca="false">IF(Tasks[[#This Row],[Task Name]]="","",IF(Tasks[[#This Row],[_Level]]&lt;=OutlineShowLevel,"Yes","No"))</f>
        <v/>
      </c>
      <c r="AE118" s="7"/>
      <c r="AF118" s="52"/>
      <c r="AG118" s="53"/>
      <c r="AH118" s="7"/>
      <c r="AI11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8" s="31" t="str">
        <f aca="false">IF(Tasks[[#This Row],[Task Name]]="","",IF(N(Tasks[[#This Row],[Baseline Start]])&gt;0,Tasks[[#This Row],[Baseline Start]],Tasks[[#This Row],[_CalcStart]]))</f>
        <v/>
      </c>
      <c r="AK118" s="31" t="str">
        <f aca="false">IF(Tasks[[#This Row],[Task Name]]="","",IF(N(Tasks[[#This Row],[Baseline Finish]])&gt;0,Tasks[[#This Row],[Baseline Finish]],Tasks[[#This Row],[_CalcFinish]]))</f>
        <v/>
      </c>
      <c r="AL11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8" s="31" t="str">
        <f aca="false">IF(Tasks[[#This Row],[Task Name]]="","",IF(Tasks[[#This Row],[_IsSummary]],MIN(INDEX(Tasks[_LeafLateStart],Tasks[[#This Row],[_Row]]+1):INDEX(Tasks[_LeafLateStart],Tasks[[#This Row],[_Row]]+Tasks[[#This Row],[_Descendants]])),Tasks[[#This Row],[_LeafLateStart]]))</f>
        <v/>
      </c>
      <c r="AN118" s="31" t="str">
        <f aca="false">IF(Tasks[[#This Row],[Task Name]]="","",IF(Tasks[[#This Row],[_IsSummary]],MAX(INDEX(Tasks[_LeafLateFinish],Tasks[[#This Row],[_Row]]+1):INDEX(Tasks[_LeafLateFinish],Tasks[[#This Row],[_Row]]+Tasks[[#This Row],[_Descendants]])),Tasks[[#This Row],[_LeafLateFinish]]))</f>
        <v/>
      </c>
      <c r="AO118" s="51" t="str">
        <f aca="false">IF(Tasks[[#This Row],[Task Name]]="","",IF(Tasks[[#This Row],[_IsSummary]],MIN(INDEX(Tasks[_LeafTotalSlack],Tasks[[#This Row],[_Row]]+1):INDEX(Tasks[_LeafTotalSlack],Tasks[[#This Row],[_Row]]+Tasks[[#This Row],[_Descendants]])),Tasks[[#This Row],[_LeafTotalSlack]]))</f>
        <v/>
      </c>
      <c r="AP11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8" s="110" t="str">
        <f aca="false">IF(Tasks[[#This Row],[Task Name]]="","",IF(Tasks[[#This Row],[_IsSummary]],SUM(INDEX(Tasks[_LeafTotalWork],Tasks[[#This Row],[_Row]]+1):INDEX(Tasks[_LeafTotalWork],Tasks[[#This Row],[_Row]]+Tasks[[#This Row],[_Descendants]])),Tasks[[#This Row],[_LeafTotalWork]]))</f>
        <v/>
      </c>
      <c r="AV11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8" s="111" t="str">
        <f aca="false">IF(Tasks[[#This Row],[Task Name]]="","",IF(Tasks[[#This Row],[_IsSummary]],SUM(INDEX(Tasks[_LeafTotalCost],Tasks[[#This Row],[_Row]]+1):INDEX(Tasks[_LeafTotalCost],Tasks[[#This Row],[_Row]]+Tasks[[#This Row],[_Descendants]])),Tasks[[#This Row],[_LeafTotalCost]]))</f>
        <v/>
      </c>
      <c r="AY118" s="112"/>
      <c r="AZ11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8" s="52"/>
      <c r="BB118" s="98"/>
      <c r="BC118" s="51" t="str">
        <f aca="false">IF(OR(Tasks[[#This Row],[Task Name]]="",Tasks[[#This Row],[Baseline Duration]]=""),"",Tasks[[#This Row],[BL Source Duration]]-N(Tasks[[#This Row],[Baseline Duration]]))</f>
        <v/>
      </c>
      <c r="BD118" s="110" t="str">
        <f aca="false">IF(OR(Tasks[[#This Row],[Task Name]]="",Tasks[[#This Row],[Baseline Work]]=""),"",Tasks[[#This Row],[Work]]-N(Tasks[[#This Row],[Baseline Work]]))</f>
        <v/>
      </c>
      <c r="BE118" s="111" t="str">
        <f aca="false">IF(OR(Tasks[[#This Row],[Task Name]]="",Tasks[[#This Row],[Baseline Cost]]=""),"",Tasks[[#This Row],[Cost]]-N(Tasks[[#This Row],[Baseline Cost]]))</f>
        <v/>
      </c>
      <c r="BF118" s="31" t="str">
        <f aca="false">IF(Tasks[[#This Row],[Task Name]]="","",Tasks[[#This Row],[Forecast Start]])</f>
        <v/>
      </c>
      <c r="BG118" s="31" t="str">
        <f aca="false">IF(Tasks[[#This Row],[Task Name]]="","",Tasks[[#This Row],[Forecast Finish]])</f>
        <v/>
      </c>
      <c r="BH118" s="51" t="str">
        <f aca="false">IF(Tasks[[#This Row],[Task Name]]="","",IF(Tasks[[#This Row],[_IsSummary]],NETWORKDAYS.INTL(Tasks[[#This Row],[Forecast Start]],Tasks[[#This Row],[Forecast Finish]],WorkWeek,Holidays),N(Tasks[[#This Row],[Duration]])))</f>
        <v/>
      </c>
      <c r="BI118" s="110" t="str">
        <f aca="false">IF(Tasks[[#This Row],[Task Name]]="","",Tasks[[#This Row],[Work]])</f>
        <v/>
      </c>
      <c r="BJ118" s="111" t="str">
        <f aca="false">IF(Tasks[[#This Row],[Task Name]]="","",Tasks[[#This Row],[Cost]])</f>
        <v/>
      </c>
      <c r="BK118" s="7"/>
      <c r="BL118" s="7"/>
      <c r="BM118" s="52"/>
      <c r="BN118" s="113"/>
      <c r="BO118" s="112"/>
      <c r="BP118" s="111" t="str">
        <f aca="false">IF(Tasks[[#This Row],[Task Name]]="","",IF(Tasks[[#This Row],[_IsSummary]],SUM(INDEX(Tasks[_LeafEV],Tasks[[#This Row],[_Row]]+1):INDEX(Tasks[_LeafEV],Tasks[[#This Row],[_Row]]+Tasks[[#This Row],[_Descendants]])),Tasks[[#This Row],[_LeafEV]]))</f>
        <v/>
      </c>
      <c r="BQ118" s="111" t="str">
        <f aca="false">IF(Tasks[[#This Row],[Task Name]]="","",IF(Tasks[[#This Row],[_IsSummary]],SUM(INDEX(Tasks[_LeafBudget],Tasks[[#This Row],[_Row]]+1):INDEX(Tasks[_LeafBudget],Tasks[[#This Row],[_Row]]+Tasks[[#This Row],[_Descendants]])),Tasks[[#This Row],[_LeafBudget]]))</f>
        <v/>
      </c>
      <c r="BR118" s="111" t="str">
        <f aca="false">IF(Tasks[[#This Row],[Task Name]]="","",IF(Tasks[[#This Row],[_IsSummary]],SUM(INDEX(Tasks[_LeafPV],Tasks[[#This Row],[_Row]]+1):INDEX(Tasks[_LeafPV],Tasks[[#This Row],[_Row]]+Tasks[[#This Row],[_Descendants]])),Tasks[[#This Row],[_LeafPV]]))</f>
        <v/>
      </c>
      <c r="BS118" s="111" t="str">
        <f aca="false">IF(Tasks[[#This Row],[Task Name]]="","",IF(Tasks[[#This Row],[_IsSummary]],SUM(INDEX(Tasks[_LeafAC],Tasks[[#This Row],[_Row]]+1):INDEX(Tasks[_LeafAC],Tasks[[#This Row],[_Row]]+Tasks[[#This Row],[_Descendants]])),Tasks[[#This Row],[_LeafAC]]))</f>
        <v/>
      </c>
      <c r="BT118" s="38" t="str">
        <f aca="false">IF(Tasks[[#This Row],[Task Name]]="","",MAX(1,N(Tasks[[#This Row],[Level]])))</f>
        <v/>
      </c>
      <c r="BU118" s="38" t="n">
        <f aca="false">ROW()-ROW(Tasks[[#Headers],[ID]])</f>
        <v>113</v>
      </c>
      <c r="BV118" s="38" t="n">
        <f aca="false">IF(OR(Tasks[[#This Row],[Task Name]]="",Tasks[[#This Row],[_Level]]&lt;=1),0,IFERROR(LOOKUP(2,1/(Tasks[[#Headers],[_Level]]:Tasks[[#This Row],[_Level]]=Tasks[[#This Row],[_Level]]-1),ROW(Tasks[[#Headers],[_Level]]:Tasks[[#This Row],[_Level]])),0))</f>
        <v>0</v>
      </c>
      <c r="BW118" s="38" t="n">
        <f aca="false">IFERROR(N(INDEX(Tasks[_Level],Tasks[[#This Row],[_Row]]+1)),0)</f>
        <v>0</v>
      </c>
      <c r="BX118" s="114" t="b">
        <f aca="false">AND(Tasks[[#This Row],[Task Name]]&lt;&gt;"",Tasks[[#This Row],[_NextLevel]]&gt;Tasks[[#This Row],[_Level]])</f>
        <v>0</v>
      </c>
      <c r="BY118" s="38" t="n">
        <f aca="false">IF(Tasks[[#This Row],[_IsSummary]],COUNTIF(Tasks[WBS],Tasks[[#This Row],[WBS]]&amp;".*"),0)</f>
        <v>0</v>
      </c>
      <c r="BZ118" s="38" t="n">
        <f aca="false">IF(AND(Tasks[[#This Row],[Task Name]]&lt;&gt;"",NOT(Tasks[[#This Row],[_IsSummary]])),1,0)</f>
        <v>0</v>
      </c>
      <c r="CA118" s="38" t="n">
        <f aca="false">IF(N(Tasks[[#This Row],[Pred1 UID]])=0,0,IFERROR(MATCH(Tasks[[#This Row],[Pred1 UID]],Tasks[UID],0),-1))</f>
        <v>0</v>
      </c>
      <c r="CB118" s="38" t="n">
        <f aca="false">IF(N(Tasks[[#This Row],[Pred2 UID]])=0,0,IFERROR(MATCH(Tasks[[#This Row],[Pred2 UID]],Tasks[UID],0),-1))</f>
        <v>0</v>
      </c>
      <c r="CC118" s="38" t="n">
        <f aca="false">IF(N(Tasks[[#This Row],[Pred3 UID]])=0,0,IFERROR(MATCH(Tasks[[#This Row],[Pred3 UID]],Tasks[UID],0),-1))</f>
        <v>0</v>
      </c>
      <c r="CD118" s="38" t="n">
        <f aca="false">IF(N(Tasks[[#This Row],[Pred4 UID]])=0,0,IFERROR(MATCH(Tasks[[#This Row],[Pred4 UID]],Tasks[UID],0),-1))</f>
        <v>0</v>
      </c>
      <c r="CE11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8" s="115" t="n">
        <f aca="false">IF(OR(Tasks[[#This Row],[_ConstraintCode]]=2,Tasks[[#This Row],[_ConstraintCode]]=3,Tasks[[#This Row],[_ConstraintCode]]=4,Tasks[[#This Row],[_ConstraintCode]]=6),Tasks[[#This Row],[_ConstraintStart]],0)</f>
        <v>0</v>
      </c>
      <c r="CH118" s="115" t="n">
        <f aca="false">IF(OR(Tasks[[#This Row],[_ConstraintCode]]=2,Tasks[[#This Row],[_ConstraintCode]]=3,Tasks[[#This Row],[_ConstraintCode]]=5,Tasks[[#This Row],[_ConstraintCode]]=7),Tasks[[#This Row],[_ConstraintStart]],2958465)</f>
        <v>2958465</v>
      </c>
      <c r="CI11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8" s="115" t="str">
        <f aca="false">IF(NOT(Tasks[[#This Row],[_IsLeaf]]=1),"",IF(N(Tasks[[#This Row],[Duration]])&lt;=0,Tasks[[#This Row],[_LeafCalcStart]],WORKDAY.INTL(Tasks[[#This Row],[_LeafCalcStart]],Tasks[[#This Row],[Duration]]-1,WorkWeek,Holidays)))</f>
        <v/>
      </c>
      <c r="CK11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8" s="38" t="n">
        <f aca="false">IF(NOT(Tasks[[#This Row],[_IsLeaf]]=1),0,IF(N(Tasks[[#This Row],[Actual Finish]])&gt;0,1,MIN(1,N(Tasks[[#This Row],[% Complete]]))))</f>
        <v>0</v>
      </c>
      <c r="CN118" s="38" t="n">
        <f aca="false">IF(OR(NOT(Tasks[[#This Row],[_IsLeaf]]=1),Tasks[[#This Row],[Resource]]=""),0,N(Tasks[[#This Row],[Duration]])*HoursPerDay*IF(Tasks[[#This Row],[Units]]="",DefaultUnits,Tasks[[#This Row],[Units]]))</f>
        <v>0</v>
      </c>
      <c r="CO118" s="38" t="n">
        <f aca="false">IF(Tasks[[#This Row],[_LeafWork]]=0,0,Tasks[[#This Row],[_LeafWork]]*IFERROR(INDEX(res_Rate,MATCH(Tasks[[#This Row],[Resource]],res_Name,0)),0))</f>
        <v>0</v>
      </c>
      <c r="CP118" s="38" t="n">
        <f aca="false">Tasks[[#This Row],[_LeafWork]]+IF(Tasks[[#This Row],[_IsLeaf]]=1,SUMIFS(asg_Work,asg_TaskUID,Tasks[[#This Row],[UID]],asg_Valid,1),0)</f>
        <v>0</v>
      </c>
      <c r="CQ118" s="38" t="n">
        <f aca="false">Tasks[[#This Row],[_LeafCost]]+IF(Tasks[[#This Row],[_IsLeaf]]=1,SUMIFS(asg_Cost,asg_TaskUID,Tasks[[#This Row],[UID]],asg_Valid,1),0)</f>
        <v>0</v>
      </c>
      <c r="CR118" s="38" t="n">
        <f aca="false">IF(Tasks[[#This Row],[_LeafTotalCost]]=0,Tasks[[#This Row],[_LeafAC]],Tasks[[#This Row],[_LeafAC]]*Tasks[[#This Row],[_LeafCost]]/Tasks[[#This Row],[_LeafTotalCost]])</f>
        <v>0</v>
      </c>
      <c r="CS11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8" s="38" t="n">
        <f aca="false">IF(NOT(Tasks[[#This Row],[_IsLeaf]]=1),0,MAX(_xlfn.MAXIFS(Tasks[_Row],Tasks[Pred1 UID],Tasks[[#This Row],[UID]]),_xlfn.MAXIFS(Tasks[_Row],Tasks[Pred2 UID],Tasks[[#This Row],[UID]]),_xlfn.MAXIFS(Tasks[_Row],Tasks[Pred3 UID],Tasks[[#This Row],[UID]]),_xlfn.MAXIFS(Tasks[_Row],Tasks[Pred4 UID],Tasks[[#This Row],[UID]])))</f>
        <v>0</v>
      </c>
      <c r="DB11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8" s="115" t="str">
        <f aca="false">IF(NOT(Tasks[[#This Row],[_IsLeaf]]=1),"",IF(N(Tasks[[#This Row],[Duration]])&lt;=0,Tasks[[#This Row],[_LeafLateFinish]],WORKDAY.INTL(Tasks[[#This Row],[_LeafLateFinish]],-(Tasks[[#This Row],[Duration]]-1),WorkWeek,Holidays)))</f>
        <v/>
      </c>
      <c r="DE11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8" s="114" t="b">
        <f aca="false">AND(Tasks[[#This Row],[_IsLeaf]]=1,Tasks[[#This Row],[_LeafProgress]]&lt;1,N(Tasks[[#This Row],[_LeafTotalSlack]])&lt;=CriticalSlackDays)</f>
        <v>0</v>
      </c>
      <c r="DG118" s="38" t="n">
        <f aca="false">IF(AND(Tasks[[#This Row],[_IsLeaf]]=1,Tasks[[#This Row],[_ConstraintCode]]=1,Tasks[[#This Row],[Mode]]&lt;&gt;"Manual",N(Tasks[[#This Row],[Actual Start]])=0),MAX(0,N(Tasks[[#This Row],[Free Slack]])),0)</f>
        <v>0</v>
      </c>
      <c r="DH118" s="115" t="str">
        <f aca="false">IF(NOT(Tasks[[#This Row],[_IsLeaf]]=1),"",IF(Tasks[[#This Row],[_AlapShift]]=0,Tasks[[#This Row],[_LeafCalcStart]],WORKDAY.INTL(Tasks[[#This Row],[_LeafCalcStart]],Tasks[[#This Row],[_AlapShift]],WorkWeek,Holidays)))</f>
        <v/>
      </c>
      <c r="DI118" s="115" t="str">
        <f aca="false">IF(NOT(Tasks[[#This Row],[_IsLeaf]]=1),"",IF(Tasks[[#This Row],[_AlapShift]]=0,Tasks[[#This Row],[_LeafCalcFinish]],WORKDAY.INTL(Tasks[[#This Row],[_LeafCalcFinish]],Tasks[[#This Row],[_AlapShift]],WorkWeek,Holidays)))</f>
        <v/>
      </c>
      <c r="DJ118" s="115" t="str">
        <f aca="false">IF(NOT(Tasks[[#This Row],[_IsLeaf]]=1),"",IF(Tasks[[#This Row],[_AlapShift]]=0,Tasks[[#This Row],[_LeafFcstStart]],WORKDAY.INTL(Tasks[[#This Row],[_LeafFcstStart]],Tasks[[#This Row],[_AlapShift]],WorkWeek,Holidays)))</f>
        <v/>
      </c>
      <c r="DK118" s="115" t="str">
        <f aca="false">IF(NOT(Tasks[[#This Row],[_IsLeaf]]=1),"",IF(Tasks[[#This Row],[_AlapShift]]=0,Tasks[[#This Row],[_LeafFcstFinish]],WORKDAY.INTL(Tasks[[#This Row],[_LeafFcstFinish]],Tasks[[#This Row],[_AlapShift]],WorkWeek,Holidays)))</f>
        <v/>
      </c>
      <c r="DL118" s="115" t="str">
        <f aca="false">IF(Tasks[[#This Row],[Task Name]]="","",IF(Tasks[[#This Row],[_IsSummary]],MIN(INDEX(Tasks[_ShownCalcStart],Tasks[[#This Row],[_Row]]+1):INDEX(Tasks[_ShownCalcStart],Tasks[[#This Row],[_Row]]+Tasks[[#This Row],[_Descendants]])),Tasks[[#This Row],[_ShownCalcStart]]))</f>
        <v/>
      </c>
      <c r="DM118" s="115" t="str">
        <f aca="false">IF(Tasks[[#This Row],[Task Name]]="","",IF(Tasks[[#This Row],[_IsSummary]],MAX(INDEX(Tasks[_ShownCalcFinish],Tasks[[#This Row],[_Row]]+1):INDEX(Tasks[_ShownCalcFinish],Tasks[[#This Row],[_Row]]+Tasks[[#This Row],[_Descendants]])),Tasks[[#This Row],[_ShownCalcFinish]]))</f>
        <v/>
      </c>
      <c r="DN11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8" s="38" t="n">
        <f aca="false">IF(AND(Tasks[[#This Row],[_IsLeaf]]=1,Tasks[[#This Row],[_LeafTotalWork]]&gt;0),NETWORKDAYS.INTL(ProjectStart,Tasks[[#This Row],[_ShownFcstStart]],WorkWeek,Holidays),0)</f>
        <v>0</v>
      </c>
      <c r="EA118" s="38" t="n">
        <f aca="false">IF(AND(Tasks[[#This Row],[_IsLeaf]]=1,Tasks[[#This Row],[_LeafTotalWork]]&gt;0),MAX(Tasks[[#This Row],[_StartWorkday]],NETWORKDAYS.INTL(ProjectStart,Tasks[[#This Row],[_ShownFcstFinish]],WorkWeek,Holidays)),0)</f>
        <v>0</v>
      </c>
      <c r="EB118" s="38" t="n">
        <f aca="false">IF(AND(Tasks[[#This Row],[_IsLeaf]]=1,Tasks[[#This Row],[_LeafTotalWork]]&gt;0),Tasks[[#This Row],[_LeafWork]]/(Tasks[[#This Row],[_FinishWorkday]]-Tasks[[#This Row],[_StartWorkday]]+1),0)</f>
        <v>0</v>
      </c>
      <c r="EC118" s="38" t="n">
        <f aca="false">Tasks[[#This Row],[_WorkPerWorkday]]*(Tasks[[#This Row],[_StartWorkday]]-1)</f>
        <v>-0</v>
      </c>
      <c r="ED118" s="38" t="n">
        <f aca="false">IF(Tasks[[#This Row],[_IsLeaf]]=1,MAX(N(Tasks[[#This Row],[Duration]]),0.1),0)</f>
        <v>0</v>
      </c>
      <c r="EE118" s="38" t="n">
        <f aca="false">Tasks[[#This Row],[_WeightDur]]*Tasks[[#This Row],[_LeafProgress]]</f>
        <v>0</v>
      </c>
      <c r="EF11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8" s="38" t="str">
        <f aca="false">IF(AND(Tasks[[#This Row],[_IsLeaf]]=1,N(Tasks[[#This Row],[Duration]])=0,Tasks[[#This Row],[_LeafProgress]]&lt;1),Tasks[[#This Row],[_ShownFcstFinish]]+Tasks[[#This Row],[_Row]]/100000,"")</f>
        <v/>
      </c>
      <c r="EH11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8" s="38" t="n">
        <f aca="false">IF(NOT(Tasks[[#This Row],[_IsLeaf]]=1),0,IF(Tasks[[#This Row],[Baseline Cost]]="",Tasks[[#This Row],[_LeafTotalCost]],N(Tasks[[#This Row],[Baseline Cost]])))</f>
        <v>0</v>
      </c>
      <c r="EJ118" s="38" t="n">
        <f aca="false">Tasks[[#This Row],[_LeafBudget]]*Tasks[[#This Row],[_PlannedPct]]</f>
        <v>0</v>
      </c>
      <c r="EK118" s="38" t="n">
        <f aca="false">Tasks[[#This Row],[_LeafBudget]]*Tasks[[#This Row],[_LeafProgress]]</f>
        <v>0</v>
      </c>
      <c r="EL118" s="38" t="n">
        <f aca="false">IF(NOT(Tasks[[#This Row],[_IsLeaf]]=1),0,IF(Tasks[[#This Row],[Actual Cost]]="",Tasks[[#This Row],[_LeafTotalCost]]*Tasks[[#This Row],[_LeafProgress]],N(Tasks[[#This Row],[Actual Cost]])))</f>
        <v>0</v>
      </c>
      <c r="EM118" s="38" t="str">
        <f aca="false">IF(Tasks[[#This Row],[Task Name]]="","",LEFT(Tasks[[#This Row],[WBS]],FIND(".",Tasks[[#This Row],[WBS]]&amp;".")-1))</f>
        <v/>
      </c>
      <c r="EN118" s="38" t="str">
        <f aca="false">IF(AND(Tasks[[#This Row],[Task Name]]&lt;&gt;"",Tasks[[#This Row],[_Level]]=1),Tasks[[#This Row],[_Row]],"")</f>
        <v/>
      </c>
      <c r="EO118" s="38" t="str">
        <f aca="false">IF(AND(Tasks[[#This Row],[_IsLeaf]]=1,N(Tasks[[#This Row],[Duration]])=0),Tasks[[#This Row],[Planned Finish]]+Tasks[[#This Row],[_Row]]/100000,"")</f>
        <v/>
      </c>
      <c r="EP118" s="38" t="str">
        <f aca="false">IF(AND(Tasks[[#This Row],[_IsLeaf]]=1,Tasks[[#This Row],[_LeafProgress]]&lt;1,OR(N(Tasks[[#This Row],[Finish Var]])&gt;0,Tasks[[#This Row],[Status]]="Late Start")),MAX(0,Tasks[[#This Row],[Finish Var]])+1-Tasks[[#This Row],[_Row]]/1000000,"")</f>
        <v/>
      </c>
      <c r="EQ118" s="38" t="str">
        <f aca="false">IF(AND(Tasks[[#This Row],[_IsLeaf]]=1,N(Tasks[[#This Row],[Actual Start]])=0,Tasks[[#This Row],[_ShownFcstStart]]&gt;=StatusDate,Tasks[[#This Row],[_ShownFcstStart]]&lt;=LookaheadEnd),Tasks[[#This Row],[_ShownFcstStart]]+Tasks[[#This Row],[_Row]]/100000,"")</f>
        <v/>
      </c>
      <c r="ER118" s="38" t="str">
        <f aca="false">IF(AND(Tasks[[#This Row],[_IsLeaf]]=1,Tasks[[#This Row],[_LeafProgress]]&lt;1,Tasks[[#This Row],[_ShownFcstFinish]]&gt;=StatusDate,Tasks[[#This Row],[_ShownFcstFinish]]&lt;=LookaheadEnd),Tasks[[#This Row],[_ShownFcstFinish]]+Tasks[[#This Row],[_Row]]/100000,"")</f>
        <v/>
      </c>
      <c r="ES118" s="38" t="str">
        <f aca="false">IF(Tasks[[#This Row],[_LeafCritical]],Tasks[[#This Row],[_ShownFcstStart]]+Tasks[[#This Row],[_Row]]/100000,"")</f>
        <v/>
      </c>
      <c r="ET118" s="38" t="n">
        <f aca="false">Tasks[[#This Row],[_LeafWork]]*Tasks[[#This Row],[_LeafProgress]]</f>
        <v>0</v>
      </c>
      <c r="EU118" s="115" t="str">
        <f aca="false">IF(AND(Tasks[[#This Row],[_IsLeaf]]=1,Tasks[[#This Row],[_LeafProgress]]&gt;=1),IF(N(Tasks[[#This Row],[Actual Finish]])&gt;0,Tasks[[#This Row],[Actual Finish]],Tasks[[#This Row],[_ShownFcstFinish]]),"")</f>
        <v/>
      </c>
      <c r="EV118" s="38" t="n">
        <f aca="false">IF(Tasks[[#This Row],[_IsLeaf]]=1,N(Tasks[[#This Row],[Story Points]]),0)</f>
        <v>0</v>
      </c>
      <c r="EW118" s="38" t="str">
        <f aca="false">IF(AND(Tasks[[#This Row],[_IsLeaf]]=1,CurrentSprint&lt;&gt;"",Tasks[[#This Row],[Sprint]]=CurrentSprint),Tasks[[#This Row],[_Row]],"")</f>
        <v/>
      </c>
    </row>
    <row r="119" customFormat="false" ht="15" hidden="false" customHeight="false" outlineLevel="0" collapsed="false">
      <c r="A119" s="51" t="str">
        <f aca="false">IF(Tasks[[#This Row],[Task Name]]="","",COUNTA(Tasks[[#Headers],[Task Name]]:Tasks[[#This Row],[Task Name]])-1)</f>
        <v/>
      </c>
      <c r="B119" s="52" t="n">
        <v>114</v>
      </c>
      <c r="C11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52"/>
      <c r="E119" s="53"/>
      <c r="F119" s="52"/>
      <c r="G119" s="52"/>
      <c r="H119" s="52"/>
      <c r="I119" s="52"/>
      <c r="J119" s="52"/>
      <c r="K119" s="52"/>
      <c r="L119" s="52"/>
      <c r="M119" s="52"/>
      <c r="N119" s="52"/>
      <c r="O119" s="52"/>
      <c r="P119" s="52"/>
      <c r="Q119" s="52"/>
      <c r="R119" s="52"/>
      <c r="S119" s="53"/>
      <c r="T119" s="102"/>
      <c r="U119" s="102"/>
      <c r="V119" s="7"/>
      <c r="W119" s="7"/>
      <c r="X119" s="53"/>
      <c r="Y119" s="31" t="str">
        <f aca="false">IF(Tasks[[#This Row],[Task Name]]="","",IF(Tasks[[#This Row],[_IsSummary]],MIN(INDEX(Tasks[_ShownFcstStart],Tasks[[#This Row],[_Row]]+1):INDEX(Tasks[_ShownFcstStart],Tasks[[#This Row],[_Row]]+Tasks[[#This Row],[_Descendants]])),Tasks[[#This Row],[_ShownFcstStart]]))</f>
        <v/>
      </c>
      <c r="Z119" s="31" t="str">
        <f aca="false">IF(Tasks[[#This Row],[Task Name]]="","",IF(Tasks[[#This Row],[_IsSummary]],MAX(INDEX(Tasks[_ShownFcstFinish],Tasks[[#This Row],[_Row]]+1):INDEX(Tasks[_ShownFcstFinish],Tasks[[#This Row],[_Row]]+Tasks[[#This Row],[_Descendants]])),Tasks[[#This Row],[_ShownFcstFinish]]))</f>
        <v/>
      </c>
      <c r="AA119" s="51" t="str">
        <f aca="false">IF(Tasks[[#This Row],[Task Name]]="","",IF(Tasks[[#This Row],[Progress]]&gt;=1,"Complete",IF(OR(N(Tasks[[#This Row],[Actual Start]])&gt;0,Tasks[[#This Row],[Progress]]&gt;0),IF(Tasks[[#This Row],[Finish Var]]&gt;0,"Behind","In Progress"),IF(Tasks[[#This Row],[Planned Start]]&lt;StatusDate,"Late Start","Not Started"))))</f>
        <v/>
      </c>
      <c r="AB119" s="51" t="str">
        <f aca="false">IF(Tasks[[#This Row],[Task Name]]="","",IF(IF(Tasks[[#This Row],[_IsSummary]],COUNTIF(INDEX(Tasks[_LeafCritical],Tasks[[#This Row],[_Row]]+1):INDEX(Tasks[_LeafCritical],Tasks[[#This Row],[_Row]]+Tasks[[#This Row],[_Descendants]]),TRUE())&gt;0,Tasks[[#This Row],[_LeafCritical]]),"Yes",""))</f>
        <v/>
      </c>
      <c r="AC11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9" s="51" t="str">
        <f aca="false">IF(Tasks[[#This Row],[Task Name]]="","",IF(Tasks[[#This Row],[_Level]]&lt;=OutlineShowLevel,"Yes","No"))</f>
        <v/>
      </c>
      <c r="AE119" s="7"/>
      <c r="AF119" s="52"/>
      <c r="AG119" s="53"/>
      <c r="AH119" s="7"/>
      <c r="AI11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9" s="31" t="str">
        <f aca="false">IF(Tasks[[#This Row],[Task Name]]="","",IF(N(Tasks[[#This Row],[Baseline Start]])&gt;0,Tasks[[#This Row],[Baseline Start]],Tasks[[#This Row],[_CalcStart]]))</f>
        <v/>
      </c>
      <c r="AK119" s="31" t="str">
        <f aca="false">IF(Tasks[[#This Row],[Task Name]]="","",IF(N(Tasks[[#This Row],[Baseline Finish]])&gt;0,Tasks[[#This Row],[Baseline Finish]],Tasks[[#This Row],[_CalcFinish]]))</f>
        <v/>
      </c>
      <c r="AL11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9" s="31" t="str">
        <f aca="false">IF(Tasks[[#This Row],[Task Name]]="","",IF(Tasks[[#This Row],[_IsSummary]],MIN(INDEX(Tasks[_LeafLateStart],Tasks[[#This Row],[_Row]]+1):INDEX(Tasks[_LeafLateStart],Tasks[[#This Row],[_Row]]+Tasks[[#This Row],[_Descendants]])),Tasks[[#This Row],[_LeafLateStart]]))</f>
        <v/>
      </c>
      <c r="AN119" s="31" t="str">
        <f aca="false">IF(Tasks[[#This Row],[Task Name]]="","",IF(Tasks[[#This Row],[_IsSummary]],MAX(INDEX(Tasks[_LeafLateFinish],Tasks[[#This Row],[_Row]]+1):INDEX(Tasks[_LeafLateFinish],Tasks[[#This Row],[_Row]]+Tasks[[#This Row],[_Descendants]])),Tasks[[#This Row],[_LeafLateFinish]]))</f>
        <v/>
      </c>
      <c r="AO119" s="51" t="str">
        <f aca="false">IF(Tasks[[#This Row],[Task Name]]="","",IF(Tasks[[#This Row],[_IsSummary]],MIN(INDEX(Tasks[_LeafTotalSlack],Tasks[[#This Row],[_Row]]+1):INDEX(Tasks[_LeafTotalSlack],Tasks[[#This Row],[_Row]]+Tasks[[#This Row],[_Descendants]])),Tasks[[#This Row],[_LeafTotalSlack]]))</f>
        <v/>
      </c>
      <c r="AP11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9" s="110" t="str">
        <f aca="false">IF(Tasks[[#This Row],[Task Name]]="","",IF(Tasks[[#This Row],[_IsSummary]],SUM(INDEX(Tasks[_LeafTotalWork],Tasks[[#This Row],[_Row]]+1):INDEX(Tasks[_LeafTotalWork],Tasks[[#This Row],[_Row]]+Tasks[[#This Row],[_Descendants]])),Tasks[[#This Row],[_LeafTotalWork]]))</f>
        <v/>
      </c>
      <c r="AV11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9" s="111" t="str">
        <f aca="false">IF(Tasks[[#This Row],[Task Name]]="","",IF(Tasks[[#This Row],[_IsSummary]],SUM(INDEX(Tasks[_LeafTotalCost],Tasks[[#This Row],[_Row]]+1):INDEX(Tasks[_LeafTotalCost],Tasks[[#This Row],[_Row]]+Tasks[[#This Row],[_Descendants]])),Tasks[[#This Row],[_LeafTotalCost]]))</f>
        <v/>
      </c>
      <c r="AY119" s="112"/>
      <c r="AZ11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9" s="52"/>
      <c r="BB119" s="98"/>
      <c r="BC119" s="51" t="str">
        <f aca="false">IF(OR(Tasks[[#This Row],[Task Name]]="",Tasks[[#This Row],[Baseline Duration]]=""),"",Tasks[[#This Row],[BL Source Duration]]-N(Tasks[[#This Row],[Baseline Duration]]))</f>
        <v/>
      </c>
      <c r="BD119" s="110" t="str">
        <f aca="false">IF(OR(Tasks[[#This Row],[Task Name]]="",Tasks[[#This Row],[Baseline Work]]=""),"",Tasks[[#This Row],[Work]]-N(Tasks[[#This Row],[Baseline Work]]))</f>
        <v/>
      </c>
      <c r="BE119" s="111" t="str">
        <f aca="false">IF(OR(Tasks[[#This Row],[Task Name]]="",Tasks[[#This Row],[Baseline Cost]]=""),"",Tasks[[#This Row],[Cost]]-N(Tasks[[#This Row],[Baseline Cost]]))</f>
        <v/>
      </c>
      <c r="BF119" s="31" t="str">
        <f aca="false">IF(Tasks[[#This Row],[Task Name]]="","",Tasks[[#This Row],[Forecast Start]])</f>
        <v/>
      </c>
      <c r="BG119" s="31" t="str">
        <f aca="false">IF(Tasks[[#This Row],[Task Name]]="","",Tasks[[#This Row],[Forecast Finish]])</f>
        <v/>
      </c>
      <c r="BH119" s="51" t="str">
        <f aca="false">IF(Tasks[[#This Row],[Task Name]]="","",IF(Tasks[[#This Row],[_IsSummary]],NETWORKDAYS.INTL(Tasks[[#This Row],[Forecast Start]],Tasks[[#This Row],[Forecast Finish]],WorkWeek,Holidays),N(Tasks[[#This Row],[Duration]])))</f>
        <v/>
      </c>
      <c r="BI119" s="110" t="str">
        <f aca="false">IF(Tasks[[#This Row],[Task Name]]="","",Tasks[[#This Row],[Work]])</f>
        <v/>
      </c>
      <c r="BJ119" s="111" t="str">
        <f aca="false">IF(Tasks[[#This Row],[Task Name]]="","",Tasks[[#This Row],[Cost]])</f>
        <v/>
      </c>
      <c r="BK119" s="7"/>
      <c r="BL119" s="7"/>
      <c r="BM119" s="52"/>
      <c r="BN119" s="113"/>
      <c r="BO119" s="112"/>
      <c r="BP119" s="111" t="str">
        <f aca="false">IF(Tasks[[#This Row],[Task Name]]="","",IF(Tasks[[#This Row],[_IsSummary]],SUM(INDEX(Tasks[_LeafEV],Tasks[[#This Row],[_Row]]+1):INDEX(Tasks[_LeafEV],Tasks[[#This Row],[_Row]]+Tasks[[#This Row],[_Descendants]])),Tasks[[#This Row],[_LeafEV]]))</f>
        <v/>
      </c>
      <c r="BQ119" s="111" t="str">
        <f aca="false">IF(Tasks[[#This Row],[Task Name]]="","",IF(Tasks[[#This Row],[_IsSummary]],SUM(INDEX(Tasks[_LeafBudget],Tasks[[#This Row],[_Row]]+1):INDEX(Tasks[_LeafBudget],Tasks[[#This Row],[_Row]]+Tasks[[#This Row],[_Descendants]])),Tasks[[#This Row],[_LeafBudget]]))</f>
        <v/>
      </c>
      <c r="BR119" s="111" t="str">
        <f aca="false">IF(Tasks[[#This Row],[Task Name]]="","",IF(Tasks[[#This Row],[_IsSummary]],SUM(INDEX(Tasks[_LeafPV],Tasks[[#This Row],[_Row]]+1):INDEX(Tasks[_LeafPV],Tasks[[#This Row],[_Row]]+Tasks[[#This Row],[_Descendants]])),Tasks[[#This Row],[_LeafPV]]))</f>
        <v/>
      </c>
      <c r="BS119" s="111" t="str">
        <f aca="false">IF(Tasks[[#This Row],[Task Name]]="","",IF(Tasks[[#This Row],[_IsSummary]],SUM(INDEX(Tasks[_LeafAC],Tasks[[#This Row],[_Row]]+1):INDEX(Tasks[_LeafAC],Tasks[[#This Row],[_Row]]+Tasks[[#This Row],[_Descendants]])),Tasks[[#This Row],[_LeafAC]]))</f>
        <v/>
      </c>
      <c r="BT119" s="38" t="str">
        <f aca="false">IF(Tasks[[#This Row],[Task Name]]="","",MAX(1,N(Tasks[[#This Row],[Level]])))</f>
        <v/>
      </c>
      <c r="BU119" s="38" t="n">
        <f aca="false">ROW()-ROW(Tasks[[#Headers],[ID]])</f>
        <v>114</v>
      </c>
      <c r="BV119" s="38" t="n">
        <f aca="false">IF(OR(Tasks[[#This Row],[Task Name]]="",Tasks[[#This Row],[_Level]]&lt;=1),0,IFERROR(LOOKUP(2,1/(Tasks[[#Headers],[_Level]]:Tasks[[#This Row],[_Level]]=Tasks[[#This Row],[_Level]]-1),ROW(Tasks[[#Headers],[_Level]]:Tasks[[#This Row],[_Level]])),0))</f>
        <v>0</v>
      </c>
      <c r="BW119" s="38" t="n">
        <f aca="false">IFERROR(N(INDEX(Tasks[_Level],Tasks[[#This Row],[_Row]]+1)),0)</f>
        <v>0</v>
      </c>
      <c r="BX119" s="114" t="b">
        <f aca="false">AND(Tasks[[#This Row],[Task Name]]&lt;&gt;"",Tasks[[#This Row],[_NextLevel]]&gt;Tasks[[#This Row],[_Level]])</f>
        <v>0</v>
      </c>
      <c r="BY119" s="38" t="n">
        <f aca="false">IF(Tasks[[#This Row],[_IsSummary]],COUNTIF(Tasks[WBS],Tasks[[#This Row],[WBS]]&amp;".*"),0)</f>
        <v>0</v>
      </c>
      <c r="BZ119" s="38" t="n">
        <f aca="false">IF(AND(Tasks[[#This Row],[Task Name]]&lt;&gt;"",NOT(Tasks[[#This Row],[_IsSummary]])),1,0)</f>
        <v>0</v>
      </c>
      <c r="CA119" s="38" t="n">
        <f aca="false">IF(N(Tasks[[#This Row],[Pred1 UID]])=0,0,IFERROR(MATCH(Tasks[[#This Row],[Pred1 UID]],Tasks[UID],0),-1))</f>
        <v>0</v>
      </c>
      <c r="CB119" s="38" t="n">
        <f aca="false">IF(N(Tasks[[#This Row],[Pred2 UID]])=0,0,IFERROR(MATCH(Tasks[[#This Row],[Pred2 UID]],Tasks[UID],0),-1))</f>
        <v>0</v>
      </c>
      <c r="CC119" s="38" t="n">
        <f aca="false">IF(N(Tasks[[#This Row],[Pred3 UID]])=0,0,IFERROR(MATCH(Tasks[[#This Row],[Pred3 UID]],Tasks[UID],0),-1))</f>
        <v>0</v>
      </c>
      <c r="CD119" s="38" t="n">
        <f aca="false">IF(N(Tasks[[#This Row],[Pred4 UID]])=0,0,IFERROR(MATCH(Tasks[[#This Row],[Pred4 UID]],Tasks[UID],0),-1))</f>
        <v>0</v>
      </c>
      <c r="CE11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9" s="115" t="n">
        <f aca="false">IF(OR(Tasks[[#This Row],[_ConstraintCode]]=2,Tasks[[#This Row],[_ConstraintCode]]=3,Tasks[[#This Row],[_ConstraintCode]]=4,Tasks[[#This Row],[_ConstraintCode]]=6),Tasks[[#This Row],[_ConstraintStart]],0)</f>
        <v>0</v>
      </c>
      <c r="CH119" s="115" t="n">
        <f aca="false">IF(OR(Tasks[[#This Row],[_ConstraintCode]]=2,Tasks[[#This Row],[_ConstraintCode]]=3,Tasks[[#This Row],[_ConstraintCode]]=5,Tasks[[#This Row],[_ConstraintCode]]=7),Tasks[[#This Row],[_ConstraintStart]],2958465)</f>
        <v>2958465</v>
      </c>
      <c r="CI11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9" s="115" t="str">
        <f aca="false">IF(NOT(Tasks[[#This Row],[_IsLeaf]]=1),"",IF(N(Tasks[[#This Row],[Duration]])&lt;=0,Tasks[[#This Row],[_LeafCalcStart]],WORKDAY.INTL(Tasks[[#This Row],[_LeafCalcStart]],Tasks[[#This Row],[Duration]]-1,WorkWeek,Holidays)))</f>
        <v/>
      </c>
      <c r="CK11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9" s="38" t="n">
        <f aca="false">IF(NOT(Tasks[[#This Row],[_IsLeaf]]=1),0,IF(N(Tasks[[#This Row],[Actual Finish]])&gt;0,1,MIN(1,N(Tasks[[#This Row],[% Complete]]))))</f>
        <v>0</v>
      </c>
      <c r="CN119" s="38" t="n">
        <f aca="false">IF(OR(NOT(Tasks[[#This Row],[_IsLeaf]]=1),Tasks[[#This Row],[Resource]]=""),0,N(Tasks[[#This Row],[Duration]])*HoursPerDay*IF(Tasks[[#This Row],[Units]]="",DefaultUnits,Tasks[[#This Row],[Units]]))</f>
        <v>0</v>
      </c>
      <c r="CO119" s="38" t="n">
        <f aca="false">IF(Tasks[[#This Row],[_LeafWork]]=0,0,Tasks[[#This Row],[_LeafWork]]*IFERROR(INDEX(res_Rate,MATCH(Tasks[[#This Row],[Resource]],res_Name,0)),0))</f>
        <v>0</v>
      </c>
      <c r="CP119" s="38" t="n">
        <f aca="false">Tasks[[#This Row],[_LeafWork]]+IF(Tasks[[#This Row],[_IsLeaf]]=1,SUMIFS(asg_Work,asg_TaskUID,Tasks[[#This Row],[UID]],asg_Valid,1),0)</f>
        <v>0</v>
      </c>
      <c r="CQ119" s="38" t="n">
        <f aca="false">Tasks[[#This Row],[_LeafCost]]+IF(Tasks[[#This Row],[_IsLeaf]]=1,SUMIFS(asg_Cost,asg_TaskUID,Tasks[[#This Row],[UID]],asg_Valid,1),0)</f>
        <v>0</v>
      </c>
      <c r="CR119" s="38" t="n">
        <f aca="false">IF(Tasks[[#This Row],[_LeafTotalCost]]=0,Tasks[[#This Row],[_LeafAC]],Tasks[[#This Row],[_LeafAC]]*Tasks[[#This Row],[_LeafCost]]/Tasks[[#This Row],[_LeafTotalCost]])</f>
        <v>0</v>
      </c>
      <c r="CS11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9" s="38" t="n">
        <f aca="false">IF(NOT(Tasks[[#This Row],[_IsLeaf]]=1),0,MAX(_xlfn.MAXIFS(Tasks[_Row],Tasks[Pred1 UID],Tasks[[#This Row],[UID]]),_xlfn.MAXIFS(Tasks[_Row],Tasks[Pred2 UID],Tasks[[#This Row],[UID]]),_xlfn.MAXIFS(Tasks[_Row],Tasks[Pred3 UID],Tasks[[#This Row],[UID]]),_xlfn.MAXIFS(Tasks[_Row],Tasks[Pred4 UID],Tasks[[#This Row],[UID]])))</f>
        <v>0</v>
      </c>
      <c r="DB11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9" s="115" t="str">
        <f aca="false">IF(NOT(Tasks[[#This Row],[_IsLeaf]]=1),"",IF(N(Tasks[[#This Row],[Duration]])&lt;=0,Tasks[[#This Row],[_LeafLateFinish]],WORKDAY.INTL(Tasks[[#This Row],[_LeafLateFinish]],-(Tasks[[#This Row],[Duration]]-1),WorkWeek,Holidays)))</f>
        <v/>
      </c>
      <c r="DE11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9" s="114" t="b">
        <f aca="false">AND(Tasks[[#This Row],[_IsLeaf]]=1,Tasks[[#This Row],[_LeafProgress]]&lt;1,N(Tasks[[#This Row],[_LeafTotalSlack]])&lt;=CriticalSlackDays)</f>
        <v>0</v>
      </c>
      <c r="DG119" s="38" t="n">
        <f aca="false">IF(AND(Tasks[[#This Row],[_IsLeaf]]=1,Tasks[[#This Row],[_ConstraintCode]]=1,Tasks[[#This Row],[Mode]]&lt;&gt;"Manual",N(Tasks[[#This Row],[Actual Start]])=0),MAX(0,N(Tasks[[#This Row],[Free Slack]])),0)</f>
        <v>0</v>
      </c>
      <c r="DH119" s="115" t="str">
        <f aca="false">IF(NOT(Tasks[[#This Row],[_IsLeaf]]=1),"",IF(Tasks[[#This Row],[_AlapShift]]=0,Tasks[[#This Row],[_LeafCalcStart]],WORKDAY.INTL(Tasks[[#This Row],[_LeafCalcStart]],Tasks[[#This Row],[_AlapShift]],WorkWeek,Holidays)))</f>
        <v/>
      </c>
      <c r="DI119" s="115" t="str">
        <f aca="false">IF(NOT(Tasks[[#This Row],[_IsLeaf]]=1),"",IF(Tasks[[#This Row],[_AlapShift]]=0,Tasks[[#This Row],[_LeafCalcFinish]],WORKDAY.INTL(Tasks[[#This Row],[_LeafCalcFinish]],Tasks[[#This Row],[_AlapShift]],WorkWeek,Holidays)))</f>
        <v/>
      </c>
      <c r="DJ119" s="115" t="str">
        <f aca="false">IF(NOT(Tasks[[#This Row],[_IsLeaf]]=1),"",IF(Tasks[[#This Row],[_AlapShift]]=0,Tasks[[#This Row],[_LeafFcstStart]],WORKDAY.INTL(Tasks[[#This Row],[_LeafFcstStart]],Tasks[[#This Row],[_AlapShift]],WorkWeek,Holidays)))</f>
        <v/>
      </c>
      <c r="DK119" s="115" t="str">
        <f aca="false">IF(NOT(Tasks[[#This Row],[_IsLeaf]]=1),"",IF(Tasks[[#This Row],[_AlapShift]]=0,Tasks[[#This Row],[_LeafFcstFinish]],WORKDAY.INTL(Tasks[[#This Row],[_LeafFcstFinish]],Tasks[[#This Row],[_AlapShift]],WorkWeek,Holidays)))</f>
        <v/>
      </c>
      <c r="DL119" s="115" t="str">
        <f aca="false">IF(Tasks[[#This Row],[Task Name]]="","",IF(Tasks[[#This Row],[_IsSummary]],MIN(INDEX(Tasks[_ShownCalcStart],Tasks[[#This Row],[_Row]]+1):INDEX(Tasks[_ShownCalcStart],Tasks[[#This Row],[_Row]]+Tasks[[#This Row],[_Descendants]])),Tasks[[#This Row],[_ShownCalcStart]]))</f>
        <v/>
      </c>
      <c r="DM119" s="115" t="str">
        <f aca="false">IF(Tasks[[#This Row],[Task Name]]="","",IF(Tasks[[#This Row],[_IsSummary]],MAX(INDEX(Tasks[_ShownCalcFinish],Tasks[[#This Row],[_Row]]+1):INDEX(Tasks[_ShownCalcFinish],Tasks[[#This Row],[_Row]]+Tasks[[#This Row],[_Descendants]])),Tasks[[#This Row],[_ShownCalcFinish]]))</f>
        <v/>
      </c>
      <c r="DN11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9" s="38" t="n">
        <f aca="false">IF(AND(Tasks[[#This Row],[_IsLeaf]]=1,Tasks[[#This Row],[_LeafTotalWork]]&gt;0),NETWORKDAYS.INTL(ProjectStart,Tasks[[#This Row],[_ShownFcstStart]],WorkWeek,Holidays),0)</f>
        <v>0</v>
      </c>
      <c r="EA119" s="38" t="n">
        <f aca="false">IF(AND(Tasks[[#This Row],[_IsLeaf]]=1,Tasks[[#This Row],[_LeafTotalWork]]&gt;0),MAX(Tasks[[#This Row],[_StartWorkday]],NETWORKDAYS.INTL(ProjectStart,Tasks[[#This Row],[_ShownFcstFinish]],WorkWeek,Holidays)),0)</f>
        <v>0</v>
      </c>
      <c r="EB119" s="38" t="n">
        <f aca="false">IF(AND(Tasks[[#This Row],[_IsLeaf]]=1,Tasks[[#This Row],[_LeafTotalWork]]&gt;0),Tasks[[#This Row],[_LeafWork]]/(Tasks[[#This Row],[_FinishWorkday]]-Tasks[[#This Row],[_StartWorkday]]+1),0)</f>
        <v>0</v>
      </c>
      <c r="EC119" s="38" t="n">
        <f aca="false">Tasks[[#This Row],[_WorkPerWorkday]]*(Tasks[[#This Row],[_StartWorkday]]-1)</f>
        <v>-0</v>
      </c>
      <c r="ED119" s="38" t="n">
        <f aca="false">IF(Tasks[[#This Row],[_IsLeaf]]=1,MAX(N(Tasks[[#This Row],[Duration]]),0.1),0)</f>
        <v>0</v>
      </c>
      <c r="EE119" s="38" t="n">
        <f aca="false">Tasks[[#This Row],[_WeightDur]]*Tasks[[#This Row],[_LeafProgress]]</f>
        <v>0</v>
      </c>
      <c r="EF11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9" s="38" t="str">
        <f aca="false">IF(AND(Tasks[[#This Row],[_IsLeaf]]=1,N(Tasks[[#This Row],[Duration]])=0,Tasks[[#This Row],[_LeafProgress]]&lt;1),Tasks[[#This Row],[_ShownFcstFinish]]+Tasks[[#This Row],[_Row]]/100000,"")</f>
        <v/>
      </c>
      <c r="EH11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9" s="38" t="n">
        <f aca="false">IF(NOT(Tasks[[#This Row],[_IsLeaf]]=1),0,IF(Tasks[[#This Row],[Baseline Cost]]="",Tasks[[#This Row],[_LeafTotalCost]],N(Tasks[[#This Row],[Baseline Cost]])))</f>
        <v>0</v>
      </c>
      <c r="EJ119" s="38" t="n">
        <f aca="false">Tasks[[#This Row],[_LeafBudget]]*Tasks[[#This Row],[_PlannedPct]]</f>
        <v>0</v>
      </c>
      <c r="EK119" s="38" t="n">
        <f aca="false">Tasks[[#This Row],[_LeafBudget]]*Tasks[[#This Row],[_LeafProgress]]</f>
        <v>0</v>
      </c>
      <c r="EL119" s="38" t="n">
        <f aca="false">IF(NOT(Tasks[[#This Row],[_IsLeaf]]=1),0,IF(Tasks[[#This Row],[Actual Cost]]="",Tasks[[#This Row],[_LeafTotalCost]]*Tasks[[#This Row],[_LeafProgress]],N(Tasks[[#This Row],[Actual Cost]])))</f>
        <v>0</v>
      </c>
      <c r="EM119" s="38" t="str">
        <f aca="false">IF(Tasks[[#This Row],[Task Name]]="","",LEFT(Tasks[[#This Row],[WBS]],FIND(".",Tasks[[#This Row],[WBS]]&amp;".")-1))</f>
        <v/>
      </c>
      <c r="EN119" s="38" t="str">
        <f aca="false">IF(AND(Tasks[[#This Row],[Task Name]]&lt;&gt;"",Tasks[[#This Row],[_Level]]=1),Tasks[[#This Row],[_Row]],"")</f>
        <v/>
      </c>
      <c r="EO119" s="38" t="str">
        <f aca="false">IF(AND(Tasks[[#This Row],[_IsLeaf]]=1,N(Tasks[[#This Row],[Duration]])=0),Tasks[[#This Row],[Planned Finish]]+Tasks[[#This Row],[_Row]]/100000,"")</f>
        <v/>
      </c>
      <c r="EP119" s="38" t="str">
        <f aca="false">IF(AND(Tasks[[#This Row],[_IsLeaf]]=1,Tasks[[#This Row],[_LeafProgress]]&lt;1,OR(N(Tasks[[#This Row],[Finish Var]])&gt;0,Tasks[[#This Row],[Status]]="Late Start")),MAX(0,Tasks[[#This Row],[Finish Var]])+1-Tasks[[#This Row],[_Row]]/1000000,"")</f>
        <v/>
      </c>
      <c r="EQ119" s="38" t="str">
        <f aca="false">IF(AND(Tasks[[#This Row],[_IsLeaf]]=1,N(Tasks[[#This Row],[Actual Start]])=0,Tasks[[#This Row],[_ShownFcstStart]]&gt;=StatusDate,Tasks[[#This Row],[_ShownFcstStart]]&lt;=LookaheadEnd),Tasks[[#This Row],[_ShownFcstStart]]+Tasks[[#This Row],[_Row]]/100000,"")</f>
        <v/>
      </c>
      <c r="ER119" s="38" t="str">
        <f aca="false">IF(AND(Tasks[[#This Row],[_IsLeaf]]=1,Tasks[[#This Row],[_LeafProgress]]&lt;1,Tasks[[#This Row],[_ShownFcstFinish]]&gt;=StatusDate,Tasks[[#This Row],[_ShownFcstFinish]]&lt;=LookaheadEnd),Tasks[[#This Row],[_ShownFcstFinish]]+Tasks[[#This Row],[_Row]]/100000,"")</f>
        <v/>
      </c>
      <c r="ES119" s="38" t="str">
        <f aca="false">IF(Tasks[[#This Row],[_LeafCritical]],Tasks[[#This Row],[_ShownFcstStart]]+Tasks[[#This Row],[_Row]]/100000,"")</f>
        <v/>
      </c>
      <c r="ET119" s="38" t="n">
        <f aca="false">Tasks[[#This Row],[_LeafWork]]*Tasks[[#This Row],[_LeafProgress]]</f>
        <v>0</v>
      </c>
      <c r="EU119" s="115" t="str">
        <f aca="false">IF(AND(Tasks[[#This Row],[_IsLeaf]]=1,Tasks[[#This Row],[_LeafProgress]]&gt;=1),IF(N(Tasks[[#This Row],[Actual Finish]])&gt;0,Tasks[[#This Row],[Actual Finish]],Tasks[[#This Row],[_ShownFcstFinish]]),"")</f>
        <v/>
      </c>
      <c r="EV119" s="38" t="n">
        <f aca="false">IF(Tasks[[#This Row],[_IsLeaf]]=1,N(Tasks[[#This Row],[Story Points]]),0)</f>
        <v>0</v>
      </c>
      <c r="EW119" s="38" t="str">
        <f aca="false">IF(AND(Tasks[[#This Row],[_IsLeaf]]=1,CurrentSprint&lt;&gt;"",Tasks[[#This Row],[Sprint]]=CurrentSprint),Tasks[[#This Row],[_Row]],"")</f>
        <v/>
      </c>
    </row>
    <row r="120" customFormat="false" ht="15" hidden="false" customHeight="false" outlineLevel="0" collapsed="false">
      <c r="A120" s="51" t="str">
        <f aca="false">IF(Tasks[[#This Row],[Task Name]]="","",COUNTA(Tasks[[#Headers],[Task Name]]:Tasks[[#This Row],[Task Name]])-1)</f>
        <v/>
      </c>
      <c r="B120" s="52" t="n">
        <v>115</v>
      </c>
      <c r="C12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52"/>
      <c r="E120" s="53"/>
      <c r="F120" s="52"/>
      <c r="G120" s="52"/>
      <c r="H120" s="52"/>
      <c r="I120" s="52"/>
      <c r="J120" s="52"/>
      <c r="K120" s="52"/>
      <c r="L120" s="52"/>
      <c r="M120" s="52"/>
      <c r="N120" s="52"/>
      <c r="O120" s="52"/>
      <c r="P120" s="52"/>
      <c r="Q120" s="52"/>
      <c r="R120" s="52"/>
      <c r="S120" s="53"/>
      <c r="T120" s="102"/>
      <c r="U120" s="102"/>
      <c r="V120" s="7"/>
      <c r="W120" s="7"/>
      <c r="X120" s="53"/>
      <c r="Y120" s="31" t="str">
        <f aca="false">IF(Tasks[[#This Row],[Task Name]]="","",IF(Tasks[[#This Row],[_IsSummary]],MIN(INDEX(Tasks[_ShownFcstStart],Tasks[[#This Row],[_Row]]+1):INDEX(Tasks[_ShownFcstStart],Tasks[[#This Row],[_Row]]+Tasks[[#This Row],[_Descendants]])),Tasks[[#This Row],[_ShownFcstStart]]))</f>
        <v/>
      </c>
      <c r="Z120" s="31" t="str">
        <f aca="false">IF(Tasks[[#This Row],[Task Name]]="","",IF(Tasks[[#This Row],[_IsSummary]],MAX(INDEX(Tasks[_ShownFcstFinish],Tasks[[#This Row],[_Row]]+1):INDEX(Tasks[_ShownFcstFinish],Tasks[[#This Row],[_Row]]+Tasks[[#This Row],[_Descendants]])),Tasks[[#This Row],[_ShownFcstFinish]]))</f>
        <v/>
      </c>
      <c r="AA120" s="51" t="str">
        <f aca="false">IF(Tasks[[#This Row],[Task Name]]="","",IF(Tasks[[#This Row],[Progress]]&gt;=1,"Complete",IF(OR(N(Tasks[[#This Row],[Actual Start]])&gt;0,Tasks[[#This Row],[Progress]]&gt;0),IF(Tasks[[#This Row],[Finish Var]]&gt;0,"Behind","In Progress"),IF(Tasks[[#This Row],[Planned Start]]&lt;StatusDate,"Late Start","Not Started"))))</f>
        <v/>
      </c>
      <c r="AB120" s="51" t="str">
        <f aca="false">IF(Tasks[[#This Row],[Task Name]]="","",IF(IF(Tasks[[#This Row],[_IsSummary]],COUNTIF(INDEX(Tasks[_LeafCritical],Tasks[[#This Row],[_Row]]+1):INDEX(Tasks[_LeafCritical],Tasks[[#This Row],[_Row]]+Tasks[[#This Row],[_Descendants]]),TRUE())&gt;0,Tasks[[#This Row],[_LeafCritical]]),"Yes",""))</f>
        <v/>
      </c>
      <c r="AC12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0" s="51" t="str">
        <f aca="false">IF(Tasks[[#This Row],[Task Name]]="","",IF(Tasks[[#This Row],[_Level]]&lt;=OutlineShowLevel,"Yes","No"))</f>
        <v/>
      </c>
      <c r="AE120" s="7"/>
      <c r="AF120" s="52"/>
      <c r="AG120" s="53"/>
      <c r="AH120" s="7"/>
      <c r="AI12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0" s="31" t="str">
        <f aca="false">IF(Tasks[[#This Row],[Task Name]]="","",IF(N(Tasks[[#This Row],[Baseline Start]])&gt;0,Tasks[[#This Row],[Baseline Start]],Tasks[[#This Row],[_CalcStart]]))</f>
        <v/>
      </c>
      <c r="AK120" s="31" t="str">
        <f aca="false">IF(Tasks[[#This Row],[Task Name]]="","",IF(N(Tasks[[#This Row],[Baseline Finish]])&gt;0,Tasks[[#This Row],[Baseline Finish]],Tasks[[#This Row],[_CalcFinish]]))</f>
        <v/>
      </c>
      <c r="AL12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0" s="31" t="str">
        <f aca="false">IF(Tasks[[#This Row],[Task Name]]="","",IF(Tasks[[#This Row],[_IsSummary]],MIN(INDEX(Tasks[_LeafLateStart],Tasks[[#This Row],[_Row]]+1):INDEX(Tasks[_LeafLateStart],Tasks[[#This Row],[_Row]]+Tasks[[#This Row],[_Descendants]])),Tasks[[#This Row],[_LeafLateStart]]))</f>
        <v/>
      </c>
      <c r="AN120" s="31" t="str">
        <f aca="false">IF(Tasks[[#This Row],[Task Name]]="","",IF(Tasks[[#This Row],[_IsSummary]],MAX(INDEX(Tasks[_LeafLateFinish],Tasks[[#This Row],[_Row]]+1):INDEX(Tasks[_LeafLateFinish],Tasks[[#This Row],[_Row]]+Tasks[[#This Row],[_Descendants]])),Tasks[[#This Row],[_LeafLateFinish]]))</f>
        <v/>
      </c>
      <c r="AO120" s="51" t="str">
        <f aca="false">IF(Tasks[[#This Row],[Task Name]]="","",IF(Tasks[[#This Row],[_IsSummary]],MIN(INDEX(Tasks[_LeafTotalSlack],Tasks[[#This Row],[_Row]]+1):INDEX(Tasks[_LeafTotalSlack],Tasks[[#This Row],[_Row]]+Tasks[[#This Row],[_Descendants]])),Tasks[[#This Row],[_LeafTotalSlack]]))</f>
        <v/>
      </c>
      <c r="AP12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0" s="110" t="str">
        <f aca="false">IF(Tasks[[#This Row],[Task Name]]="","",IF(Tasks[[#This Row],[_IsSummary]],SUM(INDEX(Tasks[_LeafTotalWork],Tasks[[#This Row],[_Row]]+1):INDEX(Tasks[_LeafTotalWork],Tasks[[#This Row],[_Row]]+Tasks[[#This Row],[_Descendants]])),Tasks[[#This Row],[_LeafTotalWork]]))</f>
        <v/>
      </c>
      <c r="AV12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0" s="111" t="str">
        <f aca="false">IF(Tasks[[#This Row],[Task Name]]="","",IF(Tasks[[#This Row],[_IsSummary]],SUM(INDEX(Tasks[_LeafTotalCost],Tasks[[#This Row],[_Row]]+1):INDEX(Tasks[_LeafTotalCost],Tasks[[#This Row],[_Row]]+Tasks[[#This Row],[_Descendants]])),Tasks[[#This Row],[_LeafTotalCost]]))</f>
        <v/>
      </c>
      <c r="AY120" s="112"/>
      <c r="AZ12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0" s="52"/>
      <c r="BB120" s="98"/>
      <c r="BC120" s="51" t="str">
        <f aca="false">IF(OR(Tasks[[#This Row],[Task Name]]="",Tasks[[#This Row],[Baseline Duration]]=""),"",Tasks[[#This Row],[BL Source Duration]]-N(Tasks[[#This Row],[Baseline Duration]]))</f>
        <v/>
      </c>
      <c r="BD120" s="110" t="str">
        <f aca="false">IF(OR(Tasks[[#This Row],[Task Name]]="",Tasks[[#This Row],[Baseline Work]]=""),"",Tasks[[#This Row],[Work]]-N(Tasks[[#This Row],[Baseline Work]]))</f>
        <v/>
      </c>
      <c r="BE120" s="111" t="str">
        <f aca="false">IF(OR(Tasks[[#This Row],[Task Name]]="",Tasks[[#This Row],[Baseline Cost]]=""),"",Tasks[[#This Row],[Cost]]-N(Tasks[[#This Row],[Baseline Cost]]))</f>
        <v/>
      </c>
      <c r="BF120" s="31" t="str">
        <f aca="false">IF(Tasks[[#This Row],[Task Name]]="","",Tasks[[#This Row],[Forecast Start]])</f>
        <v/>
      </c>
      <c r="BG120" s="31" t="str">
        <f aca="false">IF(Tasks[[#This Row],[Task Name]]="","",Tasks[[#This Row],[Forecast Finish]])</f>
        <v/>
      </c>
      <c r="BH120" s="51" t="str">
        <f aca="false">IF(Tasks[[#This Row],[Task Name]]="","",IF(Tasks[[#This Row],[_IsSummary]],NETWORKDAYS.INTL(Tasks[[#This Row],[Forecast Start]],Tasks[[#This Row],[Forecast Finish]],WorkWeek,Holidays),N(Tasks[[#This Row],[Duration]])))</f>
        <v/>
      </c>
      <c r="BI120" s="110" t="str">
        <f aca="false">IF(Tasks[[#This Row],[Task Name]]="","",Tasks[[#This Row],[Work]])</f>
        <v/>
      </c>
      <c r="BJ120" s="111" t="str">
        <f aca="false">IF(Tasks[[#This Row],[Task Name]]="","",Tasks[[#This Row],[Cost]])</f>
        <v/>
      </c>
      <c r="BK120" s="7"/>
      <c r="BL120" s="7"/>
      <c r="BM120" s="52"/>
      <c r="BN120" s="113"/>
      <c r="BO120" s="112"/>
      <c r="BP120" s="111" t="str">
        <f aca="false">IF(Tasks[[#This Row],[Task Name]]="","",IF(Tasks[[#This Row],[_IsSummary]],SUM(INDEX(Tasks[_LeafEV],Tasks[[#This Row],[_Row]]+1):INDEX(Tasks[_LeafEV],Tasks[[#This Row],[_Row]]+Tasks[[#This Row],[_Descendants]])),Tasks[[#This Row],[_LeafEV]]))</f>
        <v/>
      </c>
      <c r="BQ120" s="111" t="str">
        <f aca="false">IF(Tasks[[#This Row],[Task Name]]="","",IF(Tasks[[#This Row],[_IsSummary]],SUM(INDEX(Tasks[_LeafBudget],Tasks[[#This Row],[_Row]]+1):INDEX(Tasks[_LeafBudget],Tasks[[#This Row],[_Row]]+Tasks[[#This Row],[_Descendants]])),Tasks[[#This Row],[_LeafBudget]]))</f>
        <v/>
      </c>
      <c r="BR120" s="111" t="str">
        <f aca="false">IF(Tasks[[#This Row],[Task Name]]="","",IF(Tasks[[#This Row],[_IsSummary]],SUM(INDEX(Tasks[_LeafPV],Tasks[[#This Row],[_Row]]+1):INDEX(Tasks[_LeafPV],Tasks[[#This Row],[_Row]]+Tasks[[#This Row],[_Descendants]])),Tasks[[#This Row],[_LeafPV]]))</f>
        <v/>
      </c>
      <c r="BS120" s="111" t="str">
        <f aca="false">IF(Tasks[[#This Row],[Task Name]]="","",IF(Tasks[[#This Row],[_IsSummary]],SUM(INDEX(Tasks[_LeafAC],Tasks[[#This Row],[_Row]]+1):INDEX(Tasks[_LeafAC],Tasks[[#This Row],[_Row]]+Tasks[[#This Row],[_Descendants]])),Tasks[[#This Row],[_LeafAC]]))</f>
        <v/>
      </c>
      <c r="BT120" s="38" t="str">
        <f aca="false">IF(Tasks[[#This Row],[Task Name]]="","",MAX(1,N(Tasks[[#This Row],[Level]])))</f>
        <v/>
      </c>
      <c r="BU120" s="38" t="n">
        <f aca="false">ROW()-ROW(Tasks[[#Headers],[ID]])</f>
        <v>115</v>
      </c>
      <c r="BV120" s="38" t="n">
        <f aca="false">IF(OR(Tasks[[#This Row],[Task Name]]="",Tasks[[#This Row],[_Level]]&lt;=1),0,IFERROR(LOOKUP(2,1/(Tasks[[#Headers],[_Level]]:Tasks[[#This Row],[_Level]]=Tasks[[#This Row],[_Level]]-1),ROW(Tasks[[#Headers],[_Level]]:Tasks[[#This Row],[_Level]])),0))</f>
        <v>0</v>
      </c>
      <c r="BW120" s="38" t="n">
        <f aca="false">IFERROR(N(INDEX(Tasks[_Level],Tasks[[#This Row],[_Row]]+1)),0)</f>
        <v>0</v>
      </c>
      <c r="BX120" s="114" t="b">
        <f aca="false">AND(Tasks[[#This Row],[Task Name]]&lt;&gt;"",Tasks[[#This Row],[_NextLevel]]&gt;Tasks[[#This Row],[_Level]])</f>
        <v>0</v>
      </c>
      <c r="BY120" s="38" t="n">
        <f aca="false">IF(Tasks[[#This Row],[_IsSummary]],COUNTIF(Tasks[WBS],Tasks[[#This Row],[WBS]]&amp;".*"),0)</f>
        <v>0</v>
      </c>
      <c r="BZ120" s="38" t="n">
        <f aca="false">IF(AND(Tasks[[#This Row],[Task Name]]&lt;&gt;"",NOT(Tasks[[#This Row],[_IsSummary]])),1,0)</f>
        <v>0</v>
      </c>
      <c r="CA120" s="38" t="n">
        <f aca="false">IF(N(Tasks[[#This Row],[Pred1 UID]])=0,0,IFERROR(MATCH(Tasks[[#This Row],[Pred1 UID]],Tasks[UID],0),-1))</f>
        <v>0</v>
      </c>
      <c r="CB120" s="38" t="n">
        <f aca="false">IF(N(Tasks[[#This Row],[Pred2 UID]])=0,0,IFERROR(MATCH(Tasks[[#This Row],[Pred2 UID]],Tasks[UID],0),-1))</f>
        <v>0</v>
      </c>
      <c r="CC120" s="38" t="n">
        <f aca="false">IF(N(Tasks[[#This Row],[Pred3 UID]])=0,0,IFERROR(MATCH(Tasks[[#This Row],[Pred3 UID]],Tasks[UID],0),-1))</f>
        <v>0</v>
      </c>
      <c r="CD120" s="38" t="n">
        <f aca="false">IF(N(Tasks[[#This Row],[Pred4 UID]])=0,0,IFERROR(MATCH(Tasks[[#This Row],[Pred4 UID]],Tasks[UID],0),-1))</f>
        <v>0</v>
      </c>
      <c r="CE12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0" s="115" t="n">
        <f aca="false">IF(OR(Tasks[[#This Row],[_ConstraintCode]]=2,Tasks[[#This Row],[_ConstraintCode]]=3,Tasks[[#This Row],[_ConstraintCode]]=4,Tasks[[#This Row],[_ConstraintCode]]=6),Tasks[[#This Row],[_ConstraintStart]],0)</f>
        <v>0</v>
      </c>
      <c r="CH120" s="115" t="n">
        <f aca="false">IF(OR(Tasks[[#This Row],[_ConstraintCode]]=2,Tasks[[#This Row],[_ConstraintCode]]=3,Tasks[[#This Row],[_ConstraintCode]]=5,Tasks[[#This Row],[_ConstraintCode]]=7),Tasks[[#This Row],[_ConstraintStart]],2958465)</f>
        <v>2958465</v>
      </c>
      <c r="CI12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0" s="115" t="str">
        <f aca="false">IF(NOT(Tasks[[#This Row],[_IsLeaf]]=1),"",IF(N(Tasks[[#This Row],[Duration]])&lt;=0,Tasks[[#This Row],[_LeafCalcStart]],WORKDAY.INTL(Tasks[[#This Row],[_LeafCalcStart]],Tasks[[#This Row],[Duration]]-1,WorkWeek,Holidays)))</f>
        <v/>
      </c>
      <c r="CK12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0" s="38" t="n">
        <f aca="false">IF(NOT(Tasks[[#This Row],[_IsLeaf]]=1),0,IF(N(Tasks[[#This Row],[Actual Finish]])&gt;0,1,MIN(1,N(Tasks[[#This Row],[% Complete]]))))</f>
        <v>0</v>
      </c>
      <c r="CN120" s="38" t="n">
        <f aca="false">IF(OR(NOT(Tasks[[#This Row],[_IsLeaf]]=1),Tasks[[#This Row],[Resource]]=""),0,N(Tasks[[#This Row],[Duration]])*HoursPerDay*IF(Tasks[[#This Row],[Units]]="",DefaultUnits,Tasks[[#This Row],[Units]]))</f>
        <v>0</v>
      </c>
      <c r="CO120" s="38" t="n">
        <f aca="false">IF(Tasks[[#This Row],[_LeafWork]]=0,0,Tasks[[#This Row],[_LeafWork]]*IFERROR(INDEX(res_Rate,MATCH(Tasks[[#This Row],[Resource]],res_Name,0)),0))</f>
        <v>0</v>
      </c>
      <c r="CP120" s="38" t="n">
        <f aca="false">Tasks[[#This Row],[_LeafWork]]+IF(Tasks[[#This Row],[_IsLeaf]]=1,SUMIFS(asg_Work,asg_TaskUID,Tasks[[#This Row],[UID]],asg_Valid,1),0)</f>
        <v>0</v>
      </c>
      <c r="CQ120" s="38" t="n">
        <f aca="false">Tasks[[#This Row],[_LeafCost]]+IF(Tasks[[#This Row],[_IsLeaf]]=1,SUMIFS(asg_Cost,asg_TaskUID,Tasks[[#This Row],[UID]],asg_Valid,1),0)</f>
        <v>0</v>
      </c>
      <c r="CR120" s="38" t="n">
        <f aca="false">IF(Tasks[[#This Row],[_LeafTotalCost]]=0,Tasks[[#This Row],[_LeafAC]],Tasks[[#This Row],[_LeafAC]]*Tasks[[#This Row],[_LeafCost]]/Tasks[[#This Row],[_LeafTotalCost]])</f>
        <v>0</v>
      </c>
      <c r="CS12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0" s="38" t="n">
        <f aca="false">IF(NOT(Tasks[[#This Row],[_IsLeaf]]=1),0,MAX(_xlfn.MAXIFS(Tasks[_Row],Tasks[Pred1 UID],Tasks[[#This Row],[UID]]),_xlfn.MAXIFS(Tasks[_Row],Tasks[Pred2 UID],Tasks[[#This Row],[UID]]),_xlfn.MAXIFS(Tasks[_Row],Tasks[Pred3 UID],Tasks[[#This Row],[UID]]),_xlfn.MAXIFS(Tasks[_Row],Tasks[Pred4 UID],Tasks[[#This Row],[UID]])))</f>
        <v>0</v>
      </c>
      <c r="DB12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0" s="115" t="str">
        <f aca="false">IF(NOT(Tasks[[#This Row],[_IsLeaf]]=1),"",IF(N(Tasks[[#This Row],[Duration]])&lt;=0,Tasks[[#This Row],[_LeafLateFinish]],WORKDAY.INTL(Tasks[[#This Row],[_LeafLateFinish]],-(Tasks[[#This Row],[Duration]]-1),WorkWeek,Holidays)))</f>
        <v/>
      </c>
      <c r="DE12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0" s="114" t="b">
        <f aca="false">AND(Tasks[[#This Row],[_IsLeaf]]=1,Tasks[[#This Row],[_LeafProgress]]&lt;1,N(Tasks[[#This Row],[_LeafTotalSlack]])&lt;=CriticalSlackDays)</f>
        <v>0</v>
      </c>
      <c r="DG120" s="38" t="n">
        <f aca="false">IF(AND(Tasks[[#This Row],[_IsLeaf]]=1,Tasks[[#This Row],[_ConstraintCode]]=1,Tasks[[#This Row],[Mode]]&lt;&gt;"Manual",N(Tasks[[#This Row],[Actual Start]])=0),MAX(0,N(Tasks[[#This Row],[Free Slack]])),0)</f>
        <v>0</v>
      </c>
      <c r="DH120" s="115" t="str">
        <f aca="false">IF(NOT(Tasks[[#This Row],[_IsLeaf]]=1),"",IF(Tasks[[#This Row],[_AlapShift]]=0,Tasks[[#This Row],[_LeafCalcStart]],WORKDAY.INTL(Tasks[[#This Row],[_LeafCalcStart]],Tasks[[#This Row],[_AlapShift]],WorkWeek,Holidays)))</f>
        <v/>
      </c>
      <c r="DI120" s="115" t="str">
        <f aca="false">IF(NOT(Tasks[[#This Row],[_IsLeaf]]=1),"",IF(Tasks[[#This Row],[_AlapShift]]=0,Tasks[[#This Row],[_LeafCalcFinish]],WORKDAY.INTL(Tasks[[#This Row],[_LeafCalcFinish]],Tasks[[#This Row],[_AlapShift]],WorkWeek,Holidays)))</f>
        <v/>
      </c>
      <c r="DJ120" s="115" t="str">
        <f aca="false">IF(NOT(Tasks[[#This Row],[_IsLeaf]]=1),"",IF(Tasks[[#This Row],[_AlapShift]]=0,Tasks[[#This Row],[_LeafFcstStart]],WORKDAY.INTL(Tasks[[#This Row],[_LeafFcstStart]],Tasks[[#This Row],[_AlapShift]],WorkWeek,Holidays)))</f>
        <v/>
      </c>
      <c r="DK120" s="115" t="str">
        <f aca="false">IF(NOT(Tasks[[#This Row],[_IsLeaf]]=1),"",IF(Tasks[[#This Row],[_AlapShift]]=0,Tasks[[#This Row],[_LeafFcstFinish]],WORKDAY.INTL(Tasks[[#This Row],[_LeafFcstFinish]],Tasks[[#This Row],[_AlapShift]],WorkWeek,Holidays)))</f>
        <v/>
      </c>
      <c r="DL120" s="115" t="str">
        <f aca="false">IF(Tasks[[#This Row],[Task Name]]="","",IF(Tasks[[#This Row],[_IsSummary]],MIN(INDEX(Tasks[_ShownCalcStart],Tasks[[#This Row],[_Row]]+1):INDEX(Tasks[_ShownCalcStart],Tasks[[#This Row],[_Row]]+Tasks[[#This Row],[_Descendants]])),Tasks[[#This Row],[_ShownCalcStart]]))</f>
        <v/>
      </c>
      <c r="DM120" s="115" t="str">
        <f aca="false">IF(Tasks[[#This Row],[Task Name]]="","",IF(Tasks[[#This Row],[_IsSummary]],MAX(INDEX(Tasks[_ShownCalcFinish],Tasks[[#This Row],[_Row]]+1):INDEX(Tasks[_ShownCalcFinish],Tasks[[#This Row],[_Row]]+Tasks[[#This Row],[_Descendants]])),Tasks[[#This Row],[_ShownCalcFinish]]))</f>
        <v/>
      </c>
      <c r="DN12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0" s="38" t="n">
        <f aca="false">IF(AND(Tasks[[#This Row],[_IsLeaf]]=1,Tasks[[#This Row],[_LeafTotalWork]]&gt;0),NETWORKDAYS.INTL(ProjectStart,Tasks[[#This Row],[_ShownFcstStart]],WorkWeek,Holidays),0)</f>
        <v>0</v>
      </c>
      <c r="EA120" s="38" t="n">
        <f aca="false">IF(AND(Tasks[[#This Row],[_IsLeaf]]=1,Tasks[[#This Row],[_LeafTotalWork]]&gt;0),MAX(Tasks[[#This Row],[_StartWorkday]],NETWORKDAYS.INTL(ProjectStart,Tasks[[#This Row],[_ShownFcstFinish]],WorkWeek,Holidays)),0)</f>
        <v>0</v>
      </c>
      <c r="EB120" s="38" t="n">
        <f aca="false">IF(AND(Tasks[[#This Row],[_IsLeaf]]=1,Tasks[[#This Row],[_LeafTotalWork]]&gt;0),Tasks[[#This Row],[_LeafWork]]/(Tasks[[#This Row],[_FinishWorkday]]-Tasks[[#This Row],[_StartWorkday]]+1),0)</f>
        <v>0</v>
      </c>
      <c r="EC120" s="38" t="n">
        <f aca="false">Tasks[[#This Row],[_WorkPerWorkday]]*(Tasks[[#This Row],[_StartWorkday]]-1)</f>
        <v>-0</v>
      </c>
      <c r="ED120" s="38" t="n">
        <f aca="false">IF(Tasks[[#This Row],[_IsLeaf]]=1,MAX(N(Tasks[[#This Row],[Duration]]),0.1),0)</f>
        <v>0</v>
      </c>
      <c r="EE120" s="38" t="n">
        <f aca="false">Tasks[[#This Row],[_WeightDur]]*Tasks[[#This Row],[_LeafProgress]]</f>
        <v>0</v>
      </c>
      <c r="EF12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0" s="38" t="str">
        <f aca="false">IF(AND(Tasks[[#This Row],[_IsLeaf]]=1,N(Tasks[[#This Row],[Duration]])=0,Tasks[[#This Row],[_LeafProgress]]&lt;1),Tasks[[#This Row],[_ShownFcstFinish]]+Tasks[[#This Row],[_Row]]/100000,"")</f>
        <v/>
      </c>
      <c r="EH12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0" s="38" t="n">
        <f aca="false">IF(NOT(Tasks[[#This Row],[_IsLeaf]]=1),0,IF(Tasks[[#This Row],[Baseline Cost]]="",Tasks[[#This Row],[_LeafTotalCost]],N(Tasks[[#This Row],[Baseline Cost]])))</f>
        <v>0</v>
      </c>
      <c r="EJ120" s="38" t="n">
        <f aca="false">Tasks[[#This Row],[_LeafBudget]]*Tasks[[#This Row],[_PlannedPct]]</f>
        <v>0</v>
      </c>
      <c r="EK120" s="38" t="n">
        <f aca="false">Tasks[[#This Row],[_LeafBudget]]*Tasks[[#This Row],[_LeafProgress]]</f>
        <v>0</v>
      </c>
      <c r="EL120" s="38" t="n">
        <f aca="false">IF(NOT(Tasks[[#This Row],[_IsLeaf]]=1),0,IF(Tasks[[#This Row],[Actual Cost]]="",Tasks[[#This Row],[_LeafTotalCost]]*Tasks[[#This Row],[_LeafProgress]],N(Tasks[[#This Row],[Actual Cost]])))</f>
        <v>0</v>
      </c>
      <c r="EM120" s="38" t="str">
        <f aca="false">IF(Tasks[[#This Row],[Task Name]]="","",LEFT(Tasks[[#This Row],[WBS]],FIND(".",Tasks[[#This Row],[WBS]]&amp;".")-1))</f>
        <v/>
      </c>
      <c r="EN120" s="38" t="str">
        <f aca="false">IF(AND(Tasks[[#This Row],[Task Name]]&lt;&gt;"",Tasks[[#This Row],[_Level]]=1),Tasks[[#This Row],[_Row]],"")</f>
        <v/>
      </c>
      <c r="EO120" s="38" t="str">
        <f aca="false">IF(AND(Tasks[[#This Row],[_IsLeaf]]=1,N(Tasks[[#This Row],[Duration]])=0),Tasks[[#This Row],[Planned Finish]]+Tasks[[#This Row],[_Row]]/100000,"")</f>
        <v/>
      </c>
      <c r="EP120" s="38" t="str">
        <f aca="false">IF(AND(Tasks[[#This Row],[_IsLeaf]]=1,Tasks[[#This Row],[_LeafProgress]]&lt;1,OR(N(Tasks[[#This Row],[Finish Var]])&gt;0,Tasks[[#This Row],[Status]]="Late Start")),MAX(0,Tasks[[#This Row],[Finish Var]])+1-Tasks[[#This Row],[_Row]]/1000000,"")</f>
        <v/>
      </c>
      <c r="EQ120" s="38" t="str">
        <f aca="false">IF(AND(Tasks[[#This Row],[_IsLeaf]]=1,N(Tasks[[#This Row],[Actual Start]])=0,Tasks[[#This Row],[_ShownFcstStart]]&gt;=StatusDate,Tasks[[#This Row],[_ShownFcstStart]]&lt;=LookaheadEnd),Tasks[[#This Row],[_ShownFcstStart]]+Tasks[[#This Row],[_Row]]/100000,"")</f>
        <v/>
      </c>
      <c r="ER120" s="38" t="str">
        <f aca="false">IF(AND(Tasks[[#This Row],[_IsLeaf]]=1,Tasks[[#This Row],[_LeafProgress]]&lt;1,Tasks[[#This Row],[_ShownFcstFinish]]&gt;=StatusDate,Tasks[[#This Row],[_ShownFcstFinish]]&lt;=LookaheadEnd),Tasks[[#This Row],[_ShownFcstFinish]]+Tasks[[#This Row],[_Row]]/100000,"")</f>
        <v/>
      </c>
      <c r="ES120" s="38" t="str">
        <f aca="false">IF(Tasks[[#This Row],[_LeafCritical]],Tasks[[#This Row],[_ShownFcstStart]]+Tasks[[#This Row],[_Row]]/100000,"")</f>
        <v/>
      </c>
      <c r="ET120" s="38" t="n">
        <f aca="false">Tasks[[#This Row],[_LeafWork]]*Tasks[[#This Row],[_LeafProgress]]</f>
        <v>0</v>
      </c>
      <c r="EU120" s="115" t="str">
        <f aca="false">IF(AND(Tasks[[#This Row],[_IsLeaf]]=1,Tasks[[#This Row],[_LeafProgress]]&gt;=1),IF(N(Tasks[[#This Row],[Actual Finish]])&gt;0,Tasks[[#This Row],[Actual Finish]],Tasks[[#This Row],[_ShownFcstFinish]]),"")</f>
        <v/>
      </c>
      <c r="EV120" s="38" t="n">
        <f aca="false">IF(Tasks[[#This Row],[_IsLeaf]]=1,N(Tasks[[#This Row],[Story Points]]),0)</f>
        <v>0</v>
      </c>
      <c r="EW120" s="38" t="str">
        <f aca="false">IF(AND(Tasks[[#This Row],[_IsLeaf]]=1,CurrentSprint&lt;&gt;"",Tasks[[#This Row],[Sprint]]=CurrentSprint),Tasks[[#This Row],[_Row]],"")</f>
        <v/>
      </c>
    </row>
    <row r="121" customFormat="false" ht="15" hidden="false" customHeight="false" outlineLevel="0" collapsed="false">
      <c r="A121" s="51" t="str">
        <f aca="false">IF(Tasks[[#This Row],[Task Name]]="","",COUNTA(Tasks[[#Headers],[Task Name]]:Tasks[[#This Row],[Task Name]])-1)</f>
        <v/>
      </c>
      <c r="B121" s="52" t="n">
        <v>116</v>
      </c>
      <c r="C12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52"/>
      <c r="E121" s="53"/>
      <c r="F121" s="52"/>
      <c r="G121" s="52"/>
      <c r="H121" s="52"/>
      <c r="I121" s="52"/>
      <c r="J121" s="52"/>
      <c r="K121" s="52"/>
      <c r="L121" s="52"/>
      <c r="M121" s="52"/>
      <c r="N121" s="52"/>
      <c r="O121" s="52"/>
      <c r="P121" s="52"/>
      <c r="Q121" s="52"/>
      <c r="R121" s="52"/>
      <c r="S121" s="53"/>
      <c r="T121" s="102"/>
      <c r="U121" s="102"/>
      <c r="V121" s="7"/>
      <c r="W121" s="7"/>
      <c r="X121" s="53"/>
      <c r="Y121" s="31" t="str">
        <f aca="false">IF(Tasks[[#This Row],[Task Name]]="","",IF(Tasks[[#This Row],[_IsSummary]],MIN(INDEX(Tasks[_ShownFcstStart],Tasks[[#This Row],[_Row]]+1):INDEX(Tasks[_ShownFcstStart],Tasks[[#This Row],[_Row]]+Tasks[[#This Row],[_Descendants]])),Tasks[[#This Row],[_ShownFcstStart]]))</f>
        <v/>
      </c>
      <c r="Z121" s="31" t="str">
        <f aca="false">IF(Tasks[[#This Row],[Task Name]]="","",IF(Tasks[[#This Row],[_IsSummary]],MAX(INDEX(Tasks[_ShownFcstFinish],Tasks[[#This Row],[_Row]]+1):INDEX(Tasks[_ShownFcstFinish],Tasks[[#This Row],[_Row]]+Tasks[[#This Row],[_Descendants]])),Tasks[[#This Row],[_ShownFcstFinish]]))</f>
        <v/>
      </c>
      <c r="AA121" s="51" t="str">
        <f aca="false">IF(Tasks[[#This Row],[Task Name]]="","",IF(Tasks[[#This Row],[Progress]]&gt;=1,"Complete",IF(OR(N(Tasks[[#This Row],[Actual Start]])&gt;0,Tasks[[#This Row],[Progress]]&gt;0),IF(Tasks[[#This Row],[Finish Var]]&gt;0,"Behind","In Progress"),IF(Tasks[[#This Row],[Planned Start]]&lt;StatusDate,"Late Start","Not Started"))))</f>
        <v/>
      </c>
      <c r="AB121" s="51" t="str">
        <f aca="false">IF(Tasks[[#This Row],[Task Name]]="","",IF(IF(Tasks[[#This Row],[_IsSummary]],COUNTIF(INDEX(Tasks[_LeafCritical],Tasks[[#This Row],[_Row]]+1):INDEX(Tasks[_LeafCritical],Tasks[[#This Row],[_Row]]+Tasks[[#This Row],[_Descendants]]),TRUE())&gt;0,Tasks[[#This Row],[_LeafCritical]]),"Yes",""))</f>
        <v/>
      </c>
      <c r="AC12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1" s="51" t="str">
        <f aca="false">IF(Tasks[[#This Row],[Task Name]]="","",IF(Tasks[[#This Row],[_Level]]&lt;=OutlineShowLevel,"Yes","No"))</f>
        <v/>
      </c>
      <c r="AE121" s="7"/>
      <c r="AF121" s="52"/>
      <c r="AG121" s="53"/>
      <c r="AH121" s="7"/>
      <c r="AI12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1" s="31" t="str">
        <f aca="false">IF(Tasks[[#This Row],[Task Name]]="","",IF(N(Tasks[[#This Row],[Baseline Start]])&gt;0,Tasks[[#This Row],[Baseline Start]],Tasks[[#This Row],[_CalcStart]]))</f>
        <v/>
      </c>
      <c r="AK121" s="31" t="str">
        <f aca="false">IF(Tasks[[#This Row],[Task Name]]="","",IF(N(Tasks[[#This Row],[Baseline Finish]])&gt;0,Tasks[[#This Row],[Baseline Finish]],Tasks[[#This Row],[_CalcFinish]]))</f>
        <v/>
      </c>
      <c r="AL12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1" s="31" t="str">
        <f aca="false">IF(Tasks[[#This Row],[Task Name]]="","",IF(Tasks[[#This Row],[_IsSummary]],MIN(INDEX(Tasks[_LeafLateStart],Tasks[[#This Row],[_Row]]+1):INDEX(Tasks[_LeafLateStart],Tasks[[#This Row],[_Row]]+Tasks[[#This Row],[_Descendants]])),Tasks[[#This Row],[_LeafLateStart]]))</f>
        <v/>
      </c>
      <c r="AN121" s="31" t="str">
        <f aca="false">IF(Tasks[[#This Row],[Task Name]]="","",IF(Tasks[[#This Row],[_IsSummary]],MAX(INDEX(Tasks[_LeafLateFinish],Tasks[[#This Row],[_Row]]+1):INDEX(Tasks[_LeafLateFinish],Tasks[[#This Row],[_Row]]+Tasks[[#This Row],[_Descendants]])),Tasks[[#This Row],[_LeafLateFinish]]))</f>
        <v/>
      </c>
      <c r="AO121" s="51" t="str">
        <f aca="false">IF(Tasks[[#This Row],[Task Name]]="","",IF(Tasks[[#This Row],[_IsSummary]],MIN(INDEX(Tasks[_LeafTotalSlack],Tasks[[#This Row],[_Row]]+1):INDEX(Tasks[_LeafTotalSlack],Tasks[[#This Row],[_Row]]+Tasks[[#This Row],[_Descendants]])),Tasks[[#This Row],[_LeafTotalSlack]]))</f>
        <v/>
      </c>
      <c r="AP12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1" s="110" t="str">
        <f aca="false">IF(Tasks[[#This Row],[Task Name]]="","",IF(Tasks[[#This Row],[_IsSummary]],SUM(INDEX(Tasks[_LeafTotalWork],Tasks[[#This Row],[_Row]]+1):INDEX(Tasks[_LeafTotalWork],Tasks[[#This Row],[_Row]]+Tasks[[#This Row],[_Descendants]])),Tasks[[#This Row],[_LeafTotalWork]]))</f>
        <v/>
      </c>
      <c r="AV12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1" s="111" t="str">
        <f aca="false">IF(Tasks[[#This Row],[Task Name]]="","",IF(Tasks[[#This Row],[_IsSummary]],SUM(INDEX(Tasks[_LeafTotalCost],Tasks[[#This Row],[_Row]]+1):INDEX(Tasks[_LeafTotalCost],Tasks[[#This Row],[_Row]]+Tasks[[#This Row],[_Descendants]])),Tasks[[#This Row],[_LeafTotalCost]]))</f>
        <v/>
      </c>
      <c r="AY121" s="112"/>
      <c r="AZ12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1" s="52"/>
      <c r="BB121" s="98"/>
      <c r="BC121" s="51" t="str">
        <f aca="false">IF(OR(Tasks[[#This Row],[Task Name]]="",Tasks[[#This Row],[Baseline Duration]]=""),"",Tasks[[#This Row],[BL Source Duration]]-N(Tasks[[#This Row],[Baseline Duration]]))</f>
        <v/>
      </c>
      <c r="BD121" s="110" t="str">
        <f aca="false">IF(OR(Tasks[[#This Row],[Task Name]]="",Tasks[[#This Row],[Baseline Work]]=""),"",Tasks[[#This Row],[Work]]-N(Tasks[[#This Row],[Baseline Work]]))</f>
        <v/>
      </c>
      <c r="BE121" s="111" t="str">
        <f aca="false">IF(OR(Tasks[[#This Row],[Task Name]]="",Tasks[[#This Row],[Baseline Cost]]=""),"",Tasks[[#This Row],[Cost]]-N(Tasks[[#This Row],[Baseline Cost]]))</f>
        <v/>
      </c>
      <c r="BF121" s="31" t="str">
        <f aca="false">IF(Tasks[[#This Row],[Task Name]]="","",Tasks[[#This Row],[Forecast Start]])</f>
        <v/>
      </c>
      <c r="BG121" s="31" t="str">
        <f aca="false">IF(Tasks[[#This Row],[Task Name]]="","",Tasks[[#This Row],[Forecast Finish]])</f>
        <v/>
      </c>
      <c r="BH121" s="51" t="str">
        <f aca="false">IF(Tasks[[#This Row],[Task Name]]="","",IF(Tasks[[#This Row],[_IsSummary]],NETWORKDAYS.INTL(Tasks[[#This Row],[Forecast Start]],Tasks[[#This Row],[Forecast Finish]],WorkWeek,Holidays),N(Tasks[[#This Row],[Duration]])))</f>
        <v/>
      </c>
      <c r="BI121" s="110" t="str">
        <f aca="false">IF(Tasks[[#This Row],[Task Name]]="","",Tasks[[#This Row],[Work]])</f>
        <v/>
      </c>
      <c r="BJ121" s="111" t="str">
        <f aca="false">IF(Tasks[[#This Row],[Task Name]]="","",Tasks[[#This Row],[Cost]])</f>
        <v/>
      </c>
      <c r="BK121" s="7"/>
      <c r="BL121" s="7"/>
      <c r="BM121" s="52"/>
      <c r="BN121" s="113"/>
      <c r="BO121" s="112"/>
      <c r="BP121" s="111" t="str">
        <f aca="false">IF(Tasks[[#This Row],[Task Name]]="","",IF(Tasks[[#This Row],[_IsSummary]],SUM(INDEX(Tasks[_LeafEV],Tasks[[#This Row],[_Row]]+1):INDEX(Tasks[_LeafEV],Tasks[[#This Row],[_Row]]+Tasks[[#This Row],[_Descendants]])),Tasks[[#This Row],[_LeafEV]]))</f>
        <v/>
      </c>
      <c r="BQ121" s="111" t="str">
        <f aca="false">IF(Tasks[[#This Row],[Task Name]]="","",IF(Tasks[[#This Row],[_IsSummary]],SUM(INDEX(Tasks[_LeafBudget],Tasks[[#This Row],[_Row]]+1):INDEX(Tasks[_LeafBudget],Tasks[[#This Row],[_Row]]+Tasks[[#This Row],[_Descendants]])),Tasks[[#This Row],[_LeafBudget]]))</f>
        <v/>
      </c>
      <c r="BR121" s="111" t="str">
        <f aca="false">IF(Tasks[[#This Row],[Task Name]]="","",IF(Tasks[[#This Row],[_IsSummary]],SUM(INDEX(Tasks[_LeafPV],Tasks[[#This Row],[_Row]]+1):INDEX(Tasks[_LeafPV],Tasks[[#This Row],[_Row]]+Tasks[[#This Row],[_Descendants]])),Tasks[[#This Row],[_LeafPV]]))</f>
        <v/>
      </c>
      <c r="BS121" s="111" t="str">
        <f aca="false">IF(Tasks[[#This Row],[Task Name]]="","",IF(Tasks[[#This Row],[_IsSummary]],SUM(INDEX(Tasks[_LeafAC],Tasks[[#This Row],[_Row]]+1):INDEX(Tasks[_LeafAC],Tasks[[#This Row],[_Row]]+Tasks[[#This Row],[_Descendants]])),Tasks[[#This Row],[_LeafAC]]))</f>
        <v/>
      </c>
      <c r="BT121" s="38" t="str">
        <f aca="false">IF(Tasks[[#This Row],[Task Name]]="","",MAX(1,N(Tasks[[#This Row],[Level]])))</f>
        <v/>
      </c>
      <c r="BU121" s="38" t="n">
        <f aca="false">ROW()-ROW(Tasks[[#Headers],[ID]])</f>
        <v>116</v>
      </c>
      <c r="BV121" s="38" t="n">
        <f aca="false">IF(OR(Tasks[[#This Row],[Task Name]]="",Tasks[[#This Row],[_Level]]&lt;=1),0,IFERROR(LOOKUP(2,1/(Tasks[[#Headers],[_Level]]:Tasks[[#This Row],[_Level]]=Tasks[[#This Row],[_Level]]-1),ROW(Tasks[[#Headers],[_Level]]:Tasks[[#This Row],[_Level]])),0))</f>
        <v>0</v>
      </c>
      <c r="BW121" s="38" t="n">
        <f aca="false">IFERROR(N(INDEX(Tasks[_Level],Tasks[[#This Row],[_Row]]+1)),0)</f>
        <v>0</v>
      </c>
      <c r="BX121" s="114" t="b">
        <f aca="false">AND(Tasks[[#This Row],[Task Name]]&lt;&gt;"",Tasks[[#This Row],[_NextLevel]]&gt;Tasks[[#This Row],[_Level]])</f>
        <v>0</v>
      </c>
      <c r="BY121" s="38" t="n">
        <f aca="false">IF(Tasks[[#This Row],[_IsSummary]],COUNTIF(Tasks[WBS],Tasks[[#This Row],[WBS]]&amp;".*"),0)</f>
        <v>0</v>
      </c>
      <c r="BZ121" s="38" t="n">
        <f aca="false">IF(AND(Tasks[[#This Row],[Task Name]]&lt;&gt;"",NOT(Tasks[[#This Row],[_IsSummary]])),1,0)</f>
        <v>0</v>
      </c>
      <c r="CA121" s="38" t="n">
        <f aca="false">IF(N(Tasks[[#This Row],[Pred1 UID]])=0,0,IFERROR(MATCH(Tasks[[#This Row],[Pred1 UID]],Tasks[UID],0),-1))</f>
        <v>0</v>
      </c>
      <c r="CB121" s="38" t="n">
        <f aca="false">IF(N(Tasks[[#This Row],[Pred2 UID]])=0,0,IFERROR(MATCH(Tasks[[#This Row],[Pred2 UID]],Tasks[UID],0),-1))</f>
        <v>0</v>
      </c>
      <c r="CC121" s="38" t="n">
        <f aca="false">IF(N(Tasks[[#This Row],[Pred3 UID]])=0,0,IFERROR(MATCH(Tasks[[#This Row],[Pred3 UID]],Tasks[UID],0),-1))</f>
        <v>0</v>
      </c>
      <c r="CD121" s="38" t="n">
        <f aca="false">IF(N(Tasks[[#This Row],[Pred4 UID]])=0,0,IFERROR(MATCH(Tasks[[#This Row],[Pred4 UID]],Tasks[UID],0),-1))</f>
        <v>0</v>
      </c>
      <c r="CE12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1" s="115" t="n">
        <f aca="false">IF(OR(Tasks[[#This Row],[_ConstraintCode]]=2,Tasks[[#This Row],[_ConstraintCode]]=3,Tasks[[#This Row],[_ConstraintCode]]=4,Tasks[[#This Row],[_ConstraintCode]]=6),Tasks[[#This Row],[_ConstraintStart]],0)</f>
        <v>0</v>
      </c>
      <c r="CH121" s="115" t="n">
        <f aca="false">IF(OR(Tasks[[#This Row],[_ConstraintCode]]=2,Tasks[[#This Row],[_ConstraintCode]]=3,Tasks[[#This Row],[_ConstraintCode]]=5,Tasks[[#This Row],[_ConstraintCode]]=7),Tasks[[#This Row],[_ConstraintStart]],2958465)</f>
        <v>2958465</v>
      </c>
      <c r="CI12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1" s="115" t="str">
        <f aca="false">IF(NOT(Tasks[[#This Row],[_IsLeaf]]=1),"",IF(N(Tasks[[#This Row],[Duration]])&lt;=0,Tasks[[#This Row],[_LeafCalcStart]],WORKDAY.INTL(Tasks[[#This Row],[_LeafCalcStart]],Tasks[[#This Row],[Duration]]-1,WorkWeek,Holidays)))</f>
        <v/>
      </c>
      <c r="CK12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1" s="38" t="n">
        <f aca="false">IF(NOT(Tasks[[#This Row],[_IsLeaf]]=1),0,IF(N(Tasks[[#This Row],[Actual Finish]])&gt;0,1,MIN(1,N(Tasks[[#This Row],[% Complete]]))))</f>
        <v>0</v>
      </c>
      <c r="CN121" s="38" t="n">
        <f aca="false">IF(OR(NOT(Tasks[[#This Row],[_IsLeaf]]=1),Tasks[[#This Row],[Resource]]=""),0,N(Tasks[[#This Row],[Duration]])*HoursPerDay*IF(Tasks[[#This Row],[Units]]="",DefaultUnits,Tasks[[#This Row],[Units]]))</f>
        <v>0</v>
      </c>
      <c r="CO121" s="38" t="n">
        <f aca="false">IF(Tasks[[#This Row],[_LeafWork]]=0,0,Tasks[[#This Row],[_LeafWork]]*IFERROR(INDEX(res_Rate,MATCH(Tasks[[#This Row],[Resource]],res_Name,0)),0))</f>
        <v>0</v>
      </c>
      <c r="CP121" s="38" t="n">
        <f aca="false">Tasks[[#This Row],[_LeafWork]]+IF(Tasks[[#This Row],[_IsLeaf]]=1,SUMIFS(asg_Work,asg_TaskUID,Tasks[[#This Row],[UID]],asg_Valid,1),0)</f>
        <v>0</v>
      </c>
      <c r="CQ121" s="38" t="n">
        <f aca="false">Tasks[[#This Row],[_LeafCost]]+IF(Tasks[[#This Row],[_IsLeaf]]=1,SUMIFS(asg_Cost,asg_TaskUID,Tasks[[#This Row],[UID]],asg_Valid,1),0)</f>
        <v>0</v>
      </c>
      <c r="CR121" s="38" t="n">
        <f aca="false">IF(Tasks[[#This Row],[_LeafTotalCost]]=0,Tasks[[#This Row],[_LeafAC]],Tasks[[#This Row],[_LeafAC]]*Tasks[[#This Row],[_LeafCost]]/Tasks[[#This Row],[_LeafTotalCost]])</f>
        <v>0</v>
      </c>
      <c r="CS12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1" s="38" t="n">
        <f aca="false">IF(NOT(Tasks[[#This Row],[_IsLeaf]]=1),0,MAX(_xlfn.MAXIFS(Tasks[_Row],Tasks[Pred1 UID],Tasks[[#This Row],[UID]]),_xlfn.MAXIFS(Tasks[_Row],Tasks[Pred2 UID],Tasks[[#This Row],[UID]]),_xlfn.MAXIFS(Tasks[_Row],Tasks[Pred3 UID],Tasks[[#This Row],[UID]]),_xlfn.MAXIFS(Tasks[_Row],Tasks[Pred4 UID],Tasks[[#This Row],[UID]])))</f>
        <v>0</v>
      </c>
      <c r="DB12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1" s="115" t="str">
        <f aca="false">IF(NOT(Tasks[[#This Row],[_IsLeaf]]=1),"",IF(N(Tasks[[#This Row],[Duration]])&lt;=0,Tasks[[#This Row],[_LeafLateFinish]],WORKDAY.INTL(Tasks[[#This Row],[_LeafLateFinish]],-(Tasks[[#This Row],[Duration]]-1),WorkWeek,Holidays)))</f>
        <v/>
      </c>
      <c r="DE12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1" s="114" t="b">
        <f aca="false">AND(Tasks[[#This Row],[_IsLeaf]]=1,Tasks[[#This Row],[_LeafProgress]]&lt;1,N(Tasks[[#This Row],[_LeafTotalSlack]])&lt;=CriticalSlackDays)</f>
        <v>0</v>
      </c>
      <c r="DG121" s="38" t="n">
        <f aca="false">IF(AND(Tasks[[#This Row],[_IsLeaf]]=1,Tasks[[#This Row],[_ConstraintCode]]=1,Tasks[[#This Row],[Mode]]&lt;&gt;"Manual",N(Tasks[[#This Row],[Actual Start]])=0),MAX(0,N(Tasks[[#This Row],[Free Slack]])),0)</f>
        <v>0</v>
      </c>
      <c r="DH121" s="115" t="str">
        <f aca="false">IF(NOT(Tasks[[#This Row],[_IsLeaf]]=1),"",IF(Tasks[[#This Row],[_AlapShift]]=0,Tasks[[#This Row],[_LeafCalcStart]],WORKDAY.INTL(Tasks[[#This Row],[_LeafCalcStart]],Tasks[[#This Row],[_AlapShift]],WorkWeek,Holidays)))</f>
        <v/>
      </c>
      <c r="DI121" s="115" t="str">
        <f aca="false">IF(NOT(Tasks[[#This Row],[_IsLeaf]]=1),"",IF(Tasks[[#This Row],[_AlapShift]]=0,Tasks[[#This Row],[_LeafCalcFinish]],WORKDAY.INTL(Tasks[[#This Row],[_LeafCalcFinish]],Tasks[[#This Row],[_AlapShift]],WorkWeek,Holidays)))</f>
        <v/>
      </c>
      <c r="DJ121" s="115" t="str">
        <f aca="false">IF(NOT(Tasks[[#This Row],[_IsLeaf]]=1),"",IF(Tasks[[#This Row],[_AlapShift]]=0,Tasks[[#This Row],[_LeafFcstStart]],WORKDAY.INTL(Tasks[[#This Row],[_LeafFcstStart]],Tasks[[#This Row],[_AlapShift]],WorkWeek,Holidays)))</f>
        <v/>
      </c>
      <c r="DK121" s="115" t="str">
        <f aca="false">IF(NOT(Tasks[[#This Row],[_IsLeaf]]=1),"",IF(Tasks[[#This Row],[_AlapShift]]=0,Tasks[[#This Row],[_LeafFcstFinish]],WORKDAY.INTL(Tasks[[#This Row],[_LeafFcstFinish]],Tasks[[#This Row],[_AlapShift]],WorkWeek,Holidays)))</f>
        <v/>
      </c>
      <c r="DL121" s="115" t="str">
        <f aca="false">IF(Tasks[[#This Row],[Task Name]]="","",IF(Tasks[[#This Row],[_IsSummary]],MIN(INDEX(Tasks[_ShownCalcStart],Tasks[[#This Row],[_Row]]+1):INDEX(Tasks[_ShownCalcStart],Tasks[[#This Row],[_Row]]+Tasks[[#This Row],[_Descendants]])),Tasks[[#This Row],[_ShownCalcStart]]))</f>
        <v/>
      </c>
      <c r="DM121" s="115" t="str">
        <f aca="false">IF(Tasks[[#This Row],[Task Name]]="","",IF(Tasks[[#This Row],[_IsSummary]],MAX(INDEX(Tasks[_ShownCalcFinish],Tasks[[#This Row],[_Row]]+1):INDEX(Tasks[_ShownCalcFinish],Tasks[[#This Row],[_Row]]+Tasks[[#This Row],[_Descendants]])),Tasks[[#This Row],[_ShownCalcFinish]]))</f>
        <v/>
      </c>
      <c r="DN12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1" s="38" t="n">
        <f aca="false">IF(AND(Tasks[[#This Row],[_IsLeaf]]=1,Tasks[[#This Row],[_LeafTotalWork]]&gt;0),NETWORKDAYS.INTL(ProjectStart,Tasks[[#This Row],[_ShownFcstStart]],WorkWeek,Holidays),0)</f>
        <v>0</v>
      </c>
      <c r="EA121" s="38" t="n">
        <f aca="false">IF(AND(Tasks[[#This Row],[_IsLeaf]]=1,Tasks[[#This Row],[_LeafTotalWork]]&gt;0),MAX(Tasks[[#This Row],[_StartWorkday]],NETWORKDAYS.INTL(ProjectStart,Tasks[[#This Row],[_ShownFcstFinish]],WorkWeek,Holidays)),0)</f>
        <v>0</v>
      </c>
      <c r="EB121" s="38" t="n">
        <f aca="false">IF(AND(Tasks[[#This Row],[_IsLeaf]]=1,Tasks[[#This Row],[_LeafTotalWork]]&gt;0),Tasks[[#This Row],[_LeafWork]]/(Tasks[[#This Row],[_FinishWorkday]]-Tasks[[#This Row],[_StartWorkday]]+1),0)</f>
        <v>0</v>
      </c>
      <c r="EC121" s="38" t="n">
        <f aca="false">Tasks[[#This Row],[_WorkPerWorkday]]*(Tasks[[#This Row],[_StartWorkday]]-1)</f>
        <v>-0</v>
      </c>
      <c r="ED121" s="38" t="n">
        <f aca="false">IF(Tasks[[#This Row],[_IsLeaf]]=1,MAX(N(Tasks[[#This Row],[Duration]]),0.1),0)</f>
        <v>0</v>
      </c>
      <c r="EE121" s="38" t="n">
        <f aca="false">Tasks[[#This Row],[_WeightDur]]*Tasks[[#This Row],[_LeafProgress]]</f>
        <v>0</v>
      </c>
      <c r="EF12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1" s="38" t="str">
        <f aca="false">IF(AND(Tasks[[#This Row],[_IsLeaf]]=1,N(Tasks[[#This Row],[Duration]])=0,Tasks[[#This Row],[_LeafProgress]]&lt;1),Tasks[[#This Row],[_ShownFcstFinish]]+Tasks[[#This Row],[_Row]]/100000,"")</f>
        <v/>
      </c>
      <c r="EH12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1" s="38" t="n">
        <f aca="false">IF(NOT(Tasks[[#This Row],[_IsLeaf]]=1),0,IF(Tasks[[#This Row],[Baseline Cost]]="",Tasks[[#This Row],[_LeafTotalCost]],N(Tasks[[#This Row],[Baseline Cost]])))</f>
        <v>0</v>
      </c>
      <c r="EJ121" s="38" t="n">
        <f aca="false">Tasks[[#This Row],[_LeafBudget]]*Tasks[[#This Row],[_PlannedPct]]</f>
        <v>0</v>
      </c>
      <c r="EK121" s="38" t="n">
        <f aca="false">Tasks[[#This Row],[_LeafBudget]]*Tasks[[#This Row],[_LeafProgress]]</f>
        <v>0</v>
      </c>
      <c r="EL121" s="38" t="n">
        <f aca="false">IF(NOT(Tasks[[#This Row],[_IsLeaf]]=1),0,IF(Tasks[[#This Row],[Actual Cost]]="",Tasks[[#This Row],[_LeafTotalCost]]*Tasks[[#This Row],[_LeafProgress]],N(Tasks[[#This Row],[Actual Cost]])))</f>
        <v>0</v>
      </c>
      <c r="EM121" s="38" t="str">
        <f aca="false">IF(Tasks[[#This Row],[Task Name]]="","",LEFT(Tasks[[#This Row],[WBS]],FIND(".",Tasks[[#This Row],[WBS]]&amp;".")-1))</f>
        <v/>
      </c>
      <c r="EN121" s="38" t="str">
        <f aca="false">IF(AND(Tasks[[#This Row],[Task Name]]&lt;&gt;"",Tasks[[#This Row],[_Level]]=1),Tasks[[#This Row],[_Row]],"")</f>
        <v/>
      </c>
      <c r="EO121" s="38" t="str">
        <f aca="false">IF(AND(Tasks[[#This Row],[_IsLeaf]]=1,N(Tasks[[#This Row],[Duration]])=0),Tasks[[#This Row],[Planned Finish]]+Tasks[[#This Row],[_Row]]/100000,"")</f>
        <v/>
      </c>
      <c r="EP121" s="38" t="str">
        <f aca="false">IF(AND(Tasks[[#This Row],[_IsLeaf]]=1,Tasks[[#This Row],[_LeafProgress]]&lt;1,OR(N(Tasks[[#This Row],[Finish Var]])&gt;0,Tasks[[#This Row],[Status]]="Late Start")),MAX(0,Tasks[[#This Row],[Finish Var]])+1-Tasks[[#This Row],[_Row]]/1000000,"")</f>
        <v/>
      </c>
      <c r="EQ121" s="38" t="str">
        <f aca="false">IF(AND(Tasks[[#This Row],[_IsLeaf]]=1,N(Tasks[[#This Row],[Actual Start]])=0,Tasks[[#This Row],[_ShownFcstStart]]&gt;=StatusDate,Tasks[[#This Row],[_ShownFcstStart]]&lt;=LookaheadEnd),Tasks[[#This Row],[_ShownFcstStart]]+Tasks[[#This Row],[_Row]]/100000,"")</f>
        <v/>
      </c>
      <c r="ER121" s="38" t="str">
        <f aca="false">IF(AND(Tasks[[#This Row],[_IsLeaf]]=1,Tasks[[#This Row],[_LeafProgress]]&lt;1,Tasks[[#This Row],[_ShownFcstFinish]]&gt;=StatusDate,Tasks[[#This Row],[_ShownFcstFinish]]&lt;=LookaheadEnd),Tasks[[#This Row],[_ShownFcstFinish]]+Tasks[[#This Row],[_Row]]/100000,"")</f>
        <v/>
      </c>
      <c r="ES121" s="38" t="str">
        <f aca="false">IF(Tasks[[#This Row],[_LeafCritical]],Tasks[[#This Row],[_ShownFcstStart]]+Tasks[[#This Row],[_Row]]/100000,"")</f>
        <v/>
      </c>
      <c r="ET121" s="38" t="n">
        <f aca="false">Tasks[[#This Row],[_LeafWork]]*Tasks[[#This Row],[_LeafProgress]]</f>
        <v>0</v>
      </c>
      <c r="EU121" s="115" t="str">
        <f aca="false">IF(AND(Tasks[[#This Row],[_IsLeaf]]=1,Tasks[[#This Row],[_LeafProgress]]&gt;=1),IF(N(Tasks[[#This Row],[Actual Finish]])&gt;0,Tasks[[#This Row],[Actual Finish]],Tasks[[#This Row],[_ShownFcstFinish]]),"")</f>
        <v/>
      </c>
      <c r="EV121" s="38" t="n">
        <f aca="false">IF(Tasks[[#This Row],[_IsLeaf]]=1,N(Tasks[[#This Row],[Story Points]]),0)</f>
        <v>0</v>
      </c>
      <c r="EW121" s="38" t="str">
        <f aca="false">IF(AND(Tasks[[#This Row],[_IsLeaf]]=1,CurrentSprint&lt;&gt;"",Tasks[[#This Row],[Sprint]]=CurrentSprint),Tasks[[#This Row],[_Row]],"")</f>
        <v/>
      </c>
    </row>
    <row r="122" customFormat="false" ht="15" hidden="false" customHeight="false" outlineLevel="0" collapsed="false">
      <c r="A122" s="51" t="str">
        <f aca="false">IF(Tasks[[#This Row],[Task Name]]="","",COUNTA(Tasks[[#Headers],[Task Name]]:Tasks[[#This Row],[Task Name]])-1)</f>
        <v/>
      </c>
      <c r="B122" s="52" t="n">
        <v>117</v>
      </c>
      <c r="C12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52"/>
      <c r="E122" s="53"/>
      <c r="F122" s="52"/>
      <c r="G122" s="52"/>
      <c r="H122" s="52"/>
      <c r="I122" s="52"/>
      <c r="J122" s="52"/>
      <c r="K122" s="52"/>
      <c r="L122" s="52"/>
      <c r="M122" s="52"/>
      <c r="N122" s="52"/>
      <c r="O122" s="52"/>
      <c r="P122" s="52"/>
      <c r="Q122" s="52"/>
      <c r="R122" s="52"/>
      <c r="S122" s="53"/>
      <c r="T122" s="102"/>
      <c r="U122" s="102"/>
      <c r="V122" s="7"/>
      <c r="W122" s="7"/>
      <c r="X122" s="53"/>
      <c r="Y122" s="31" t="str">
        <f aca="false">IF(Tasks[[#This Row],[Task Name]]="","",IF(Tasks[[#This Row],[_IsSummary]],MIN(INDEX(Tasks[_ShownFcstStart],Tasks[[#This Row],[_Row]]+1):INDEX(Tasks[_ShownFcstStart],Tasks[[#This Row],[_Row]]+Tasks[[#This Row],[_Descendants]])),Tasks[[#This Row],[_ShownFcstStart]]))</f>
        <v/>
      </c>
      <c r="Z122" s="31" t="str">
        <f aca="false">IF(Tasks[[#This Row],[Task Name]]="","",IF(Tasks[[#This Row],[_IsSummary]],MAX(INDEX(Tasks[_ShownFcstFinish],Tasks[[#This Row],[_Row]]+1):INDEX(Tasks[_ShownFcstFinish],Tasks[[#This Row],[_Row]]+Tasks[[#This Row],[_Descendants]])),Tasks[[#This Row],[_ShownFcstFinish]]))</f>
        <v/>
      </c>
      <c r="AA122" s="51" t="str">
        <f aca="false">IF(Tasks[[#This Row],[Task Name]]="","",IF(Tasks[[#This Row],[Progress]]&gt;=1,"Complete",IF(OR(N(Tasks[[#This Row],[Actual Start]])&gt;0,Tasks[[#This Row],[Progress]]&gt;0),IF(Tasks[[#This Row],[Finish Var]]&gt;0,"Behind","In Progress"),IF(Tasks[[#This Row],[Planned Start]]&lt;StatusDate,"Late Start","Not Started"))))</f>
        <v/>
      </c>
      <c r="AB122" s="51" t="str">
        <f aca="false">IF(Tasks[[#This Row],[Task Name]]="","",IF(IF(Tasks[[#This Row],[_IsSummary]],COUNTIF(INDEX(Tasks[_LeafCritical],Tasks[[#This Row],[_Row]]+1):INDEX(Tasks[_LeafCritical],Tasks[[#This Row],[_Row]]+Tasks[[#This Row],[_Descendants]]),TRUE())&gt;0,Tasks[[#This Row],[_LeafCritical]]),"Yes",""))</f>
        <v/>
      </c>
      <c r="AC12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2" s="51" t="str">
        <f aca="false">IF(Tasks[[#This Row],[Task Name]]="","",IF(Tasks[[#This Row],[_Level]]&lt;=OutlineShowLevel,"Yes","No"))</f>
        <v/>
      </c>
      <c r="AE122" s="7"/>
      <c r="AF122" s="52"/>
      <c r="AG122" s="53"/>
      <c r="AH122" s="7"/>
      <c r="AI12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2" s="31" t="str">
        <f aca="false">IF(Tasks[[#This Row],[Task Name]]="","",IF(N(Tasks[[#This Row],[Baseline Start]])&gt;0,Tasks[[#This Row],[Baseline Start]],Tasks[[#This Row],[_CalcStart]]))</f>
        <v/>
      </c>
      <c r="AK122" s="31" t="str">
        <f aca="false">IF(Tasks[[#This Row],[Task Name]]="","",IF(N(Tasks[[#This Row],[Baseline Finish]])&gt;0,Tasks[[#This Row],[Baseline Finish]],Tasks[[#This Row],[_CalcFinish]]))</f>
        <v/>
      </c>
      <c r="AL12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2" s="31" t="str">
        <f aca="false">IF(Tasks[[#This Row],[Task Name]]="","",IF(Tasks[[#This Row],[_IsSummary]],MIN(INDEX(Tasks[_LeafLateStart],Tasks[[#This Row],[_Row]]+1):INDEX(Tasks[_LeafLateStart],Tasks[[#This Row],[_Row]]+Tasks[[#This Row],[_Descendants]])),Tasks[[#This Row],[_LeafLateStart]]))</f>
        <v/>
      </c>
      <c r="AN122" s="31" t="str">
        <f aca="false">IF(Tasks[[#This Row],[Task Name]]="","",IF(Tasks[[#This Row],[_IsSummary]],MAX(INDEX(Tasks[_LeafLateFinish],Tasks[[#This Row],[_Row]]+1):INDEX(Tasks[_LeafLateFinish],Tasks[[#This Row],[_Row]]+Tasks[[#This Row],[_Descendants]])),Tasks[[#This Row],[_LeafLateFinish]]))</f>
        <v/>
      </c>
      <c r="AO122" s="51" t="str">
        <f aca="false">IF(Tasks[[#This Row],[Task Name]]="","",IF(Tasks[[#This Row],[_IsSummary]],MIN(INDEX(Tasks[_LeafTotalSlack],Tasks[[#This Row],[_Row]]+1):INDEX(Tasks[_LeafTotalSlack],Tasks[[#This Row],[_Row]]+Tasks[[#This Row],[_Descendants]])),Tasks[[#This Row],[_LeafTotalSlack]]))</f>
        <v/>
      </c>
      <c r="AP12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2" s="110" t="str">
        <f aca="false">IF(Tasks[[#This Row],[Task Name]]="","",IF(Tasks[[#This Row],[_IsSummary]],SUM(INDEX(Tasks[_LeafTotalWork],Tasks[[#This Row],[_Row]]+1):INDEX(Tasks[_LeafTotalWork],Tasks[[#This Row],[_Row]]+Tasks[[#This Row],[_Descendants]])),Tasks[[#This Row],[_LeafTotalWork]]))</f>
        <v/>
      </c>
      <c r="AV12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2" s="111" t="str">
        <f aca="false">IF(Tasks[[#This Row],[Task Name]]="","",IF(Tasks[[#This Row],[_IsSummary]],SUM(INDEX(Tasks[_LeafTotalCost],Tasks[[#This Row],[_Row]]+1):INDEX(Tasks[_LeafTotalCost],Tasks[[#This Row],[_Row]]+Tasks[[#This Row],[_Descendants]])),Tasks[[#This Row],[_LeafTotalCost]]))</f>
        <v/>
      </c>
      <c r="AY122" s="112"/>
      <c r="AZ12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2" s="52"/>
      <c r="BB122" s="98"/>
      <c r="BC122" s="51" t="str">
        <f aca="false">IF(OR(Tasks[[#This Row],[Task Name]]="",Tasks[[#This Row],[Baseline Duration]]=""),"",Tasks[[#This Row],[BL Source Duration]]-N(Tasks[[#This Row],[Baseline Duration]]))</f>
        <v/>
      </c>
      <c r="BD122" s="110" t="str">
        <f aca="false">IF(OR(Tasks[[#This Row],[Task Name]]="",Tasks[[#This Row],[Baseline Work]]=""),"",Tasks[[#This Row],[Work]]-N(Tasks[[#This Row],[Baseline Work]]))</f>
        <v/>
      </c>
      <c r="BE122" s="111" t="str">
        <f aca="false">IF(OR(Tasks[[#This Row],[Task Name]]="",Tasks[[#This Row],[Baseline Cost]]=""),"",Tasks[[#This Row],[Cost]]-N(Tasks[[#This Row],[Baseline Cost]]))</f>
        <v/>
      </c>
      <c r="BF122" s="31" t="str">
        <f aca="false">IF(Tasks[[#This Row],[Task Name]]="","",Tasks[[#This Row],[Forecast Start]])</f>
        <v/>
      </c>
      <c r="BG122" s="31" t="str">
        <f aca="false">IF(Tasks[[#This Row],[Task Name]]="","",Tasks[[#This Row],[Forecast Finish]])</f>
        <v/>
      </c>
      <c r="BH122" s="51" t="str">
        <f aca="false">IF(Tasks[[#This Row],[Task Name]]="","",IF(Tasks[[#This Row],[_IsSummary]],NETWORKDAYS.INTL(Tasks[[#This Row],[Forecast Start]],Tasks[[#This Row],[Forecast Finish]],WorkWeek,Holidays),N(Tasks[[#This Row],[Duration]])))</f>
        <v/>
      </c>
      <c r="BI122" s="110" t="str">
        <f aca="false">IF(Tasks[[#This Row],[Task Name]]="","",Tasks[[#This Row],[Work]])</f>
        <v/>
      </c>
      <c r="BJ122" s="111" t="str">
        <f aca="false">IF(Tasks[[#This Row],[Task Name]]="","",Tasks[[#This Row],[Cost]])</f>
        <v/>
      </c>
      <c r="BK122" s="7"/>
      <c r="BL122" s="7"/>
      <c r="BM122" s="52"/>
      <c r="BN122" s="113"/>
      <c r="BO122" s="112"/>
      <c r="BP122" s="111" t="str">
        <f aca="false">IF(Tasks[[#This Row],[Task Name]]="","",IF(Tasks[[#This Row],[_IsSummary]],SUM(INDEX(Tasks[_LeafEV],Tasks[[#This Row],[_Row]]+1):INDEX(Tasks[_LeafEV],Tasks[[#This Row],[_Row]]+Tasks[[#This Row],[_Descendants]])),Tasks[[#This Row],[_LeafEV]]))</f>
        <v/>
      </c>
      <c r="BQ122" s="111" t="str">
        <f aca="false">IF(Tasks[[#This Row],[Task Name]]="","",IF(Tasks[[#This Row],[_IsSummary]],SUM(INDEX(Tasks[_LeafBudget],Tasks[[#This Row],[_Row]]+1):INDEX(Tasks[_LeafBudget],Tasks[[#This Row],[_Row]]+Tasks[[#This Row],[_Descendants]])),Tasks[[#This Row],[_LeafBudget]]))</f>
        <v/>
      </c>
      <c r="BR122" s="111" t="str">
        <f aca="false">IF(Tasks[[#This Row],[Task Name]]="","",IF(Tasks[[#This Row],[_IsSummary]],SUM(INDEX(Tasks[_LeafPV],Tasks[[#This Row],[_Row]]+1):INDEX(Tasks[_LeafPV],Tasks[[#This Row],[_Row]]+Tasks[[#This Row],[_Descendants]])),Tasks[[#This Row],[_LeafPV]]))</f>
        <v/>
      </c>
      <c r="BS122" s="111" t="str">
        <f aca="false">IF(Tasks[[#This Row],[Task Name]]="","",IF(Tasks[[#This Row],[_IsSummary]],SUM(INDEX(Tasks[_LeafAC],Tasks[[#This Row],[_Row]]+1):INDEX(Tasks[_LeafAC],Tasks[[#This Row],[_Row]]+Tasks[[#This Row],[_Descendants]])),Tasks[[#This Row],[_LeafAC]]))</f>
        <v/>
      </c>
      <c r="BT122" s="38" t="str">
        <f aca="false">IF(Tasks[[#This Row],[Task Name]]="","",MAX(1,N(Tasks[[#This Row],[Level]])))</f>
        <v/>
      </c>
      <c r="BU122" s="38" t="n">
        <f aca="false">ROW()-ROW(Tasks[[#Headers],[ID]])</f>
        <v>117</v>
      </c>
      <c r="BV122" s="38" t="n">
        <f aca="false">IF(OR(Tasks[[#This Row],[Task Name]]="",Tasks[[#This Row],[_Level]]&lt;=1),0,IFERROR(LOOKUP(2,1/(Tasks[[#Headers],[_Level]]:Tasks[[#This Row],[_Level]]=Tasks[[#This Row],[_Level]]-1),ROW(Tasks[[#Headers],[_Level]]:Tasks[[#This Row],[_Level]])),0))</f>
        <v>0</v>
      </c>
      <c r="BW122" s="38" t="n">
        <f aca="false">IFERROR(N(INDEX(Tasks[_Level],Tasks[[#This Row],[_Row]]+1)),0)</f>
        <v>0</v>
      </c>
      <c r="BX122" s="114" t="b">
        <f aca="false">AND(Tasks[[#This Row],[Task Name]]&lt;&gt;"",Tasks[[#This Row],[_NextLevel]]&gt;Tasks[[#This Row],[_Level]])</f>
        <v>0</v>
      </c>
      <c r="BY122" s="38" t="n">
        <f aca="false">IF(Tasks[[#This Row],[_IsSummary]],COUNTIF(Tasks[WBS],Tasks[[#This Row],[WBS]]&amp;".*"),0)</f>
        <v>0</v>
      </c>
      <c r="BZ122" s="38" t="n">
        <f aca="false">IF(AND(Tasks[[#This Row],[Task Name]]&lt;&gt;"",NOT(Tasks[[#This Row],[_IsSummary]])),1,0)</f>
        <v>0</v>
      </c>
      <c r="CA122" s="38" t="n">
        <f aca="false">IF(N(Tasks[[#This Row],[Pred1 UID]])=0,0,IFERROR(MATCH(Tasks[[#This Row],[Pred1 UID]],Tasks[UID],0),-1))</f>
        <v>0</v>
      </c>
      <c r="CB122" s="38" t="n">
        <f aca="false">IF(N(Tasks[[#This Row],[Pred2 UID]])=0,0,IFERROR(MATCH(Tasks[[#This Row],[Pred2 UID]],Tasks[UID],0),-1))</f>
        <v>0</v>
      </c>
      <c r="CC122" s="38" t="n">
        <f aca="false">IF(N(Tasks[[#This Row],[Pred3 UID]])=0,0,IFERROR(MATCH(Tasks[[#This Row],[Pred3 UID]],Tasks[UID],0),-1))</f>
        <v>0</v>
      </c>
      <c r="CD122" s="38" t="n">
        <f aca="false">IF(N(Tasks[[#This Row],[Pred4 UID]])=0,0,IFERROR(MATCH(Tasks[[#This Row],[Pred4 UID]],Tasks[UID],0),-1))</f>
        <v>0</v>
      </c>
      <c r="CE12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2" s="115" t="n">
        <f aca="false">IF(OR(Tasks[[#This Row],[_ConstraintCode]]=2,Tasks[[#This Row],[_ConstraintCode]]=3,Tasks[[#This Row],[_ConstraintCode]]=4,Tasks[[#This Row],[_ConstraintCode]]=6),Tasks[[#This Row],[_ConstraintStart]],0)</f>
        <v>0</v>
      </c>
      <c r="CH122" s="115" t="n">
        <f aca="false">IF(OR(Tasks[[#This Row],[_ConstraintCode]]=2,Tasks[[#This Row],[_ConstraintCode]]=3,Tasks[[#This Row],[_ConstraintCode]]=5,Tasks[[#This Row],[_ConstraintCode]]=7),Tasks[[#This Row],[_ConstraintStart]],2958465)</f>
        <v>2958465</v>
      </c>
      <c r="CI12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2" s="115" t="str">
        <f aca="false">IF(NOT(Tasks[[#This Row],[_IsLeaf]]=1),"",IF(N(Tasks[[#This Row],[Duration]])&lt;=0,Tasks[[#This Row],[_LeafCalcStart]],WORKDAY.INTL(Tasks[[#This Row],[_LeafCalcStart]],Tasks[[#This Row],[Duration]]-1,WorkWeek,Holidays)))</f>
        <v/>
      </c>
      <c r="CK12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2" s="38" t="n">
        <f aca="false">IF(NOT(Tasks[[#This Row],[_IsLeaf]]=1),0,IF(N(Tasks[[#This Row],[Actual Finish]])&gt;0,1,MIN(1,N(Tasks[[#This Row],[% Complete]]))))</f>
        <v>0</v>
      </c>
      <c r="CN122" s="38" t="n">
        <f aca="false">IF(OR(NOT(Tasks[[#This Row],[_IsLeaf]]=1),Tasks[[#This Row],[Resource]]=""),0,N(Tasks[[#This Row],[Duration]])*HoursPerDay*IF(Tasks[[#This Row],[Units]]="",DefaultUnits,Tasks[[#This Row],[Units]]))</f>
        <v>0</v>
      </c>
      <c r="CO122" s="38" t="n">
        <f aca="false">IF(Tasks[[#This Row],[_LeafWork]]=0,0,Tasks[[#This Row],[_LeafWork]]*IFERROR(INDEX(res_Rate,MATCH(Tasks[[#This Row],[Resource]],res_Name,0)),0))</f>
        <v>0</v>
      </c>
      <c r="CP122" s="38" t="n">
        <f aca="false">Tasks[[#This Row],[_LeafWork]]+IF(Tasks[[#This Row],[_IsLeaf]]=1,SUMIFS(asg_Work,asg_TaskUID,Tasks[[#This Row],[UID]],asg_Valid,1),0)</f>
        <v>0</v>
      </c>
      <c r="CQ122" s="38" t="n">
        <f aca="false">Tasks[[#This Row],[_LeafCost]]+IF(Tasks[[#This Row],[_IsLeaf]]=1,SUMIFS(asg_Cost,asg_TaskUID,Tasks[[#This Row],[UID]],asg_Valid,1),0)</f>
        <v>0</v>
      </c>
      <c r="CR122" s="38" t="n">
        <f aca="false">IF(Tasks[[#This Row],[_LeafTotalCost]]=0,Tasks[[#This Row],[_LeafAC]],Tasks[[#This Row],[_LeafAC]]*Tasks[[#This Row],[_LeafCost]]/Tasks[[#This Row],[_LeafTotalCost]])</f>
        <v>0</v>
      </c>
      <c r="CS12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2" s="38" t="n">
        <f aca="false">IF(NOT(Tasks[[#This Row],[_IsLeaf]]=1),0,MAX(_xlfn.MAXIFS(Tasks[_Row],Tasks[Pred1 UID],Tasks[[#This Row],[UID]]),_xlfn.MAXIFS(Tasks[_Row],Tasks[Pred2 UID],Tasks[[#This Row],[UID]]),_xlfn.MAXIFS(Tasks[_Row],Tasks[Pred3 UID],Tasks[[#This Row],[UID]]),_xlfn.MAXIFS(Tasks[_Row],Tasks[Pred4 UID],Tasks[[#This Row],[UID]])))</f>
        <v>0</v>
      </c>
      <c r="DB12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2" s="115" t="str">
        <f aca="false">IF(NOT(Tasks[[#This Row],[_IsLeaf]]=1),"",IF(N(Tasks[[#This Row],[Duration]])&lt;=0,Tasks[[#This Row],[_LeafLateFinish]],WORKDAY.INTL(Tasks[[#This Row],[_LeafLateFinish]],-(Tasks[[#This Row],[Duration]]-1),WorkWeek,Holidays)))</f>
        <v/>
      </c>
      <c r="DE12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2" s="114" t="b">
        <f aca="false">AND(Tasks[[#This Row],[_IsLeaf]]=1,Tasks[[#This Row],[_LeafProgress]]&lt;1,N(Tasks[[#This Row],[_LeafTotalSlack]])&lt;=CriticalSlackDays)</f>
        <v>0</v>
      </c>
      <c r="DG122" s="38" t="n">
        <f aca="false">IF(AND(Tasks[[#This Row],[_IsLeaf]]=1,Tasks[[#This Row],[_ConstraintCode]]=1,Tasks[[#This Row],[Mode]]&lt;&gt;"Manual",N(Tasks[[#This Row],[Actual Start]])=0),MAX(0,N(Tasks[[#This Row],[Free Slack]])),0)</f>
        <v>0</v>
      </c>
      <c r="DH122" s="115" t="str">
        <f aca="false">IF(NOT(Tasks[[#This Row],[_IsLeaf]]=1),"",IF(Tasks[[#This Row],[_AlapShift]]=0,Tasks[[#This Row],[_LeafCalcStart]],WORKDAY.INTL(Tasks[[#This Row],[_LeafCalcStart]],Tasks[[#This Row],[_AlapShift]],WorkWeek,Holidays)))</f>
        <v/>
      </c>
      <c r="DI122" s="115" t="str">
        <f aca="false">IF(NOT(Tasks[[#This Row],[_IsLeaf]]=1),"",IF(Tasks[[#This Row],[_AlapShift]]=0,Tasks[[#This Row],[_LeafCalcFinish]],WORKDAY.INTL(Tasks[[#This Row],[_LeafCalcFinish]],Tasks[[#This Row],[_AlapShift]],WorkWeek,Holidays)))</f>
        <v/>
      </c>
      <c r="DJ122" s="115" t="str">
        <f aca="false">IF(NOT(Tasks[[#This Row],[_IsLeaf]]=1),"",IF(Tasks[[#This Row],[_AlapShift]]=0,Tasks[[#This Row],[_LeafFcstStart]],WORKDAY.INTL(Tasks[[#This Row],[_LeafFcstStart]],Tasks[[#This Row],[_AlapShift]],WorkWeek,Holidays)))</f>
        <v/>
      </c>
      <c r="DK122" s="115" t="str">
        <f aca="false">IF(NOT(Tasks[[#This Row],[_IsLeaf]]=1),"",IF(Tasks[[#This Row],[_AlapShift]]=0,Tasks[[#This Row],[_LeafFcstFinish]],WORKDAY.INTL(Tasks[[#This Row],[_LeafFcstFinish]],Tasks[[#This Row],[_AlapShift]],WorkWeek,Holidays)))</f>
        <v/>
      </c>
      <c r="DL122" s="115" t="str">
        <f aca="false">IF(Tasks[[#This Row],[Task Name]]="","",IF(Tasks[[#This Row],[_IsSummary]],MIN(INDEX(Tasks[_ShownCalcStart],Tasks[[#This Row],[_Row]]+1):INDEX(Tasks[_ShownCalcStart],Tasks[[#This Row],[_Row]]+Tasks[[#This Row],[_Descendants]])),Tasks[[#This Row],[_ShownCalcStart]]))</f>
        <v/>
      </c>
      <c r="DM122" s="115" t="str">
        <f aca="false">IF(Tasks[[#This Row],[Task Name]]="","",IF(Tasks[[#This Row],[_IsSummary]],MAX(INDEX(Tasks[_ShownCalcFinish],Tasks[[#This Row],[_Row]]+1):INDEX(Tasks[_ShownCalcFinish],Tasks[[#This Row],[_Row]]+Tasks[[#This Row],[_Descendants]])),Tasks[[#This Row],[_ShownCalcFinish]]))</f>
        <v/>
      </c>
      <c r="DN12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2" s="38" t="n">
        <f aca="false">IF(AND(Tasks[[#This Row],[_IsLeaf]]=1,Tasks[[#This Row],[_LeafTotalWork]]&gt;0),NETWORKDAYS.INTL(ProjectStart,Tasks[[#This Row],[_ShownFcstStart]],WorkWeek,Holidays),0)</f>
        <v>0</v>
      </c>
      <c r="EA122" s="38" t="n">
        <f aca="false">IF(AND(Tasks[[#This Row],[_IsLeaf]]=1,Tasks[[#This Row],[_LeafTotalWork]]&gt;0),MAX(Tasks[[#This Row],[_StartWorkday]],NETWORKDAYS.INTL(ProjectStart,Tasks[[#This Row],[_ShownFcstFinish]],WorkWeek,Holidays)),0)</f>
        <v>0</v>
      </c>
      <c r="EB122" s="38" t="n">
        <f aca="false">IF(AND(Tasks[[#This Row],[_IsLeaf]]=1,Tasks[[#This Row],[_LeafTotalWork]]&gt;0),Tasks[[#This Row],[_LeafWork]]/(Tasks[[#This Row],[_FinishWorkday]]-Tasks[[#This Row],[_StartWorkday]]+1),0)</f>
        <v>0</v>
      </c>
      <c r="EC122" s="38" t="n">
        <f aca="false">Tasks[[#This Row],[_WorkPerWorkday]]*(Tasks[[#This Row],[_StartWorkday]]-1)</f>
        <v>-0</v>
      </c>
      <c r="ED122" s="38" t="n">
        <f aca="false">IF(Tasks[[#This Row],[_IsLeaf]]=1,MAX(N(Tasks[[#This Row],[Duration]]),0.1),0)</f>
        <v>0</v>
      </c>
      <c r="EE122" s="38" t="n">
        <f aca="false">Tasks[[#This Row],[_WeightDur]]*Tasks[[#This Row],[_LeafProgress]]</f>
        <v>0</v>
      </c>
      <c r="EF12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2" s="38" t="str">
        <f aca="false">IF(AND(Tasks[[#This Row],[_IsLeaf]]=1,N(Tasks[[#This Row],[Duration]])=0,Tasks[[#This Row],[_LeafProgress]]&lt;1),Tasks[[#This Row],[_ShownFcstFinish]]+Tasks[[#This Row],[_Row]]/100000,"")</f>
        <v/>
      </c>
      <c r="EH12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2" s="38" t="n">
        <f aca="false">IF(NOT(Tasks[[#This Row],[_IsLeaf]]=1),0,IF(Tasks[[#This Row],[Baseline Cost]]="",Tasks[[#This Row],[_LeafTotalCost]],N(Tasks[[#This Row],[Baseline Cost]])))</f>
        <v>0</v>
      </c>
      <c r="EJ122" s="38" t="n">
        <f aca="false">Tasks[[#This Row],[_LeafBudget]]*Tasks[[#This Row],[_PlannedPct]]</f>
        <v>0</v>
      </c>
      <c r="EK122" s="38" t="n">
        <f aca="false">Tasks[[#This Row],[_LeafBudget]]*Tasks[[#This Row],[_LeafProgress]]</f>
        <v>0</v>
      </c>
      <c r="EL122" s="38" t="n">
        <f aca="false">IF(NOT(Tasks[[#This Row],[_IsLeaf]]=1),0,IF(Tasks[[#This Row],[Actual Cost]]="",Tasks[[#This Row],[_LeafTotalCost]]*Tasks[[#This Row],[_LeafProgress]],N(Tasks[[#This Row],[Actual Cost]])))</f>
        <v>0</v>
      </c>
      <c r="EM122" s="38" t="str">
        <f aca="false">IF(Tasks[[#This Row],[Task Name]]="","",LEFT(Tasks[[#This Row],[WBS]],FIND(".",Tasks[[#This Row],[WBS]]&amp;".")-1))</f>
        <v/>
      </c>
      <c r="EN122" s="38" t="str">
        <f aca="false">IF(AND(Tasks[[#This Row],[Task Name]]&lt;&gt;"",Tasks[[#This Row],[_Level]]=1),Tasks[[#This Row],[_Row]],"")</f>
        <v/>
      </c>
      <c r="EO122" s="38" t="str">
        <f aca="false">IF(AND(Tasks[[#This Row],[_IsLeaf]]=1,N(Tasks[[#This Row],[Duration]])=0),Tasks[[#This Row],[Planned Finish]]+Tasks[[#This Row],[_Row]]/100000,"")</f>
        <v/>
      </c>
      <c r="EP122" s="38" t="str">
        <f aca="false">IF(AND(Tasks[[#This Row],[_IsLeaf]]=1,Tasks[[#This Row],[_LeafProgress]]&lt;1,OR(N(Tasks[[#This Row],[Finish Var]])&gt;0,Tasks[[#This Row],[Status]]="Late Start")),MAX(0,Tasks[[#This Row],[Finish Var]])+1-Tasks[[#This Row],[_Row]]/1000000,"")</f>
        <v/>
      </c>
      <c r="EQ122" s="38" t="str">
        <f aca="false">IF(AND(Tasks[[#This Row],[_IsLeaf]]=1,N(Tasks[[#This Row],[Actual Start]])=0,Tasks[[#This Row],[_ShownFcstStart]]&gt;=StatusDate,Tasks[[#This Row],[_ShownFcstStart]]&lt;=LookaheadEnd),Tasks[[#This Row],[_ShownFcstStart]]+Tasks[[#This Row],[_Row]]/100000,"")</f>
        <v/>
      </c>
      <c r="ER122" s="38" t="str">
        <f aca="false">IF(AND(Tasks[[#This Row],[_IsLeaf]]=1,Tasks[[#This Row],[_LeafProgress]]&lt;1,Tasks[[#This Row],[_ShownFcstFinish]]&gt;=StatusDate,Tasks[[#This Row],[_ShownFcstFinish]]&lt;=LookaheadEnd),Tasks[[#This Row],[_ShownFcstFinish]]+Tasks[[#This Row],[_Row]]/100000,"")</f>
        <v/>
      </c>
      <c r="ES122" s="38" t="str">
        <f aca="false">IF(Tasks[[#This Row],[_LeafCritical]],Tasks[[#This Row],[_ShownFcstStart]]+Tasks[[#This Row],[_Row]]/100000,"")</f>
        <v/>
      </c>
      <c r="ET122" s="38" t="n">
        <f aca="false">Tasks[[#This Row],[_LeafWork]]*Tasks[[#This Row],[_LeafProgress]]</f>
        <v>0</v>
      </c>
      <c r="EU122" s="115" t="str">
        <f aca="false">IF(AND(Tasks[[#This Row],[_IsLeaf]]=1,Tasks[[#This Row],[_LeafProgress]]&gt;=1),IF(N(Tasks[[#This Row],[Actual Finish]])&gt;0,Tasks[[#This Row],[Actual Finish]],Tasks[[#This Row],[_ShownFcstFinish]]),"")</f>
        <v/>
      </c>
      <c r="EV122" s="38" t="n">
        <f aca="false">IF(Tasks[[#This Row],[_IsLeaf]]=1,N(Tasks[[#This Row],[Story Points]]),0)</f>
        <v>0</v>
      </c>
      <c r="EW122" s="38" t="str">
        <f aca="false">IF(AND(Tasks[[#This Row],[_IsLeaf]]=1,CurrentSprint&lt;&gt;"",Tasks[[#This Row],[Sprint]]=CurrentSprint),Tasks[[#This Row],[_Row]],"")</f>
        <v/>
      </c>
    </row>
    <row r="123" customFormat="false" ht="15" hidden="false" customHeight="false" outlineLevel="0" collapsed="false">
      <c r="A123" s="51" t="str">
        <f aca="false">IF(Tasks[[#This Row],[Task Name]]="","",COUNTA(Tasks[[#Headers],[Task Name]]:Tasks[[#This Row],[Task Name]])-1)</f>
        <v/>
      </c>
      <c r="B123" s="52" t="n">
        <v>118</v>
      </c>
      <c r="C12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52"/>
      <c r="E123" s="53"/>
      <c r="F123" s="52"/>
      <c r="G123" s="52"/>
      <c r="H123" s="52"/>
      <c r="I123" s="52"/>
      <c r="J123" s="52"/>
      <c r="K123" s="52"/>
      <c r="L123" s="52"/>
      <c r="M123" s="52"/>
      <c r="N123" s="52"/>
      <c r="O123" s="52"/>
      <c r="P123" s="52"/>
      <c r="Q123" s="52"/>
      <c r="R123" s="52"/>
      <c r="S123" s="53"/>
      <c r="T123" s="102"/>
      <c r="U123" s="102"/>
      <c r="V123" s="7"/>
      <c r="W123" s="7"/>
      <c r="X123" s="53"/>
      <c r="Y123" s="31" t="str">
        <f aca="false">IF(Tasks[[#This Row],[Task Name]]="","",IF(Tasks[[#This Row],[_IsSummary]],MIN(INDEX(Tasks[_ShownFcstStart],Tasks[[#This Row],[_Row]]+1):INDEX(Tasks[_ShownFcstStart],Tasks[[#This Row],[_Row]]+Tasks[[#This Row],[_Descendants]])),Tasks[[#This Row],[_ShownFcstStart]]))</f>
        <v/>
      </c>
      <c r="Z123" s="31" t="str">
        <f aca="false">IF(Tasks[[#This Row],[Task Name]]="","",IF(Tasks[[#This Row],[_IsSummary]],MAX(INDEX(Tasks[_ShownFcstFinish],Tasks[[#This Row],[_Row]]+1):INDEX(Tasks[_ShownFcstFinish],Tasks[[#This Row],[_Row]]+Tasks[[#This Row],[_Descendants]])),Tasks[[#This Row],[_ShownFcstFinish]]))</f>
        <v/>
      </c>
      <c r="AA123" s="51" t="str">
        <f aca="false">IF(Tasks[[#This Row],[Task Name]]="","",IF(Tasks[[#This Row],[Progress]]&gt;=1,"Complete",IF(OR(N(Tasks[[#This Row],[Actual Start]])&gt;0,Tasks[[#This Row],[Progress]]&gt;0),IF(Tasks[[#This Row],[Finish Var]]&gt;0,"Behind","In Progress"),IF(Tasks[[#This Row],[Planned Start]]&lt;StatusDate,"Late Start","Not Started"))))</f>
        <v/>
      </c>
      <c r="AB123" s="51" t="str">
        <f aca="false">IF(Tasks[[#This Row],[Task Name]]="","",IF(IF(Tasks[[#This Row],[_IsSummary]],COUNTIF(INDEX(Tasks[_LeafCritical],Tasks[[#This Row],[_Row]]+1):INDEX(Tasks[_LeafCritical],Tasks[[#This Row],[_Row]]+Tasks[[#This Row],[_Descendants]]),TRUE())&gt;0,Tasks[[#This Row],[_LeafCritical]]),"Yes",""))</f>
        <v/>
      </c>
      <c r="AC12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3" s="51" t="str">
        <f aca="false">IF(Tasks[[#This Row],[Task Name]]="","",IF(Tasks[[#This Row],[_Level]]&lt;=OutlineShowLevel,"Yes","No"))</f>
        <v/>
      </c>
      <c r="AE123" s="7"/>
      <c r="AF123" s="52"/>
      <c r="AG123" s="53"/>
      <c r="AH123" s="7"/>
      <c r="AI12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3" s="31" t="str">
        <f aca="false">IF(Tasks[[#This Row],[Task Name]]="","",IF(N(Tasks[[#This Row],[Baseline Start]])&gt;0,Tasks[[#This Row],[Baseline Start]],Tasks[[#This Row],[_CalcStart]]))</f>
        <v/>
      </c>
      <c r="AK123" s="31" t="str">
        <f aca="false">IF(Tasks[[#This Row],[Task Name]]="","",IF(N(Tasks[[#This Row],[Baseline Finish]])&gt;0,Tasks[[#This Row],[Baseline Finish]],Tasks[[#This Row],[_CalcFinish]]))</f>
        <v/>
      </c>
      <c r="AL12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3" s="31" t="str">
        <f aca="false">IF(Tasks[[#This Row],[Task Name]]="","",IF(Tasks[[#This Row],[_IsSummary]],MIN(INDEX(Tasks[_LeafLateStart],Tasks[[#This Row],[_Row]]+1):INDEX(Tasks[_LeafLateStart],Tasks[[#This Row],[_Row]]+Tasks[[#This Row],[_Descendants]])),Tasks[[#This Row],[_LeafLateStart]]))</f>
        <v/>
      </c>
      <c r="AN123" s="31" t="str">
        <f aca="false">IF(Tasks[[#This Row],[Task Name]]="","",IF(Tasks[[#This Row],[_IsSummary]],MAX(INDEX(Tasks[_LeafLateFinish],Tasks[[#This Row],[_Row]]+1):INDEX(Tasks[_LeafLateFinish],Tasks[[#This Row],[_Row]]+Tasks[[#This Row],[_Descendants]])),Tasks[[#This Row],[_LeafLateFinish]]))</f>
        <v/>
      </c>
      <c r="AO123" s="51" t="str">
        <f aca="false">IF(Tasks[[#This Row],[Task Name]]="","",IF(Tasks[[#This Row],[_IsSummary]],MIN(INDEX(Tasks[_LeafTotalSlack],Tasks[[#This Row],[_Row]]+1):INDEX(Tasks[_LeafTotalSlack],Tasks[[#This Row],[_Row]]+Tasks[[#This Row],[_Descendants]])),Tasks[[#This Row],[_LeafTotalSlack]]))</f>
        <v/>
      </c>
      <c r="AP12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3" s="110" t="str">
        <f aca="false">IF(Tasks[[#This Row],[Task Name]]="","",IF(Tasks[[#This Row],[_IsSummary]],SUM(INDEX(Tasks[_LeafTotalWork],Tasks[[#This Row],[_Row]]+1):INDEX(Tasks[_LeafTotalWork],Tasks[[#This Row],[_Row]]+Tasks[[#This Row],[_Descendants]])),Tasks[[#This Row],[_LeafTotalWork]]))</f>
        <v/>
      </c>
      <c r="AV12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3" s="111" t="str">
        <f aca="false">IF(Tasks[[#This Row],[Task Name]]="","",IF(Tasks[[#This Row],[_IsSummary]],SUM(INDEX(Tasks[_LeafTotalCost],Tasks[[#This Row],[_Row]]+1):INDEX(Tasks[_LeafTotalCost],Tasks[[#This Row],[_Row]]+Tasks[[#This Row],[_Descendants]])),Tasks[[#This Row],[_LeafTotalCost]]))</f>
        <v/>
      </c>
      <c r="AY123" s="112"/>
      <c r="AZ12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3" s="52"/>
      <c r="BB123" s="98"/>
      <c r="BC123" s="51" t="str">
        <f aca="false">IF(OR(Tasks[[#This Row],[Task Name]]="",Tasks[[#This Row],[Baseline Duration]]=""),"",Tasks[[#This Row],[BL Source Duration]]-N(Tasks[[#This Row],[Baseline Duration]]))</f>
        <v/>
      </c>
      <c r="BD123" s="110" t="str">
        <f aca="false">IF(OR(Tasks[[#This Row],[Task Name]]="",Tasks[[#This Row],[Baseline Work]]=""),"",Tasks[[#This Row],[Work]]-N(Tasks[[#This Row],[Baseline Work]]))</f>
        <v/>
      </c>
      <c r="BE123" s="111" t="str">
        <f aca="false">IF(OR(Tasks[[#This Row],[Task Name]]="",Tasks[[#This Row],[Baseline Cost]]=""),"",Tasks[[#This Row],[Cost]]-N(Tasks[[#This Row],[Baseline Cost]]))</f>
        <v/>
      </c>
      <c r="BF123" s="31" t="str">
        <f aca="false">IF(Tasks[[#This Row],[Task Name]]="","",Tasks[[#This Row],[Forecast Start]])</f>
        <v/>
      </c>
      <c r="BG123" s="31" t="str">
        <f aca="false">IF(Tasks[[#This Row],[Task Name]]="","",Tasks[[#This Row],[Forecast Finish]])</f>
        <v/>
      </c>
      <c r="BH123" s="51" t="str">
        <f aca="false">IF(Tasks[[#This Row],[Task Name]]="","",IF(Tasks[[#This Row],[_IsSummary]],NETWORKDAYS.INTL(Tasks[[#This Row],[Forecast Start]],Tasks[[#This Row],[Forecast Finish]],WorkWeek,Holidays),N(Tasks[[#This Row],[Duration]])))</f>
        <v/>
      </c>
      <c r="BI123" s="110" t="str">
        <f aca="false">IF(Tasks[[#This Row],[Task Name]]="","",Tasks[[#This Row],[Work]])</f>
        <v/>
      </c>
      <c r="BJ123" s="111" t="str">
        <f aca="false">IF(Tasks[[#This Row],[Task Name]]="","",Tasks[[#This Row],[Cost]])</f>
        <v/>
      </c>
      <c r="BK123" s="7"/>
      <c r="BL123" s="7"/>
      <c r="BM123" s="52"/>
      <c r="BN123" s="113"/>
      <c r="BO123" s="112"/>
      <c r="BP123" s="111" t="str">
        <f aca="false">IF(Tasks[[#This Row],[Task Name]]="","",IF(Tasks[[#This Row],[_IsSummary]],SUM(INDEX(Tasks[_LeafEV],Tasks[[#This Row],[_Row]]+1):INDEX(Tasks[_LeafEV],Tasks[[#This Row],[_Row]]+Tasks[[#This Row],[_Descendants]])),Tasks[[#This Row],[_LeafEV]]))</f>
        <v/>
      </c>
      <c r="BQ123" s="111" t="str">
        <f aca="false">IF(Tasks[[#This Row],[Task Name]]="","",IF(Tasks[[#This Row],[_IsSummary]],SUM(INDEX(Tasks[_LeafBudget],Tasks[[#This Row],[_Row]]+1):INDEX(Tasks[_LeafBudget],Tasks[[#This Row],[_Row]]+Tasks[[#This Row],[_Descendants]])),Tasks[[#This Row],[_LeafBudget]]))</f>
        <v/>
      </c>
      <c r="BR123" s="111" t="str">
        <f aca="false">IF(Tasks[[#This Row],[Task Name]]="","",IF(Tasks[[#This Row],[_IsSummary]],SUM(INDEX(Tasks[_LeafPV],Tasks[[#This Row],[_Row]]+1):INDEX(Tasks[_LeafPV],Tasks[[#This Row],[_Row]]+Tasks[[#This Row],[_Descendants]])),Tasks[[#This Row],[_LeafPV]]))</f>
        <v/>
      </c>
      <c r="BS123" s="111" t="str">
        <f aca="false">IF(Tasks[[#This Row],[Task Name]]="","",IF(Tasks[[#This Row],[_IsSummary]],SUM(INDEX(Tasks[_LeafAC],Tasks[[#This Row],[_Row]]+1):INDEX(Tasks[_LeafAC],Tasks[[#This Row],[_Row]]+Tasks[[#This Row],[_Descendants]])),Tasks[[#This Row],[_LeafAC]]))</f>
        <v/>
      </c>
      <c r="BT123" s="38" t="str">
        <f aca="false">IF(Tasks[[#This Row],[Task Name]]="","",MAX(1,N(Tasks[[#This Row],[Level]])))</f>
        <v/>
      </c>
      <c r="BU123" s="38" t="n">
        <f aca="false">ROW()-ROW(Tasks[[#Headers],[ID]])</f>
        <v>118</v>
      </c>
      <c r="BV123" s="38" t="n">
        <f aca="false">IF(OR(Tasks[[#This Row],[Task Name]]="",Tasks[[#This Row],[_Level]]&lt;=1),0,IFERROR(LOOKUP(2,1/(Tasks[[#Headers],[_Level]]:Tasks[[#This Row],[_Level]]=Tasks[[#This Row],[_Level]]-1),ROW(Tasks[[#Headers],[_Level]]:Tasks[[#This Row],[_Level]])),0))</f>
        <v>0</v>
      </c>
      <c r="BW123" s="38" t="n">
        <f aca="false">IFERROR(N(INDEX(Tasks[_Level],Tasks[[#This Row],[_Row]]+1)),0)</f>
        <v>0</v>
      </c>
      <c r="BX123" s="114" t="b">
        <f aca="false">AND(Tasks[[#This Row],[Task Name]]&lt;&gt;"",Tasks[[#This Row],[_NextLevel]]&gt;Tasks[[#This Row],[_Level]])</f>
        <v>0</v>
      </c>
      <c r="BY123" s="38" t="n">
        <f aca="false">IF(Tasks[[#This Row],[_IsSummary]],COUNTIF(Tasks[WBS],Tasks[[#This Row],[WBS]]&amp;".*"),0)</f>
        <v>0</v>
      </c>
      <c r="BZ123" s="38" t="n">
        <f aca="false">IF(AND(Tasks[[#This Row],[Task Name]]&lt;&gt;"",NOT(Tasks[[#This Row],[_IsSummary]])),1,0)</f>
        <v>0</v>
      </c>
      <c r="CA123" s="38" t="n">
        <f aca="false">IF(N(Tasks[[#This Row],[Pred1 UID]])=0,0,IFERROR(MATCH(Tasks[[#This Row],[Pred1 UID]],Tasks[UID],0),-1))</f>
        <v>0</v>
      </c>
      <c r="CB123" s="38" t="n">
        <f aca="false">IF(N(Tasks[[#This Row],[Pred2 UID]])=0,0,IFERROR(MATCH(Tasks[[#This Row],[Pred2 UID]],Tasks[UID],0),-1))</f>
        <v>0</v>
      </c>
      <c r="CC123" s="38" t="n">
        <f aca="false">IF(N(Tasks[[#This Row],[Pred3 UID]])=0,0,IFERROR(MATCH(Tasks[[#This Row],[Pred3 UID]],Tasks[UID],0),-1))</f>
        <v>0</v>
      </c>
      <c r="CD123" s="38" t="n">
        <f aca="false">IF(N(Tasks[[#This Row],[Pred4 UID]])=0,0,IFERROR(MATCH(Tasks[[#This Row],[Pred4 UID]],Tasks[UID],0),-1))</f>
        <v>0</v>
      </c>
      <c r="CE12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3" s="115" t="n">
        <f aca="false">IF(OR(Tasks[[#This Row],[_ConstraintCode]]=2,Tasks[[#This Row],[_ConstraintCode]]=3,Tasks[[#This Row],[_ConstraintCode]]=4,Tasks[[#This Row],[_ConstraintCode]]=6),Tasks[[#This Row],[_ConstraintStart]],0)</f>
        <v>0</v>
      </c>
      <c r="CH123" s="115" t="n">
        <f aca="false">IF(OR(Tasks[[#This Row],[_ConstraintCode]]=2,Tasks[[#This Row],[_ConstraintCode]]=3,Tasks[[#This Row],[_ConstraintCode]]=5,Tasks[[#This Row],[_ConstraintCode]]=7),Tasks[[#This Row],[_ConstraintStart]],2958465)</f>
        <v>2958465</v>
      </c>
      <c r="CI12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3" s="115" t="str">
        <f aca="false">IF(NOT(Tasks[[#This Row],[_IsLeaf]]=1),"",IF(N(Tasks[[#This Row],[Duration]])&lt;=0,Tasks[[#This Row],[_LeafCalcStart]],WORKDAY.INTL(Tasks[[#This Row],[_LeafCalcStart]],Tasks[[#This Row],[Duration]]-1,WorkWeek,Holidays)))</f>
        <v/>
      </c>
      <c r="CK12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3" s="38" t="n">
        <f aca="false">IF(NOT(Tasks[[#This Row],[_IsLeaf]]=1),0,IF(N(Tasks[[#This Row],[Actual Finish]])&gt;0,1,MIN(1,N(Tasks[[#This Row],[% Complete]]))))</f>
        <v>0</v>
      </c>
      <c r="CN123" s="38" t="n">
        <f aca="false">IF(OR(NOT(Tasks[[#This Row],[_IsLeaf]]=1),Tasks[[#This Row],[Resource]]=""),0,N(Tasks[[#This Row],[Duration]])*HoursPerDay*IF(Tasks[[#This Row],[Units]]="",DefaultUnits,Tasks[[#This Row],[Units]]))</f>
        <v>0</v>
      </c>
      <c r="CO123" s="38" t="n">
        <f aca="false">IF(Tasks[[#This Row],[_LeafWork]]=0,0,Tasks[[#This Row],[_LeafWork]]*IFERROR(INDEX(res_Rate,MATCH(Tasks[[#This Row],[Resource]],res_Name,0)),0))</f>
        <v>0</v>
      </c>
      <c r="CP123" s="38" t="n">
        <f aca="false">Tasks[[#This Row],[_LeafWork]]+IF(Tasks[[#This Row],[_IsLeaf]]=1,SUMIFS(asg_Work,asg_TaskUID,Tasks[[#This Row],[UID]],asg_Valid,1),0)</f>
        <v>0</v>
      </c>
      <c r="CQ123" s="38" t="n">
        <f aca="false">Tasks[[#This Row],[_LeafCost]]+IF(Tasks[[#This Row],[_IsLeaf]]=1,SUMIFS(asg_Cost,asg_TaskUID,Tasks[[#This Row],[UID]],asg_Valid,1),0)</f>
        <v>0</v>
      </c>
      <c r="CR123" s="38" t="n">
        <f aca="false">IF(Tasks[[#This Row],[_LeafTotalCost]]=0,Tasks[[#This Row],[_LeafAC]],Tasks[[#This Row],[_LeafAC]]*Tasks[[#This Row],[_LeafCost]]/Tasks[[#This Row],[_LeafTotalCost]])</f>
        <v>0</v>
      </c>
      <c r="CS12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3" s="38" t="n">
        <f aca="false">IF(NOT(Tasks[[#This Row],[_IsLeaf]]=1),0,MAX(_xlfn.MAXIFS(Tasks[_Row],Tasks[Pred1 UID],Tasks[[#This Row],[UID]]),_xlfn.MAXIFS(Tasks[_Row],Tasks[Pred2 UID],Tasks[[#This Row],[UID]]),_xlfn.MAXIFS(Tasks[_Row],Tasks[Pred3 UID],Tasks[[#This Row],[UID]]),_xlfn.MAXIFS(Tasks[_Row],Tasks[Pred4 UID],Tasks[[#This Row],[UID]])))</f>
        <v>0</v>
      </c>
      <c r="DB12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3" s="115" t="str">
        <f aca="false">IF(NOT(Tasks[[#This Row],[_IsLeaf]]=1),"",IF(N(Tasks[[#This Row],[Duration]])&lt;=0,Tasks[[#This Row],[_LeafLateFinish]],WORKDAY.INTL(Tasks[[#This Row],[_LeafLateFinish]],-(Tasks[[#This Row],[Duration]]-1),WorkWeek,Holidays)))</f>
        <v/>
      </c>
      <c r="DE12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3" s="114" t="b">
        <f aca="false">AND(Tasks[[#This Row],[_IsLeaf]]=1,Tasks[[#This Row],[_LeafProgress]]&lt;1,N(Tasks[[#This Row],[_LeafTotalSlack]])&lt;=CriticalSlackDays)</f>
        <v>0</v>
      </c>
      <c r="DG123" s="38" t="n">
        <f aca="false">IF(AND(Tasks[[#This Row],[_IsLeaf]]=1,Tasks[[#This Row],[_ConstraintCode]]=1,Tasks[[#This Row],[Mode]]&lt;&gt;"Manual",N(Tasks[[#This Row],[Actual Start]])=0),MAX(0,N(Tasks[[#This Row],[Free Slack]])),0)</f>
        <v>0</v>
      </c>
      <c r="DH123" s="115" t="str">
        <f aca="false">IF(NOT(Tasks[[#This Row],[_IsLeaf]]=1),"",IF(Tasks[[#This Row],[_AlapShift]]=0,Tasks[[#This Row],[_LeafCalcStart]],WORKDAY.INTL(Tasks[[#This Row],[_LeafCalcStart]],Tasks[[#This Row],[_AlapShift]],WorkWeek,Holidays)))</f>
        <v/>
      </c>
      <c r="DI123" s="115" t="str">
        <f aca="false">IF(NOT(Tasks[[#This Row],[_IsLeaf]]=1),"",IF(Tasks[[#This Row],[_AlapShift]]=0,Tasks[[#This Row],[_LeafCalcFinish]],WORKDAY.INTL(Tasks[[#This Row],[_LeafCalcFinish]],Tasks[[#This Row],[_AlapShift]],WorkWeek,Holidays)))</f>
        <v/>
      </c>
      <c r="DJ123" s="115" t="str">
        <f aca="false">IF(NOT(Tasks[[#This Row],[_IsLeaf]]=1),"",IF(Tasks[[#This Row],[_AlapShift]]=0,Tasks[[#This Row],[_LeafFcstStart]],WORKDAY.INTL(Tasks[[#This Row],[_LeafFcstStart]],Tasks[[#This Row],[_AlapShift]],WorkWeek,Holidays)))</f>
        <v/>
      </c>
      <c r="DK123" s="115" t="str">
        <f aca="false">IF(NOT(Tasks[[#This Row],[_IsLeaf]]=1),"",IF(Tasks[[#This Row],[_AlapShift]]=0,Tasks[[#This Row],[_LeafFcstFinish]],WORKDAY.INTL(Tasks[[#This Row],[_LeafFcstFinish]],Tasks[[#This Row],[_AlapShift]],WorkWeek,Holidays)))</f>
        <v/>
      </c>
      <c r="DL123" s="115" t="str">
        <f aca="false">IF(Tasks[[#This Row],[Task Name]]="","",IF(Tasks[[#This Row],[_IsSummary]],MIN(INDEX(Tasks[_ShownCalcStart],Tasks[[#This Row],[_Row]]+1):INDEX(Tasks[_ShownCalcStart],Tasks[[#This Row],[_Row]]+Tasks[[#This Row],[_Descendants]])),Tasks[[#This Row],[_ShownCalcStart]]))</f>
        <v/>
      </c>
      <c r="DM123" s="115" t="str">
        <f aca="false">IF(Tasks[[#This Row],[Task Name]]="","",IF(Tasks[[#This Row],[_IsSummary]],MAX(INDEX(Tasks[_ShownCalcFinish],Tasks[[#This Row],[_Row]]+1):INDEX(Tasks[_ShownCalcFinish],Tasks[[#This Row],[_Row]]+Tasks[[#This Row],[_Descendants]])),Tasks[[#This Row],[_ShownCalcFinish]]))</f>
        <v/>
      </c>
      <c r="DN12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3" s="38" t="n">
        <f aca="false">IF(AND(Tasks[[#This Row],[_IsLeaf]]=1,Tasks[[#This Row],[_LeafTotalWork]]&gt;0),NETWORKDAYS.INTL(ProjectStart,Tasks[[#This Row],[_ShownFcstStart]],WorkWeek,Holidays),0)</f>
        <v>0</v>
      </c>
      <c r="EA123" s="38" t="n">
        <f aca="false">IF(AND(Tasks[[#This Row],[_IsLeaf]]=1,Tasks[[#This Row],[_LeafTotalWork]]&gt;0),MAX(Tasks[[#This Row],[_StartWorkday]],NETWORKDAYS.INTL(ProjectStart,Tasks[[#This Row],[_ShownFcstFinish]],WorkWeek,Holidays)),0)</f>
        <v>0</v>
      </c>
      <c r="EB123" s="38" t="n">
        <f aca="false">IF(AND(Tasks[[#This Row],[_IsLeaf]]=1,Tasks[[#This Row],[_LeafTotalWork]]&gt;0),Tasks[[#This Row],[_LeafWork]]/(Tasks[[#This Row],[_FinishWorkday]]-Tasks[[#This Row],[_StartWorkday]]+1),0)</f>
        <v>0</v>
      </c>
      <c r="EC123" s="38" t="n">
        <f aca="false">Tasks[[#This Row],[_WorkPerWorkday]]*(Tasks[[#This Row],[_StartWorkday]]-1)</f>
        <v>-0</v>
      </c>
      <c r="ED123" s="38" t="n">
        <f aca="false">IF(Tasks[[#This Row],[_IsLeaf]]=1,MAX(N(Tasks[[#This Row],[Duration]]),0.1),0)</f>
        <v>0</v>
      </c>
      <c r="EE123" s="38" t="n">
        <f aca="false">Tasks[[#This Row],[_WeightDur]]*Tasks[[#This Row],[_LeafProgress]]</f>
        <v>0</v>
      </c>
      <c r="EF12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3" s="38" t="str">
        <f aca="false">IF(AND(Tasks[[#This Row],[_IsLeaf]]=1,N(Tasks[[#This Row],[Duration]])=0,Tasks[[#This Row],[_LeafProgress]]&lt;1),Tasks[[#This Row],[_ShownFcstFinish]]+Tasks[[#This Row],[_Row]]/100000,"")</f>
        <v/>
      </c>
      <c r="EH12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3" s="38" t="n">
        <f aca="false">IF(NOT(Tasks[[#This Row],[_IsLeaf]]=1),0,IF(Tasks[[#This Row],[Baseline Cost]]="",Tasks[[#This Row],[_LeafTotalCost]],N(Tasks[[#This Row],[Baseline Cost]])))</f>
        <v>0</v>
      </c>
      <c r="EJ123" s="38" t="n">
        <f aca="false">Tasks[[#This Row],[_LeafBudget]]*Tasks[[#This Row],[_PlannedPct]]</f>
        <v>0</v>
      </c>
      <c r="EK123" s="38" t="n">
        <f aca="false">Tasks[[#This Row],[_LeafBudget]]*Tasks[[#This Row],[_LeafProgress]]</f>
        <v>0</v>
      </c>
      <c r="EL123" s="38" t="n">
        <f aca="false">IF(NOT(Tasks[[#This Row],[_IsLeaf]]=1),0,IF(Tasks[[#This Row],[Actual Cost]]="",Tasks[[#This Row],[_LeafTotalCost]]*Tasks[[#This Row],[_LeafProgress]],N(Tasks[[#This Row],[Actual Cost]])))</f>
        <v>0</v>
      </c>
      <c r="EM123" s="38" t="str">
        <f aca="false">IF(Tasks[[#This Row],[Task Name]]="","",LEFT(Tasks[[#This Row],[WBS]],FIND(".",Tasks[[#This Row],[WBS]]&amp;".")-1))</f>
        <v/>
      </c>
      <c r="EN123" s="38" t="str">
        <f aca="false">IF(AND(Tasks[[#This Row],[Task Name]]&lt;&gt;"",Tasks[[#This Row],[_Level]]=1),Tasks[[#This Row],[_Row]],"")</f>
        <v/>
      </c>
      <c r="EO123" s="38" t="str">
        <f aca="false">IF(AND(Tasks[[#This Row],[_IsLeaf]]=1,N(Tasks[[#This Row],[Duration]])=0),Tasks[[#This Row],[Planned Finish]]+Tasks[[#This Row],[_Row]]/100000,"")</f>
        <v/>
      </c>
      <c r="EP123" s="38" t="str">
        <f aca="false">IF(AND(Tasks[[#This Row],[_IsLeaf]]=1,Tasks[[#This Row],[_LeafProgress]]&lt;1,OR(N(Tasks[[#This Row],[Finish Var]])&gt;0,Tasks[[#This Row],[Status]]="Late Start")),MAX(0,Tasks[[#This Row],[Finish Var]])+1-Tasks[[#This Row],[_Row]]/1000000,"")</f>
        <v/>
      </c>
      <c r="EQ123" s="38" t="str">
        <f aca="false">IF(AND(Tasks[[#This Row],[_IsLeaf]]=1,N(Tasks[[#This Row],[Actual Start]])=0,Tasks[[#This Row],[_ShownFcstStart]]&gt;=StatusDate,Tasks[[#This Row],[_ShownFcstStart]]&lt;=LookaheadEnd),Tasks[[#This Row],[_ShownFcstStart]]+Tasks[[#This Row],[_Row]]/100000,"")</f>
        <v/>
      </c>
      <c r="ER123" s="38" t="str">
        <f aca="false">IF(AND(Tasks[[#This Row],[_IsLeaf]]=1,Tasks[[#This Row],[_LeafProgress]]&lt;1,Tasks[[#This Row],[_ShownFcstFinish]]&gt;=StatusDate,Tasks[[#This Row],[_ShownFcstFinish]]&lt;=LookaheadEnd),Tasks[[#This Row],[_ShownFcstFinish]]+Tasks[[#This Row],[_Row]]/100000,"")</f>
        <v/>
      </c>
      <c r="ES123" s="38" t="str">
        <f aca="false">IF(Tasks[[#This Row],[_LeafCritical]],Tasks[[#This Row],[_ShownFcstStart]]+Tasks[[#This Row],[_Row]]/100000,"")</f>
        <v/>
      </c>
      <c r="ET123" s="38" t="n">
        <f aca="false">Tasks[[#This Row],[_LeafWork]]*Tasks[[#This Row],[_LeafProgress]]</f>
        <v>0</v>
      </c>
      <c r="EU123" s="115" t="str">
        <f aca="false">IF(AND(Tasks[[#This Row],[_IsLeaf]]=1,Tasks[[#This Row],[_LeafProgress]]&gt;=1),IF(N(Tasks[[#This Row],[Actual Finish]])&gt;0,Tasks[[#This Row],[Actual Finish]],Tasks[[#This Row],[_ShownFcstFinish]]),"")</f>
        <v/>
      </c>
      <c r="EV123" s="38" t="n">
        <f aca="false">IF(Tasks[[#This Row],[_IsLeaf]]=1,N(Tasks[[#This Row],[Story Points]]),0)</f>
        <v>0</v>
      </c>
      <c r="EW123" s="38" t="str">
        <f aca="false">IF(AND(Tasks[[#This Row],[_IsLeaf]]=1,CurrentSprint&lt;&gt;"",Tasks[[#This Row],[Sprint]]=CurrentSprint),Tasks[[#This Row],[_Row]],"")</f>
        <v/>
      </c>
    </row>
    <row r="124" customFormat="false" ht="15" hidden="false" customHeight="false" outlineLevel="0" collapsed="false">
      <c r="A124" s="51" t="str">
        <f aca="false">IF(Tasks[[#This Row],[Task Name]]="","",COUNTA(Tasks[[#Headers],[Task Name]]:Tasks[[#This Row],[Task Name]])-1)</f>
        <v/>
      </c>
      <c r="B124" s="52" t="n">
        <v>119</v>
      </c>
      <c r="C12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52"/>
      <c r="E124" s="53"/>
      <c r="F124" s="52"/>
      <c r="G124" s="52"/>
      <c r="H124" s="52"/>
      <c r="I124" s="52"/>
      <c r="J124" s="52"/>
      <c r="K124" s="52"/>
      <c r="L124" s="52"/>
      <c r="M124" s="52"/>
      <c r="N124" s="52"/>
      <c r="O124" s="52"/>
      <c r="P124" s="52"/>
      <c r="Q124" s="52"/>
      <c r="R124" s="52"/>
      <c r="S124" s="53"/>
      <c r="T124" s="102"/>
      <c r="U124" s="102"/>
      <c r="V124" s="7"/>
      <c r="W124" s="7"/>
      <c r="X124" s="53"/>
      <c r="Y124" s="31" t="str">
        <f aca="false">IF(Tasks[[#This Row],[Task Name]]="","",IF(Tasks[[#This Row],[_IsSummary]],MIN(INDEX(Tasks[_ShownFcstStart],Tasks[[#This Row],[_Row]]+1):INDEX(Tasks[_ShownFcstStart],Tasks[[#This Row],[_Row]]+Tasks[[#This Row],[_Descendants]])),Tasks[[#This Row],[_ShownFcstStart]]))</f>
        <v/>
      </c>
      <c r="Z124" s="31" t="str">
        <f aca="false">IF(Tasks[[#This Row],[Task Name]]="","",IF(Tasks[[#This Row],[_IsSummary]],MAX(INDEX(Tasks[_ShownFcstFinish],Tasks[[#This Row],[_Row]]+1):INDEX(Tasks[_ShownFcstFinish],Tasks[[#This Row],[_Row]]+Tasks[[#This Row],[_Descendants]])),Tasks[[#This Row],[_ShownFcstFinish]]))</f>
        <v/>
      </c>
      <c r="AA124" s="51" t="str">
        <f aca="false">IF(Tasks[[#This Row],[Task Name]]="","",IF(Tasks[[#This Row],[Progress]]&gt;=1,"Complete",IF(OR(N(Tasks[[#This Row],[Actual Start]])&gt;0,Tasks[[#This Row],[Progress]]&gt;0),IF(Tasks[[#This Row],[Finish Var]]&gt;0,"Behind","In Progress"),IF(Tasks[[#This Row],[Planned Start]]&lt;StatusDate,"Late Start","Not Started"))))</f>
        <v/>
      </c>
      <c r="AB124" s="51" t="str">
        <f aca="false">IF(Tasks[[#This Row],[Task Name]]="","",IF(IF(Tasks[[#This Row],[_IsSummary]],COUNTIF(INDEX(Tasks[_LeafCritical],Tasks[[#This Row],[_Row]]+1):INDEX(Tasks[_LeafCritical],Tasks[[#This Row],[_Row]]+Tasks[[#This Row],[_Descendants]]),TRUE())&gt;0,Tasks[[#This Row],[_LeafCritical]]),"Yes",""))</f>
        <v/>
      </c>
      <c r="AC12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4" s="51" t="str">
        <f aca="false">IF(Tasks[[#This Row],[Task Name]]="","",IF(Tasks[[#This Row],[_Level]]&lt;=OutlineShowLevel,"Yes","No"))</f>
        <v/>
      </c>
      <c r="AE124" s="7"/>
      <c r="AF124" s="52"/>
      <c r="AG124" s="53"/>
      <c r="AH124" s="7"/>
      <c r="AI12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4" s="31" t="str">
        <f aca="false">IF(Tasks[[#This Row],[Task Name]]="","",IF(N(Tasks[[#This Row],[Baseline Start]])&gt;0,Tasks[[#This Row],[Baseline Start]],Tasks[[#This Row],[_CalcStart]]))</f>
        <v/>
      </c>
      <c r="AK124" s="31" t="str">
        <f aca="false">IF(Tasks[[#This Row],[Task Name]]="","",IF(N(Tasks[[#This Row],[Baseline Finish]])&gt;0,Tasks[[#This Row],[Baseline Finish]],Tasks[[#This Row],[_CalcFinish]]))</f>
        <v/>
      </c>
      <c r="AL12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4" s="31" t="str">
        <f aca="false">IF(Tasks[[#This Row],[Task Name]]="","",IF(Tasks[[#This Row],[_IsSummary]],MIN(INDEX(Tasks[_LeafLateStart],Tasks[[#This Row],[_Row]]+1):INDEX(Tasks[_LeafLateStart],Tasks[[#This Row],[_Row]]+Tasks[[#This Row],[_Descendants]])),Tasks[[#This Row],[_LeafLateStart]]))</f>
        <v/>
      </c>
      <c r="AN124" s="31" t="str">
        <f aca="false">IF(Tasks[[#This Row],[Task Name]]="","",IF(Tasks[[#This Row],[_IsSummary]],MAX(INDEX(Tasks[_LeafLateFinish],Tasks[[#This Row],[_Row]]+1):INDEX(Tasks[_LeafLateFinish],Tasks[[#This Row],[_Row]]+Tasks[[#This Row],[_Descendants]])),Tasks[[#This Row],[_LeafLateFinish]]))</f>
        <v/>
      </c>
      <c r="AO124" s="51" t="str">
        <f aca="false">IF(Tasks[[#This Row],[Task Name]]="","",IF(Tasks[[#This Row],[_IsSummary]],MIN(INDEX(Tasks[_LeafTotalSlack],Tasks[[#This Row],[_Row]]+1):INDEX(Tasks[_LeafTotalSlack],Tasks[[#This Row],[_Row]]+Tasks[[#This Row],[_Descendants]])),Tasks[[#This Row],[_LeafTotalSlack]]))</f>
        <v/>
      </c>
      <c r="AP12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4" s="110" t="str">
        <f aca="false">IF(Tasks[[#This Row],[Task Name]]="","",IF(Tasks[[#This Row],[_IsSummary]],SUM(INDEX(Tasks[_LeafTotalWork],Tasks[[#This Row],[_Row]]+1):INDEX(Tasks[_LeafTotalWork],Tasks[[#This Row],[_Row]]+Tasks[[#This Row],[_Descendants]])),Tasks[[#This Row],[_LeafTotalWork]]))</f>
        <v/>
      </c>
      <c r="AV12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4" s="111" t="str">
        <f aca="false">IF(Tasks[[#This Row],[Task Name]]="","",IF(Tasks[[#This Row],[_IsSummary]],SUM(INDEX(Tasks[_LeafTotalCost],Tasks[[#This Row],[_Row]]+1):INDEX(Tasks[_LeafTotalCost],Tasks[[#This Row],[_Row]]+Tasks[[#This Row],[_Descendants]])),Tasks[[#This Row],[_LeafTotalCost]]))</f>
        <v/>
      </c>
      <c r="AY124" s="112"/>
      <c r="AZ12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4" s="52"/>
      <c r="BB124" s="98"/>
      <c r="BC124" s="51" t="str">
        <f aca="false">IF(OR(Tasks[[#This Row],[Task Name]]="",Tasks[[#This Row],[Baseline Duration]]=""),"",Tasks[[#This Row],[BL Source Duration]]-N(Tasks[[#This Row],[Baseline Duration]]))</f>
        <v/>
      </c>
      <c r="BD124" s="110" t="str">
        <f aca="false">IF(OR(Tasks[[#This Row],[Task Name]]="",Tasks[[#This Row],[Baseline Work]]=""),"",Tasks[[#This Row],[Work]]-N(Tasks[[#This Row],[Baseline Work]]))</f>
        <v/>
      </c>
      <c r="BE124" s="111" t="str">
        <f aca="false">IF(OR(Tasks[[#This Row],[Task Name]]="",Tasks[[#This Row],[Baseline Cost]]=""),"",Tasks[[#This Row],[Cost]]-N(Tasks[[#This Row],[Baseline Cost]]))</f>
        <v/>
      </c>
      <c r="BF124" s="31" t="str">
        <f aca="false">IF(Tasks[[#This Row],[Task Name]]="","",Tasks[[#This Row],[Forecast Start]])</f>
        <v/>
      </c>
      <c r="BG124" s="31" t="str">
        <f aca="false">IF(Tasks[[#This Row],[Task Name]]="","",Tasks[[#This Row],[Forecast Finish]])</f>
        <v/>
      </c>
      <c r="BH124" s="51" t="str">
        <f aca="false">IF(Tasks[[#This Row],[Task Name]]="","",IF(Tasks[[#This Row],[_IsSummary]],NETWORKDAYS.INTL(Tasks[[#This Row],[Forecast Start]],Tasks[[#This Row],[Forecast Finish]],WorkWeek,Holidays),N(Tasks[[#This Row],[Duration]])))</f>
        <v/>
      </c>
      <c r="BI124" s="110" t="str">
        <f aca="false">IF(Tasks[[#This Row],[Task Name]]="","",Tasks[[#This Row],[Work]])</f>
        <v/>
      </c>
      <c r="BJ124" s="111" t="str">
        <f aca="false">IF(Tasks[[#This Row],[Task Name]]="","",Tasks[[#This Row],[Cost]])</f>
        <v/>
      </c>
      <c r="BK124" s="7"/>
      <c r="BL124" s="7"/>
      <c r="BM124" s="52"/>
      <c r="BN124" s="113"/>
      <c r="BO124" s="112"/>
      <c r="BP124" s="111" t="str">
        <f aca="false">IF(Tasks[[#This Row],[Task Name]]="","",IF(Tasks[[#This Row],[_IsSummary]],SUM(INDEX(Tasks[_LeafEV],Tasks[[#This Row],[_Row]]+1):INDEX(Tasks[_LeafEV],Tasks[[#This Row],[_Row]]+Tasks[[#This Row],[_Descendants]])),Tasks[[#This Row],[_LeafEV]]))</f>
        <v/>
      </c>
      <c r="BQ124" s="111" t="str">
        <f aca="false">IF(Tasks[[#This Row],[Task Name]]="","",IF(Tasks[[#This Row],[_IsSummary]],SUM(INDEX(Tasks[_LeafBudget],Tasks[[#This Row],[_Row]]+1):INDEX(Tasks[_LeafBudget],Tasks[[#This Row],[_Row]]+Tasks[[#This Row],[_Descendants]])),Tasks[[#This Row],[_LeafBudget]]))</f>
        <v/>
      </c>
      <c r="BR124" s="111" t="str">
        <f aca="false">IF(Tasks[[#This Row],[Task Name]]="","",IF(Tasks[[#This Row],[_IsSummary]],SUM(INDEX(Tasks[_LeafPV],Tasks[[#This Row],[_Row]]+1):INDEX(Tasks[_LeafPV],Tasks[[#This Row],[_Row]]+Tasks[[#This Row],[_Descendants]])),Tasks[[#This Row],[_LeafPV]]))</f>
        <v/>
      </c>
      <c r="BS124" s="111" t="str">
        <f aca="false">IF(Tasks[[#This Row],[Task Name]]="","",IF(Tasks[[#This Row],[_IsSummary]],SUM(INDEX(Tasks[_LeafAC],Tasks[[#This Row],[_Row]]+1):INDEX(Tasks[_LeafAC],Tasks[[#This Row],[_Row]]+Tasks[[#This Row],[_Descendants]])),Tasks[[#This Row],[_LeafAC]]))</f>
        <v/>
      </c>
      <c r="BT124" s="38" t="str">
        <f aca="false">IF(Tasks[[#This Row],[Task Name]]="","",MAX(1,N(Tasks[[#This Row],[Level]])))</f>
        <v/>
      </c>
      <c r="BU124" s="38" t="n">
        <f aca="false">ROW()-ROW(Tasks[[#Headers],[ID]])</f>
        <v>119</v>
      </c>
      <c r="BV124" s="38" t="n">
        <f aca="false">IF(OR(Tasks[[#This Row],[Task Name]]="",Tasks[[#This Row],[_Level]]&lt;=1),0,IFERROR(LOOKUP(2,1/(Tasks[[#Headers],[_Level]]:Tasks[[#This Row],[_Level]]=Tasks[[#This Row],[_Level]]-1),ROW(Tasks[[#Headers],[_Level]]:Tasks[[#This Row],[_Level]])),0))</f>
        <v>0</v>
      </c>
      <c r="BW124" s="38" t="n">
        <f aca="false">IFERROR(N(INDEX(Tasks[_Level],Tasks[[#This Row],[_Row]]+1)),0)</f>
        <v>0</v>
      </c>
      <c r="BX124" s="114" t="b">
        <f aca="false">AND(Tasks[[#This Row],[Task Name]]&lt;&gt;"",Tasks[[#This Row],[_NextLevel]]&gt;Tasks[[#This Row],[_Level]])</f>
        <v>0</v>
      </c>
      <c r="BY124" s="38" t="n">
        <f aca="false">IF(Tasks[[#This Row],[_IsSummary]],COUNTIF(Tasks[WBS],Tasks[[#This Row],[WBS]]&amp;".*"),0)</f>
        <v>0</v>
      </c>
      <c r="BZ124" s="38" t="n">
        <f aca="false">IF(AND(Tasks[[#This Row],[Task Name]]&lt;&gt;"",NOT(Tasks[[#This Row],[_IsSummary]])),1,0)</f>
        <v>0</v>
      </c>
      <c r="CA124" s="38" t="n">
        <f aca="false">IF(N(Tasks[[#This Row],[Pred1 UID]])=0,0,IFERROR(MATCH(Tasks[[#This Row],[Pred1 UID]],Tasks[UID],0),-1))</f>
        <v>0</v>
      </c>
      <c r="CB124" s="38" t="n">
        <f aca="false">IF(N(Tasks[[#This Row],[Pred2 UID]])=0,0,IFERROR(MATCH(Tasks[[#This Row],[Pred2 UID]],Tasks[UID],0),-1))</f>
        <v>0</v>
      </c>
      <c r="CC124" s="38" t="n">
        <f aca="false">IF(N(Tasks[[#This Row],[Pred3 UID]])=0,0,IFERROR(MATCH(Tasks[[#This Row],[Pred3 UID]],Tasks[UID],0),-1))</f>
        <v>0</v>
      </c>
      <c r="CD124" s="38" t="n">
        <f aca="false">IF(N(Tasks[[#This Row],[Pred4 UID]])=0,0,IFERROR(MATCH(Tasks[[#This Row],[Pred4 UID]],Tasks[UID],0),-1))</f>
        <v>0</v>
      </c>
      <c r="CE12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4" s="115" t="n">
        <f aca="false">IF(OR(Tasks[[#This Row],[_ConstraintCode]]=2,Tasks[[#This Row],[_ConstraintCode]]=3,Tasks[[#This Row],[_ConstraintCode]]=4,Tasks[[#This Row],[_ConstraintCode]]=6),Tasks[[#This Row],[_ConstraintStart]],0)</f>
        <v>0</v>
      </c>
      <c r="CH124" s="115" t="n">
        <f aca="false">IF(OR(Tasks[[#This Row],[_ConstraintCode]]=2,Tasks[[#This Row],[_ConstraintCode]]=3,Tasks[[#This Row],[_ConstraintCode]]=5,Tasks[[#This Row],[_ConstraintCode]]=7),Tasks[[#This Row],[_ConstraintStart]],2958465)</f>
        <v>2958465</v>
      </c>
      <c r="CI12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4" s="115" t="str">
        <f aca="false">IF(NOT(Tasks[[#This Row],[_IsLeaf]]=1),"",IF(N(Tasks[[#This Row],[Duration]])&lt;=0,Tasks[[#This Row],[_LeafCalcStart]],WORKDAY.INTL(Tasks[[#This Row],[_LeafCalcStart]],Tasks[[#This Row],[Duration]]-1,WorkWeek,Holidays)))</f>
        <v/>
      </c>
      <c r="CK12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4" s="38" t="n">
        <f aca="false">IF(NOT(Tasks[[#This Row],[_IsLeaf]]=1),0,IF(N(Tasks[[#This Row],[Actual Finish]])&gt;0,1,MIN(1,N(Tasks[[#This Row],[% Complete]]))))</f>
        <v>0</v>
      </c>
      <c r="CN124" s="38" t="n">
        <f aca="false">IF(OR(NOT(Tasks[[#This Row],[_IsLeaf]]=1),Tasks[[#This Row],[Resource]]=""),0,N(Tasks[[#This Row],[Duration]])*HoursPerDay*IF(Tasks[[#This Row],[Units]]="",DefaultUnits,Tasks[[#This Row],[Units]]))</f>
        <v>0</v>
      </c>
      <c r="CO124" s="38" t="n">
        <f aca="false">IF(Tasks[[#This Row],[_LeafWork]]=0,0,Tasks[[#This Row],[_LeafWork]]*IFERROR(INDEX(res_Rate,MATCH(Tasks[[#This Row],[Resource]],res_Name,0)),0))</f>
        <v>0</v>
      </c>
      <c r="CP124" s="38" t="n">
        <f aca="false">Tasks[[#This Row],[_LeafWork]]+IF(Tasks[[#This Row],[_IsLeaf]]=1,SUMIFS(asg_Work,asg_TaskUID,Tasks[[#This Row],[UID]],asg_Valid,1),0)</f>
        <v>0</v>
      </c>
      <c r="CQ124" s="38" t="n">
        <f aca="false">Tasks[[#This Row],[_LeafCost]]+IF(Tasks[[#This Row],[_IsLeaf]]=1,SUMIFS(asg_Cost,asg_TaskUID,Tasks[[#This Row],[UID]],asg_Valid,1),0)</f>
        <v>0</v>
      </c>
      <c r="CR124" s="38" t="n">
        <f aca="false">IF(Tasks[[#This Row],[_LeafTotalCost]]=0,Tasks[[#This Row],[_LeafAC]],Tasks[[#This Row],[_LeafAC]]*Tasks[[#This Row],[_LeafCost]]/Tasks[[#This Row],[_LeafTotalCost]])</f>
        <v>0</v>
      </c>
      <c r="CS12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4" s="38" t="n">
        <f aca="false">IF(NOT(Tasks[[#This Row],[_IsLeaf]]=1),0,MAX(_xlfn.MAXIFS(Tasks[_Row],Tasks[Pred1 UID],Tasks[[#This Row],[UID]]),_xlfn.MAXIFS(Tasks[_Row],Tasks[Pred2 UID],Tasks[[#This Row],[UID]]),_xlfn.MAXIFS(Tasks[_Row],Tasks[Pred3 UID],Tasks[[#This Row],[UID]]),_xlfn.MAXIFS(Tasks[_Row],Tasks[Pred4 UID],Tasks[[#This Row],[UID]])))</f>
        <v>0</v>
      </c>
      <c r="DB12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4" s="115" t="str">
        <f aca="false">IF(NOT(Tasks[[#This Row],[_IsLeaf]]=1),"",IF(N(Tasks[[#This Row],[Duration]])&lt;=0,Tasks[[#This Row],[_LeafLateFinish]],WORKDAY.INTL(Tasks[[#This Row],[_LeafLateFinish]],-(Tasks[[#This Row],[Duration]]-1),WorkWeek,Holidays)))</f>
        <v/>
      </c>
      <c r="DE12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4" s="114" t="b">
        <f aca="false">AND(Tasks[[#This Row],[_IsLeaf]]=1,Tasks[[#This Row],[_LeafProgress]]&lt;1,N(Tasks[[#This Row],[_LeafTotalSlack]])&lt;=CriticalSlackDays)</f>
        <v>0</v>
      </c>
      <c r="DG124" s="38" t="n">
        <f aca="false">IF(AND(Tasks[[#This Row],[_IsLeaf]]=1,Tasks[[#This Row],[_ConstraintCode]]=1,Tasks[[#This Row],[Mode]]&lt;&gt;"Manual",N(Tasks[[#This Row],[Actual Start]])=0),MAX(0,N(Tasks[[#This Row],[Free Slack]])),0)</f>
        <v>0</v>
      </c>
      <c r="DH124" s="115" t="str">
        <f aca="false">IF(NOT(Tasks[[#This Row],[_IsLeaf]]=1),"",IF(Tasks[[#This Row],[_AlapShift]]=0,Tasks[[#This Row],[_LeafCalcStart]],WORKDAY.INTL(Tasks[[#This Row],[_LeafCalcStart]],Tasks[[#This Row],[_AlapShift]],WorkWeek,Holidays)))</f>
        <v/>
      </c>
      <c r="DI124" s="115" t="str">
        <f aca="false">IF(NOT(Tasks[[#This Row],[_IsLeaf]]=1),"",IF(Tasks[[#This Row],[_AlapShift]]=0,Tasks[[#This Row],[_LeafCalcFinish]],WORKDAY.INTL(Tasks[[#This Row],[_LeafCalcFinish]],Tasks[[#This Row],[_AlapShift]],WorkWeek,Holidays)))</f>
        <v/>
      </c>
      <c r="DJ124" s="115" t="str">
        <f aca="false">IF(NOT(Tasks[[#This Row],[_IsLeaf]]=1),"",IF(Tasks[[#This Row],[_AlapShift]]=0,Tasks[[#This Row],[_LeafFcstStart]],WORKDAY.INTL(Tasks[[#This Row],[_LeafFcstStart]],Tasks[[#This Row],[_AlapShift]],WorkWeek,Holidays)))</f>
        <v/>
      </c>
      <c r="DK124" s="115" t="str">
        <f aca="false">IF(NOT(Tasks[[#This Row],[_IsLeaf]]=1),"",IF(Tasks[[#This Row],[_AlapShift]]=0,Tasks[[#This Row],[_LeafFcstFinish]],WORKDAY.INTL(Tasks[[#This Row],[_LeafFcstFinish]],Tasks[[#This Row],[_AlapShift]],WorkWeek,Holidays)))</f>
        <v/>
      </c>
      <c r="DL124" s="115" t="str">
        <f aca="false">IF(Tasks[[#This Row],[Task Name]]="","",IF(Tasks[[#This Row],[_IsSummary]],MIN(INDEX(Tasks[_ShownCalcStart],Tasks[[#This Row],[_Row]]+1):INDEX(Tasks[_ShownCalcStart],Tasks[[#This Row],[_Row]]+Tasks[[#This Row],[_Descendants]])),Tasks[[#This Row],[_ShownCalcStart]]))</f>
        <v/>
      </c>
      <c r="DM124" s="115" t="str">
        <f aca="false">IF(Tasks[[#This Row],[Task Name]]="","",IF(Tasks[[#This Row],[_IsSummary]],MAX(INDEX(Tasks[_ShownCalcFinish],Tasks[[#This Row],[_Row]]+1):INDEX(Tasks[_ShownCalcFinish],Tasks[[#This Row],[_Row]]+Tasks[[#This Row],[_Descendants]])),Tasks[[#This Row],[_ShownCalcFinish]]))</f>
        <v/>
      </c>
      <c r="DN12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4" s="38" t="n">
        <f aca="false">IF(AND(Tasks[[#This Row],[_IsLeaf]]=1,Tasks[[#This Row],[_LeafTotalWork]]&gt;0),NETWORKDAYS.INTL(ProjectStart,Tasks[[#This Row],[_ShownFcstStart]],WorkWeek,Holidays),0)</f>
        <v>0</v>
      </c>
      <c r="EA124" s="38" t="n">
        <f aca="false">IF(AND(Tasks[[#This Row],[_IsLeaf]]=1,Tasks[[#This Row],[_LeafTotalWork]]&gt;0),MAX(Tasks[[#This Row],[_StartWorkday]],NETWORKDAYS.INTL(ProjectStart,Tasks[[#This Row],[_ShownFcstFinish]],WorkWeek,Holidays)),0)</f>
        <v>0</v>
      </c>
      <c r="EB124" s="38" t="n">
        <f aca="false">IF(AND(Tasks[[#This Row],[_IsLeaf]]=1,Tasks[[#This Row],[_LeafTotalWork]]&gt;0),Tasks[[#This Row],[_LeafWork]]/(Tasks[[#This Row],[_FinishWorkday]]-Tasks[[#This Row],[_StartWorkday]]+1),0)</f>
        <v>0</v>
      </c>
      <c r="EC124" s="38" t="n">
        <f aca="false">Tasks[[#This Row],[_WorkPerWorkday]]*(Tasks[[#This Row],[_StartWorkday]]-1)</f>
        <v>-0</v>
      </c>
      <c r="ED124" s="38" t="n">
        <f aca="false">IF(Tasks[[#This Row],[_IsLeaf]]=1,MAX(N(Tasks[[#This Row],[Duration]]),0.1),0)</f>
        <v>0</v>
      </c>
      <c r="EE124" s="38" t="n">
        <f aca="false">Tasks[[#This Row],[_WeightDur]]*Tasks[[#This Row],[_LeafProgress]]</f>
        <v>0</v>
      </c>
      <c r="EF12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4" s="38" t="str">
        <f aca="false">IF(AND(Tasks[[#This Row],[_IsLeaf]]=1,N(Tasks[[#This Row],[Duration]])=0,Tasks[[#This Row],[_LeafProgress]]&lt;1),Tasks[[#This Row],[_ShownFcstFinish]]+Tasks[[#This Row],[_Row]]/100000,"")</f>
        <v/>
      </c>
      <c r="EH12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4" s="38" t="n">
        <f aca="false">IF(NOT(Tasks[[#This Row],[_IsLeaf]]=1),0,IF(Tasks[[#This Row],[Baseline Cost]]="",Tasks[[#This Row],[_LeafTotalCost]],N(Tasks[[#This Row],[Baseline Cost]])))</f>
        <v>0</v>
      </c>
      <c r="EJ124" s="38" t="n">
        <f aca="false">Tasks[[#This Row],[_LeafBudget]]*Tasks[[#This Row],[_PlannedPct]]</f>
        <v>0</v>
      </c>
      <c r="EK124" s="38" t="n">
        <f aca="false">Tasks[[#This Row],[_LeafBudget]]*Tasks[[#This Row],[_LeafProgress]]</f>
        <v>0</v>
      </c>
      <c r="EL124" s="38" t="n">
        <f aca="false">IF(NOT(Tasks[[#This Row],[_IsLeaf]]=1),0,IF(Tasks[[#This Row],[Actual Cost]]="",Tasks[[#This Row],[_LeafTotalCost]]*Tasks[[#This Row],[_LeafProgress]],N(Tasks[[#This Row],[Actual Cost]])))</f>
        <v>0</v>
      </c>
      <c r="EM124" s="38" t="str">
        <f aca="false">IF(Tasks[[#This Row],[Task Name]]="","",LEFT(Tasks[[#This Row],[WBS]],FIND(".",Tasks[[#This Row],[WBS]]&amp;".")-1))</f>
        <v/>
      </c>
      <c r="EN124" s="38" t="str">
        <f aca="false">IF(AND(Tasks[[#This Row],[Task Name]]&lt;&gt;"",Tasks[[#This Row],[_Level]]=1),Tasks[[#This Row],[_Row]],"")</f>
        <v/>
      </c>
      <c r="EO124" s="38" t="str">
        <f aca="false">IF(AND(Tasks[[#This Row],[_IsLeaf]]=1,N(Tasks[[#This Row],[Duration]])=0),Tasks[[#This Row],[Planned Finish]]+Tasks[[#This Row],[_Row]]/100000,"")</f>
        <v/>
      </c>
      <c r="EP124" s="38" t="str">
        <f aca="false">IF(AND(Tasks[[#This Row],[_IsLeaf]]=1,Tasks[[#This Row],[_LeafProgress]]&lt;1,OR(N(Tasks[[#This Row],[Finish Var]])&gt;0,Tasks[[#This Row],[Status]]="Late Start")),MAX(0,Tasks[[#This Row],[Finish Var]])+1-Tasks[[#This Row],[_Row]]/1000000,"")</f>
        <v/>
      </c>
      <c r="EQ124" s="38" t="str">
        <f aca="false">IF(AND(Tasks[[#This Row],[_IsLeaf]]=1,N(Tasks[[#This Row],[Actual Start]])=0,Tasks[[#This Row],[_ShownFcstStart]]&gt;=StatusDate,Tasks[[#This Row],[_ShownFcstStart]]&lt;=LookaheadEnd),Tasks[[#This Row],[_ShownFcstStart]]+Tasks[[#This Row],[_Row]]/100000,"")</f>
        <v/>
      </c>
      <c r="ER124" s="38" t="str">
        <f aca="false">IF(AND(Tasks[[#This Row],[_IsLeaf]]=1,Tasks[[#This Row],[_LeafProgress]]&lt;1,Tasks[[#This Row],[_ShownFcstFinish]]&gt;=StatusDate,Tasks[[#This Row],[_ShownFcstFinish]]&lt;=LookaheadEnd),Tasks[[#This Row],[_ShownFcstFinish]]+Tasks[[#This Row],[_Row]]/100000,"")</f>
        <v/>
      </c>
      <c r="ES124" s="38" t="str">
        <f aca="false">IF(Tasks[[#This Row],[_LeafCritical]],Tasks[[#This Row],[_ShownFcstStart]]+Tasks[[#This Row],[_Row]]/100000,"")</f>
        <v/>
      </c>
      <c r="ET124" s="38" t="n">
        <f aca="false">Tasks[[#This Row],[_LeafWork]]*Tasks[[#This Row],[_LeafProgress]]</f>
        <v>0</v>
      </c>
      <c r="EU124" s="115" t="str">
        <f aca="false">IF(AND(Tasks[[#This Row],[_IsLeaf]]=1,Tasks[[#This Row],[_LeafProgress]]&gt;=1),IF(N(Tasks[[#This Row],[Actual Finish]])&gt;0,Tasks[[#This Row],[Actual Finish]],Tasks[[#This Row],[_ShownFcstFinish]]),"")</f>
        <v/>
      </c>
      <c r="EV124" s="38" t="n">
        <f aca="false">IF(Tasks[[#This Row],[_IsLeaf]]=1,N(Tasks[[#This Row],[Story Points]]),0)</f>
        <v>0</v>
      </c>
      <c r="EW124" s="38" t="str">
        <f aca="false">IF(AND(Tasks[[#This Row],[_IsLeaf]]=1,CurrentSprint&lt;&gt;"",Tasks[[#This Row],[Sprint]]=CurrentSprint),Tasks[[#This Row],[_Row]],"")</f>
        <v/>
      </c>
    </row>
    <row r="125" customFormat="false" ht="15" hidden="false" customHeight="false" outlineLevel="0" collapsed="false">
      <c r="A125" s="51" t="str">
        <f aca="false">IF(Tasks[[#This Row],[Task Name]]="","",COUNTA(Tasks[[#Headers],[Task Name]]:Tasks[[#This Row],[Task Name]])-1)</f>
        <v/>
      </c>
      <c r="B125" s="52" t="n">
        <v>120</v>
      </c>
      <c r="C12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52"/>
      <c r="E125" s="53"/>
      <c r="F125" s="52"/>
      <c r="G125" s="52"/>
      <c r="H125" s="52"/>
      <c r="I125" s="52"/>
      <c r="J125" s="52"/>
      <c r="K125" s="52"/>
      <c r="L125" s="52"/>
      <c r="M125" s="52"/>
      <c r="N125" s="52"/>
      <c r="O125" s="52"/>
      <c r="P125" s="52"/>
      <c r="Q125" s="52"/>
      <c r="R125" s="52"/>
      <c r="S125" s="53"/>
      <c r="T125" s="102"/>
      <c r="U125" s="102"/>
      <c r="V125" s="7"/>
      <c r="W125" s="7"/>
      <c r="X125" s="53"/>
      <c r="Y125" s="31" t="str">
        <f aca="false">IF(Tasks[[#This Row],[Task Name]]="","",IF(Tasks[[#This Row],[_IsSummary]],MIN(INDEX(Tasks[_ShownFcstStart],Tasks[[#This Row],[_Row]]+1):INDEX(Tasks[_ShownFcstStart],Tasks[[#This Row],[_Row]]+Tasks[[#This Row],[_Descendants]])),Tasks[[#This Row],[_ShownFcstStart]]))</f>
        <v/>
      </c>
      <c r="Z125" s="31" t="str">
        <f aca="false">IF(Tasks[[#This Row],[Task Name]]="","",IF(Tasks[[#This Row],[_IsSummary]],MAX(INDEX(Tasks[_ShownFcstFinish],Tasks[[#This Row],[_Row]]+1):INDEX(Tasks[_ShownFcstFinish],Tasks[[#This Row],[_Row]]+Tasks[[#This Row],[_Descendants]])),Tasks[[#This Row],[_ShownFcstFinish]]))</f>
        <v/>
      </c>
      <c r="AA125" s="51" t="str">
        <f aca="false">IF(Tasks[[#This Row],[Task Name]]="","",IF(Tasks[[#This Row],[Progress]]&gt;=1,"Complete",IF(OR(N(Tasks[[#This Row],[Actual Start]])&gt;0,Tasks[[#This Row],[Progress]]&gt;0),IF(Tasks[[#This Row],[Finish Var]]&gt;0,"Behind","In Progress"),IF(Tasks[[#This Row],[Planned Start]]&lt;StatusDate,"Late Start","Not Started"))))</f>
        <v/>
      </c>
      <c r="AB125" s="51" t="str">
        <f aca="false">IF(Tasks[[#This Row],[Task Name]]="","",IF(IF(Tasks[[#This Row],[_IsSummary]],COUNTIF(INDEX(Tasks[_LeafCritical],Tasks[[#This Row],[_Row]]+1):INDEX(Tasks[_LeafCritical],Tasks[[#This Row],[_Row]]+Tasks[[#This Row],[_Descendants]]),TRUE())&gt;0,Tasks[[#This Row],[_LeafCritical]]),"Yes",""))</f>
        <v/>
      </c>
      <c r="AC12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5" s="51" t="str">
        <f aca="false">IF(Tasks[[#This Row],[Task Name]]="","",IF(Tasks[[#This Row],[_Level]]&lt;=OutlineShowLevel,"Yes","No"))</f>
        <v/>
      </c>
      <c r="AE125" s="7"/>
      <c r="AF125" s="52"/>
      <c r="AG125" s="53"/>
      <c r="AH125" s="7"/>
      <c r="AI12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5" s="31" t="str">
        <f aca="false">IF(Tasks[[#This Row],[Task Name]]="","",IF(N(Tasks[[#This Row],[Baseline Start]])&gt;0,Tasks[[#This Row],[Baseline Start]],Tasks[[#This Row],[_CalcStart]]))</f>
        <v/>
      </c>
      <c r="AK125" s="31" t="str">
        <f aca="false">IF(Tasks[[#This Row],[Task Name]]="","",IF(N(Tasks[[#This Row],[Baseline Finish]])&gt;0,Tasks[[#This Row],[Baseline Finish]],Tasks[[#This Row],[_CalcFinish]]))</f>
        <v/>
      </c>
      <c r="AL12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5" s="31" t="str">
        <f aca="false">IF(Tasks[[#This Row],[Task Name]]="","",IF(Tasks[[#This Row],[_IsSummary]],MIN(INDEX(Tasks[_LeafLateStart],Tasks[[#This Row],[_Row]]+1):INDEX(Tasks[_LeafLateStart],Tasks[[#This Row],[_Row]]+Tasks[[#This Row],[_Descendants]])),Tasks[[#This Row],[_LeafLateStart]]))</f>
        <v/>
      </c>
      <c r="AN125" s="31" t="str">
        <f aca="false">IF(Tasks[[#This Row],[Task Name]]="","",IF(Tasks[[#This Row],[_IsSummary]],MAX(INDEX(Tasks[_LeafLateFinish],Tasks[[#This Row],[_Row]]+1):INDEX(Tasks[_LeafLateFinish],Tasks[[#This Row],[_Row]]+Tasks[[#This Row],[_Descendants]])),Tasks[[#This Row],[_LeafLateFinish]]))</f>
        <v/>
      </c>
      <c r="AO125" s="51" t="str">
        <f aca="false">IF(Tasks[[#This Row],[Task Name]]="","",IF(Tasks[[#This Row],[_IsSummary]],MIN(INDEX(Tasks[_LeafTotalSlack],Tasks[[#This Row],[_Row]]+1):INDEX(Tasks[_LeafTotalSlack],Tasks[[#This Row],[_Row]]+Tasks[[#This Row],[_Descendants]])),Tasks[[#This Row],[_LeafTotalSlack]]))</f>
        <v/>
      </c>
      <c r="AP12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5" s="110" t="str">
        <f aca="false">IF(Tasks[[#This Row],[Task Name]]="","",IF(Tasks[[#This Row],[_IsSummary]],SUM(INDEX(Tasks[_LeafTotalWork],Tasks[[#This Row],[_Row]]+1):INDEX(Tasks[_LeafTotalWork],Tasks[[#This Row],[_Row]]+Tasks[[#This Row],[_Descendants]])),Tasks[[#This Row],[_LeafTotalWork]]))</f>
        <v/>
      </c>
      <c r="AV12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5" s="111" t="str">
        <f aca="false">IF(Tasks[[#This Row],[Task Name]]="","",IF(Tasks[[#This Row],[_IsSummary]],SUM(INDEX(Tasks[_LeafTotalCost],Tasks[[#This Row],[_Row]]+1):INDEX(Tasks[_LeafTotalCost],Tasks[[#This Row],[_Row]]+Tasks[[#This Row],[_Descendants]])),Tasks[[#This Row],[_LeafTotalCost]]))</f>
        <v/>
      </c>
      <c r="AY125" s="112"/>
      <c r="AZ12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5" s="52"/>
      <c r="BB125" s="98"/>
      <c r="BC125" s="51" t="str">
        <f aca="false">IF(OR(Tasks[[#This Row],[Task Name]]="",Tasks[[#This Row],[Baseline Duration]]=""),"",Tasks[[#This Row],[BL Source Duration]]-N(Tasks[[#This Row],[Baseline Duration]]))</f>
        <v/>
      </c>
      <c r="BD125" s="110" t="str">
        <f aca="false">IF(OR(Tasks[[#This Row],[Task Name]]="",Tasks[[#This Row],[Baseline Work]]=""),"",Tasks[[#This Row],[Work]]-N(Tasks[[#This Row],[Baseline Work]]))</f>
        <v/>
      </c>
      <c r="BE125" s="111" t="str">
        <f aca="false">IF(OR(Tasks[[#This Row],[Task Name]]="",Tasks[[#This Row],[Baseline Cost]]=""),"",Tasks[[#This Row],[Cost]]-N(Tasks[[#This Row],[Baseline Cost]]))</f>
        <v/>
      </c>
      <c r="BF125" s="31" t="str">
        <f aca="false">IF(Tasks[[#This Row],[Task Name]]="","",Tasks[[#This Row],[Forecast Start]])</f>
        <v/>
      </c>
      <c r="BG125" s="31" t="str">
        <f aca="false">IF(Tasks[[#This Row],[Task Name]]="","",Tasks[[#This Row],[Forecast Finish]])</f>
        <v/>
      </c>
      <c r="BH125" s="51" t="str">
        <f aca="false">IF(Tasks[[#This Row],[Task Name]]="","",IF(Tasks[[#This Row],[_IsSummary]],NETWORKDAYS.INTL(Tasks[[#This Row],[Forecast Start]],Tasks[[#This Row],[Forecast Finish]],WorkWeek,Holidays),N(Tasks[[#This Row],[Duration]])))</f>
        <v/>
      </c>
      <c r="BI125" s="110" t="str">
        <f aca="false">IF(Tasks[[#This Row],[Task Name]]="","",Tasks[[#This Row],[Work]])</f>
        <v/>
      </c>
      <c r="BJ125" s="111" t="str">
        <f aca="false">IF(Tasks[[#This Row],[Task Name]]="","",Tasks[[#This Row],[Cost]])</f>
        <v/>
      </c>
      <c r="BK125" s="7"/>
      <c r="BL125" s="7"/>
      <c r="BM125" s="52"/>
      <c r="BN125" s="113"/>
      <c r="BO125" s="112"/>
      <c r="BP125" s="111" t="str">
        <f aca="false">IF(Tasks[[#This Row],[Task Name]]="","",IF(Tasks[[#This Row],[_IsSummary]],SUM(INDEX(Tasks[_LeafEV],Tasks[[#This Row],[_Row]]+1):INDEX(Tasks[_LeafEV],Tasks[[#This Row],[_Row]]+Tasks[[#This Row],[_Descendants]])),Tasks[[#This Row],[_LeafEV]]))</f>
        <v/>
      </c>
      <c r="BQ125" s="111" t="str">
        <f aca="false">IF(Tasks[[#This Row],[Task Name]]="","",IF(Tasks[[#This Row],[_IsSummary]],SUM(INDEX(Tasks[_LeafBudget],Tasks[[#This Row],[_Row]]+1):INDEX(Tasks[_LeafBudget],Tasks[[#This Row],[_Row]]+Tasks[[#This Row],[_Descendants]])),Tasks[[#This Row],[_LeafBudget]]))</f>
        <v/>
      </c>
      <c r="BR125" s="111" t="str">
        <f aca="false">IF(Tasks[[#This Row],[Task Name]]="","",IF(Tasks[[#This Row],[_IsSummary]],SUM(INDEX(Tasks[_LeafPV],Tasks[[#This Row],[_Row]]+1):INDEX(Tasks[_LeafPV],Tasks[[#This Row],[_Row]]+Tasks[[#This Row],[_Descendants]])),Tasks[[#This Row],[_LeafPV]]))</f>
        <v/>
      </c>
      <c r="BS125" s="111" t="str">
        <f aca="false">IF(Tasks[[#This Row],[Task Name]]="","",IF(Tasks[[#This Row],[_IsSummary]],SUM(INDEX(Tasks[_LeafAC],Tasks[[#This Row],[_Row]]+1):INDEX(Tasks[_LeafAC],Tasks[[#This Row],[_Row]]+Tasks[[#This Row],[_Descendants]])),Tasks[[#This Row],[_LeafAC]]))</f>
        <v/>
      </c>
      <c r="BT125" s="38" t="str">
        <f aca="false">IF(Tasks[[#This Row],[Task Name]]="","",MAX(1,N(Tasks[[#This Row],[Level]])))</f>
        <v/>
      </c>
      <c r="BU125" s="38" t="n">
        <f aca="false">ROW()-ROW(Tasks[[#Headers],[ID]])</f>
        <v>120</v>
      </c>
      <c r="BV125" s="38" t="n">
        <f aca="false">IF(OR(Tasks[[#This Row],[Task Name]]="",Tasks[[#This Row],[_Level]]&lt;=1),0,IFERROR(LOOKUP(2,1/(Tasks[[#Headers],[_Level]]:Tasks[[#This Row],[_Level]]=Tasks[[#This Row],[_Level]]-1),ROW(Tasks[[#Headers],[_Level]]:Tasks[[#This Row],[_Level]])),0))</f>
        <v>0</v>
      </c>
      <c r="BW125" s="38" t="n">
        <f aca="false">IFERROR(N(INDEX(Tasks[_Level],Tasks[[#This Row],[_Row]]+1)),0)</f>
        <v>0</v>
      </c>
      <c r="BX125" s="114" t="b">
        <f aca="false">AND(Tasks[[#This Row],[Task Name]]&lt;&gt;"",Tasks[[#This Row],[_NextLevel]]&gt;Tasks[[#This Row],[_Level]])</f>
        <v>0</v>
      </c>
      <c r="BY125" s="38" t="n">
        <f aca="false">IF(Tasks[[#This Row],[_IsSummary]],COUNTIF(Tasks[WBS],Tasks[[#This Row],[WBS]]&amp;".*"),0)</f>
        <v>0</v>
      </c>
      <c r="BZ125" s="38" t="n">
        <f aca="false">IF(AND(Tasks[[#This Row],[Task Name]]&lt;&gt;"",NOT(Tasks[[#This Row],[_IsSummary]])),1,0)</f>
        <v>0</v>
      </c>
      <c r="CA125" s="38" t="n">
        <f aca="false">IF(N(Tasks[[#This Row],[Pred1 UID]])=0,0,IFERROR(MATCH(Tasks[[#This Row],[Pred1 UID]],Tasks[UID],0),-1))</f>
        <v>0</v>
      </c>
      <c r="CB125" s="38" t="n">
        <f aca="false">IF(N(Tasks[[#This Row],[Pred2 UID]])=0,0,IFERROR(MATCH(Tasks[[#This Row],[Pred2 UID]],Tasks[UID],0),-1))</f>
        <v>0</v>
      </c>
      <c r="CC125" s="38" t="n">
        <f aca="false">IF(N(Tasks[[#This Row],[Pred3 UID]])=0,0,IFERROR(MATCH(Tasks[[#This Row],[Pred3 UID]],Tasks[UID],0),-1))</f>
        <v>0</v>
      </c>
      <c r="CD125" s="38" t="n">
        <f aca="false">IF(N(Tasks[[#This Row],[Pred4 UID]])=0,0,IFERROR(MATCH(Tasks[[#This Row],[Pred4 UID]],Tasks[UID],0),-1))</f>
        <v>0</v>
      </c>
      <c r="CE12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5" s="115" t="n">
        <f aca="false">IF(OR(Tasks[[#This Row],[_ConstraintCode]]=2,Tasks[[#This Row],[_ConstraintCode]]=3,Tasks[[#This Row],[_ConstraintCode]]=4,Tasks[[#This Row],[_ConstraintCode]]=6),Tasks[[#This Row],[_ConstraintStart]],0)</f>
        <v>0</v>
      </c>
      <c r="CH125" s="115" t="n">
        <f aca="false">IF(OR(Tasks[[#This Row],[_ConstraintCode]]=2,Tasks[[#This Row],[_ConstraintCode]]=3,Tasks[[#This Row],[_ConstraintCode]]=5,Tasks[[#This Row],[_ConstraintCode]]=7),Tasks[[#This Row],[_ConstraintStart]],2958465)</f>
        <v>2958465</v>
      </c>
      <c r="CI12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5" s="115" t="str">
        <f aca="false">IF(NOT(Tasks[[#This Row],[_IsLeaf]]=1),"",IF(N(Tasks[[#This Row],[Duration]])&lt;=0,Tasks[[#This Row],[_LeafCalcStart]],WORKDAY.INTL(Tasks[[#This Row],[_LeafCalcStart]],Tasks[[#This Row],[Duration]]-1,WorkWeek,Holidays)))</f>
        <v/>
      </c>
      <c r="CK12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5" s="38" t="n">
        <f aca="false">IF(NOT(Tasks[[#This Row],[_IsLeaf]]=1),0,IF(N(Tasks[[#This Row],[Actual Finish]])&gt;0,1,MIN(1,N(Tasks[[#This Row],[% Complete]]))))</f>
        <v>0</v>
      </c>
      <c r="CN125" s="38" t="n">
        <f aca="false">IF(OR(NOT(Tasks[[#This Row],[_IsLeaf]]=1),Tasks[[#This Row],[Resource]]=""),0,N(Tasks[[#This Row],[Duration]])*HoursPerDay*IF(Tasks[[#This Row],[Units]]="",DefaultUnits,Tasks[[#This Row],[Units]]))</f>
        <v>0</v>
      </c>
      <c r="CO125" s="38" t="n">
        <f aca="false">IF(Tasks[[#This Row],[_LeafWork]]=0,0,Tasks[[#This Row],[_LeafWork]]*IFERROR(INDEX(res_Rate,MATCH(Tasks[[#This Row],[Resource]],res_Name,0)),0))</f>
        <v>0</v>
      </c>
      <c r="CP125" s="38" t="n">
        <f aca="false">Tasks[[#This Row],[_LeafWork]]+IF(Tasks[[#This Row],[_IsLeaf]]=1,SUMIFS(asg_Work,asg_TaskUID,Tasks[[#This Row],[UID]],asg_Valid,1),0)</f>
        <v>0</v>
      </c>
      <c r="CQ125" s="38" t="n">
        <f aca="false">Tasks[[#This Row],[_LeafCost]]+IF(Tasks[[#This Row],[_IsLeaf]]=1,SUMIFS(asg_Cost,asg_TaskUID,Tasks[[#This Row],[UID]],asg_Valid,1),0)</f>
        <v>0</v>
      </c>
      <c r="CR125" s="38" t="n">
        <f aca="false">IF(Tasks[[#This Row],[_LeafTotalCost]]=0,Tasks[[#This Row],[_LeafAC]],Tasks[[#This Row],[_LeafAC]]*Tasks[[#This Row],[_LeafCost]]/Tasks[[#This Row],[_LeafTotalCost]])</f>
        <v>0</v>
      </c>
      <c r="CS12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5" s="38" t="n">
        <f aca="false">IF(NOT(Tasks[[#This Row],[_IsLeaf]]=1),0,MAX(_xlfn.MAXIFS(Tasks[_Row],Tasks[Pred1 UID],Tasks[[#This Row],[UID]]),_xlfn.MAXIFS(Tasks[_Row],Tasks[Pred2 UID],Tasks[[#This Row],[UID]]),_xlfn.MAXIFS(Tasks[_Row],Tasks[Pred3 UID],Tasks[[#This Row],[UID]]),_xlfn.MAXIFS(Tasks[_Row],Tasks[Pred4 UID],Tasks[[#This Row],[UID]])))</f>
        <v>0</v>
      </c>
      <c r="DB12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5" s="115" t="str">
        <f aca="false">IF(NOT(Tasks[[#This Row],[_IsLeaf]]=1),"",IF(N(Tasks[[#This Row],[Duration]])&lt;=0,Tasks[[#This Row],[_LeafLateFinish]],WORKDAY.INTL(Tasks[[#This Row],[_LeafLateFinish]],-(Tasks[[#This Row],[Duration]]-1),WorkWeek,Holidays)))</f>
        <v/>
      </c>
      <c r="DE12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5" s="114" t="b">
        <f aca="false">AND(Tasks[[#This Row],[_IsLeaf]]=1,Tasks[[#This Row],[_LeafProgress]]&lt;1,N(Tasks[[#This Row],[_LeafTotalSlack]])&lt;=CriticalSlackDays)</f>
        <v>0</v>
      </c>
      <c r="DG125" s="38" t="n">
        <f aca="false">IF(AND(Tasks[[#This Row],[_IsLeaf]]=1,Tasks[[#This Row],[_ConstraintCode]]=1,Tasks[[#This Row],[Mode]]&lt;&gt;"Manual",N(Tasks[[#This Row],[Actual Start]])=0),MAX(0,N(Tasks[[#This Row],[Free Slack]])),0)</f>
        <v>0</v>
      </c>
      <c r="DH125" s="115" t="str">
        <f aca="false">IF(NOT(Tasks[[#This Row],[_IsLeaf]]=1),"",IF(Tasks[[#This Row],[_AlapShift]]=0,Tasks[[#This Row],[_LeafCalcStart]],WORKDAY.INTL(Tasks[[#This Row],[_LeafCalcStart]],Tasks[[#This Row],[_AlapShift]],WorkWeek,Holidays)))</f>
        <v/>
      </c>
      <c r="DI125" s="115" t="str">
        <f aca="false">IF(NOT(Tasks[[#This Row],[_IsLeaf]]=1),"",IF(Tasks[[#This Row],[_AlapShift]]=0,Tasks[[#This Row],[_LeafCalcFinish]],WORKDAY.INTL(Tasks[[#This Row],[_LeafCalcFinish]],Tasks[[#This Row],[_AlapShift]],WorkWeek,Holidays)))</f>
        <v/>
      </c>
      <c r="DJ125" s="115" t="str">
        <f aca="false">IF(NOT(Tasks[[#This Row],[_IsLeaf]]=1),"",IF(Tasks[[#This Row],[_AlapShift]]=0,Tasks[[#This Row],[_LeafFcstStart]],WORKDAY.INTL(Tasks[[#This Row],[_LeafFcstStart]],Tasks[[#This Row],[_AlapShift]],WorkWeek,Holidays)))</f>
        <v/>
      </c>
      <c r="DK125" s="115" t="str">
        <f aca="false">IF(NOT(Tasks[[#This Row],[_IsLeaf]]=1),"",IF(Tasks[[#This Row],[_AlapShift]]=0,Tasks[[#This Row],[_LeafFcstFinish]],WORKDAY.INTL(Tasks[[#This Row],[_LeafFcstFinish]],Tasks[[#This Row],[_AlapShift]],WorkWeek,Holidays)))</f>
        <v/>
      </c>
      <c r="DL125" s="115" t="str">
        <f aca="false">IF(Tasks[[#This Row],[Task Name]]="","",IF(Tasks[[#This Row],[_IsSummary]],MIN(INDEX(Tasks[_ShownCalcStart],Tasks[[#This Row],[_Row]]+1):INDEX(Tasks[_ShownCalcStart],Tasks[[#This Row],[_Row]]+Tasks[[#This Row],[_Descendants]])),Tasks[[#This Row],[_ShownCalcStart]]))</f>
        <v/>
      </c>
      <c r="DM125" s="115" t="str">
        <f aca="false">IF(Tasks[[#This Row],[Task Name]]="","",IF(Tasks[[#This Row],[_IsSummary]],MAX(INDEX(Tasks[_ShownCalcFinish],Tasks[[#This Row],[_Row]]+1):INDEX(Tasks[_ShownCalcFinish],Tasks[[#This Row],[_Row]]+Tasks[[#This Row],[_Descendants]])),Tasks[[#This Row],[_ShownCalcFinish]]))</f>
        <v/>
      </c>
      <c r="DN12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5" s="38" t="n">
        <f aca="false">IF(AND(Tasks[[#This Row],[_IsLeaf]]=1,Tasks[[#This Row],[_LeafTotalWork]]&gt;0),NETWORKDAYS.INTL(ProjectStart,Tasks[[#This Row],[_ShownFcstStart]],WorkWeek,Holidays),0)</f>
        <v>0</v>
      </c>
      <c r="EA125" s="38" t="n">
        <f aca="false">IF(AND(Tasks[[#This Row],[_IsLeaf]]=1,Tasks[[#This Row],[_LeafTotalWork]]&gt;0),MAX(Tasks[[#This Row],[_StartWorkday]],NETWORKDAYS.INTL(ProjectStart,Tasks[[#This Row],[_ShownFcstFinish]],WorkWeek,Holidays)),0)</f>
        <v>0</v>
      </c>
      <c r="EB125" s="38" t="n">
        <f aca="false">IF(AND(Tasks[[#This Row],[_IsLeaf]]=1,Tasks[[#This Row],[_LeafTotalWork]]&gt;0),Tasks[[#This Row],[_LeafWork]]/(Tasks[[#This Row],[_FinishWorkday]]-Tasks[[#This Row],[_StartWorkday]]+1),0)</f>
        <v>0</v>
      </c>
      <c r="EC125" s="38" t="n">
        <f aca="false">Tasks[[#This Row],[_WorkPerWorkday]]*(Tasks[[#This Row],[_StartWorkday]]-1)</f>
        <v>-0</v>
      </c>
      <c r="ED125" s="38" t="n">
        <f aca="false">IF(Tasks[[#This Row],[_IsLeaf]]=1,MAX(N(Tasks[[#This Row],[Duration]]),0.1),0)</f>
        <v>0</v>
      </c>
      <c r="EE125" s="38" t="n">
        <f aca="false">Tasks[[#This Row],[_WeightDur]]*Tasks[[#This Row],[_LeafProgress]]</f>
        <v>0</v>
      </c>
      <c r="EF12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5" s="38" t="str">
        <f aca="false">IF(AND(Tasks[[#This Row],[_IsLeaf]]=1,N(Tasks[[#This Row],[Duration]])=0,Tasks[[#This Row],[_LeafProgress]]&lt;1),Tasks[[#This Row],[_ShownFcstFinish]]+Tasks[[#This Row],[_Row]]/100000,"")</f>
        <v/>
      </c>
      <c r="EH12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5" s="38" t="n">
        <f aca="false">IF(NOT(Tasks[[#This Row],[_IsLeaf]]=1),0,IF(Tasks[[#This Row],[Baseline Cost]]="",Tasks[[#This Row],[_LeafTotalCost]],N(Tasks[[#This Row],[Baseline Cost]])))</f>
        <v>0</v>
      </c>
      <c r="EJ125" s="38" t="n">
        <f aca="false">Tasks[[#This Row],[_LeafBudget]]*Tasks[[#This Row],[_PlannedPct]]</f>
        <v>0</v>
      </c>
      <c r="EK125" s="38" t="n">
        <f aca="false">Tasks[[#This Row],[_LeafBudget]]*Tasks[[#This Row],[_LeafProgress]]</f>
        <v>0</v>
      </c>
      <c r="EL125" s="38" t="n">
        <f aca="false">IF(NOT(Tasks[[#This Row],[_IsLeaf]]=1),0,IF(Tasks[[#This Row],[Actual Cost]]="",Tasks[[#This Row],[_LeafTotalCost]]*Tasks[[#This Row],[_LeafProgress]],N(Tasks[[#This Row],[Actual Cost]])))</f>
        <v>0</v>
      </c>
      <c r="EM125" s="38" t="str">
        <f aca="false">IF(Tasks[[#This Row],[Task Name]]="","",LEFT(Tasks[[#This Row],[WBS]],FIND(".",Tasks[[#This Row],[WBS]]&amp;".")-1))</f>
        <v/>
      </c>
      <c r="EN125" s="38" t="str">
        <f aca="false">IF(AND(Tasks[[#This Row],[Task Name]]&lt;&gt;"",Tasks[[#This Row],[_Level]]=1),Tasks[[#This Row],[_Row]],"")</f>
        <v/>
      </c>
      <c r="EO125" s="38" t="str">
        <f aca="false">IF(AND(Tasks[[#This Row],[_IsLeaf]]=1,N(Tasks[[#This Row],[Duration]])=0),Tasks[[#This Row],[Planned Finish]]+Tasks[[#This Row],[_Row]]/100000,"")</f>
        <v/>
      </c>
      <c r="EP125" s="38" t="str">
        <f aca="false">IF(AND(Tasks[[#This Row],[_IsLeaf]]=1,Tasks[[#This Row],[_LeafProgress]]&lt;1,OR(N(Tasks[[#This Row],[Finish Var]])&gt;0,Tasks[[#This Row],[Status]]="Late Start")),MAX(0,Tasks[[#This Row],[Finish Var]])+1-Tasks[[#This Row],[_Row]]/1000000,"")</f>
        <v/>
      </c>
      <c r="EQ125" s="38" t="str">
        <f aca="false">IF(AND(Tasks[[#This Row],[_IsLeaf]]=1,N(Tasks[[#This Row],[Actual Start]])=0,Tasks[[#This Row],[_ShownFcstStart]]&gt;=StatusDate,Tasks[[#This Row],[_ShownFcstStart]]&lt;=LookaheadEnd),Tasks[[#This Row],[_ShownFcstStart]]+Tasks[[#This Row],[_Row]]/100000,"")</f>
        <v/>
      </c>
      <c r="ER125" s="38" t="str">
        <f aca="false">IF(AND(Tasks[[#This Row],[_IsLeaf]]=1,Tasks[[#This Row],[_LeafProgress]]&lt;1,Tasks[[#This Row],[_ShownFcstFinish]]&gt;=StatusDate,Tasks[[#This Row],[_ShownFcstFinish]]&lt;=LookaheadEnd),Tasks[[#This Row],[_ShownFcstFinish]]+Tasks[[#This Row],[_Row]]/100000,"")</f>
        <v/>
      </c>
      <c r="ES125" s="38" t="str">
        <f aca="false">IF(Tasks[[#This Row],[_LeafCritical]],Tasks[[#This Row],[_ShownFcstStart]]+Tasks[[#This Row],[_Row]]/100000,"")</f>
        <v/>
      </c>
      <c r="ET125" s="38" t="n">
        <f aca="false">Tasks[[#This Row],[_LeafWork]]*Tasks[[#This Row],[_LeafProgress]]</f>
        <v>0</v>
      </c>
      <c r="EU125" s="115" t="str">
        <f aca="false">IF(AND(Tasks[[#This Row],[_IsLeaf]]=1,Tasks[[#This Row],[_LeafProgress]]&gt;=1),IF(N(Tasks[[#This Row],[Actual Finish]])&gt;0,Tasks[[#This Row],[Actual Finish]],Tasks[[#This Row],[_ShownFcstFinish]]),"")</f>
        <v/>
      </c>
      <c r="EV125" s="38" t="n">
        <f aca="false">IF(Tasks[[#This Row],[_IsLeaf]]=1,N(Tasks[[#This Row],[Story Points]]),0)</f>
        <v>0</v>
      </c>
      <c r="EW125" s="38" t="str">
        <f aca="false">IF(AND(Tasks[[#This Row],[_IsLeaf]]=1,CurrentSprint&lt;&gt;"",Tasks[[#This Row],[Sprint]]=CurrentSprint),Tasks[[#This Row],[_Row]],"")</f>
        <v/>
      </c>
    </row>
    <row r="126" customFormat="false" ht="15" hidden="false" customHeight="false" outlineLevel="0" collapsed="false">
      <c r="A126" s="51" t="str">
        <f aca="false">IF(Tasks[[#This Row],[Task Name]]="","",COUNTA(Tasks[[#Headers],[Task Name]]:Tasks[[#This Row],[Task Name]])-1)</f>
        <v/>
      </c>
      <c r="B126" s="52" t="n">
        <v>121</v>
      </c>
      <c r="C12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52"/>
      <c r="E126" s="53"/>
      <c r="F126" s="52"/>
      <c r="G126" s="52"/>
      <c r="H126" s="52"/>
      <c r="I126" s="52"/>
      <c r="J126" s="52"/>
      <c r="K126" s="52"/>
      <c r="L126" s="52"/>
      <c r="M126" s="52"/>
      <c r="N126" s="52"/>
      <c r="O126" s="52"/>
      <c r="P126" s="52"/>
      <c r="Q126" s="52"/>
      <c r="R126" s="52"/>
      <c r="S126" s="53"/>
      <c r="T126" s="102"/>
      <c r="U126" s="102"/>
      <c r="V126" s="7"/>
      <c r="W126" s="7"/>
      <c r="X126" s="53"/>
      <c r="Y126" s="31" t="str">
        <f aca="false">IF(Tasks[[#This Row],[Task Name]]="","",IF(Tasks[[#This Row],[_IsSummary]],MIN(INDEX(Tasks[_ShownFcstStart],Tasks[[#This Row],[_Row]]+1):INDEX(Tasks[_ShownFcstStart],Tasks[[#This Row],[_Row]]+Tasks[[#This Row],[_Descendants]])),Tasks[[#This Row],[_ShownFcstStart]]))</f>
        <v/>
      </c>
      <c r="Z126" s="31" t="str">
        <f aca="false">IF(Tasks[[#This Row],[Task Name]]="","",IF(Tasks[[#This Row],[_IsSummary]],MAX(INDEX(Tasks[_ShownFcstFinish],Tasks[[#This Row],[_Row]]+1):INDEX(Tasks[_ShownFcstFinish],Tasks[[#This Row],[_Row]]+Tasks[[#This Row],[_Descendants]])),Tasks[[#This Row],[_ShownFcstFinish]]))</f>
        <v/>
      </c>
      <c r="AA126" s="51" t="str">
        <f aca="false">IF(Tasks[[#This Row],[Task Name]]="","",IF(Tasks[[#This Row],[Progress]]&gt;=1,"Complete",IF(OR(N(Tasks[[#This Row],[Actual Start]])&gt;0,Tasks[[#This Row],[Progress]]&gt;0),IF(Tasks[[#This Row],[Finish Var]]&gt;0,"Behind","In Progress"),IF(Tasks[[#This Row],[Planned Start]]&lt;StatusDate,"Late Start","Not Started"))))</f>
        <v/>
      </c>
      <c r="AB126" s="51" t="str">
        <f aca="false">IF(Tasks[[#This Row],[Task Name]]="","",IF(IF(Tasks[[#This Row],[_IsSummary]],COUNTIF(INDEX(Tasks[_LeafCritical],Tasks[[#This Row],[_Row]]+1):INDEX(Tasks[_LeafCritical],Tasks[[#This Row],[_Row]]+Tasks[[#This Row],[_Descendants]]),TRUE())&gt;0,Tasks[[#This Row],[_LeafCritical]]),"Yes",""))</f>
        <v/>
      </c>
      <c r="AC12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6" s="51" t="str">
        <f aca="false">IF(Tasks[[#This Row],[Task Name]]="","",IF(Tasks[[#This Row],[_Level]]&lt;=OutlineShowLevel,"Yes","No"))</f>
        <v/>
      </c>
      <c r="AE126" s="7"/>
      <c r="AF126" s="52"/>
      <c r="AG126" s="53"/>
      <c r="AH126" s="7"/>
      <c r="AI12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6" s="31" t="str">
        <f aca="false">IF(Tasks[[#This Row],[Task Name]]="","",IF(N(Tasks[[#This Row],[Baseline Start]])&gt;0,Tasks[[#This Row],[Baseline Start]],Tasks[[#This Row],[_CalcStart]]))</f>
        <v/>
      </c>
      <c r="AK126" s="31" t="str">
        <f aca="false">IF(Tasks[[#This Row],[Task Name]]="","",IF(N(Tasks[[#This Row],[Baseline Finish]])&gt;0,Tasks[[#This Row],[Baseline Finish]],Tasks[[#This Row],[_CalcFinish]]))</f>
        <v/>
      </c>
      <c r="AL12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6" s="31" t="str">
        <f aca="false">IF(Tasks[[#This Row],[Task Name]]="","",IF(Tasks[[#This Row],[_IsSummary]],MIN(INDEX(Tasks[_LeafLateStart],Tasks[[#This Row],[_Row]]+1):INDEX(Tasks[_LeafLateStart],Tasks[[#This Row],[_Row]]+Tasks[[#This Row],[_Descendants]])),Tasks[[#This Row],[_LeafLateStart]]))</f>
        <v/>
      </c>
      <c r="AN126" s="31" t="str">
        <f aca="false">IF(Tasks[[#This Row],[Task Name]]="","",IF(Tasks[[#This Row],[_IsSummary]],MAX(INDEX(Tasks[_LeafLateFinish],Tasks[[#This Row],[_Row]]+1):INDEX(Tasks[_LeafLateFinish],Tasks[[#This Row],[_Row]]+Tasks[[#This Row],[_Descendants]])),Tasks[[#This Row],[_LeafLateFinish]]))</f>
        <v/>
      </c>
      <c r="AO126" s="51" t="str">
        <f aca="false">IF(Tasks[[#This Row],[Task Name]]="","",IF(Tasks[[#This Row],[_IsSummary]],MIN(INDEX(Tasks[_LeafTotalSlack],Tasks[[#This Row],[_Row]]+1):INDEX(Tasks[_LeafTotalSlack],Tasks[[#This Row],[_Row]]+Tasks[[#This Row],[_Descendants]])),Tasks[[#This Row],[_LeafTotalSlack]]))</f>
        <v/>
      </c>
      <c r="AP12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6" s="110" t="str">
        <f aca="false">IF(Tasks[[#This Row],[Task Name]]="","",IF(Tasks[[#This Row],[_IsSummary]],SUM(INDEX(Tasks[_LeafTotalWork],Tasks[[#This Row],[_Row]]+1):INDEX(Tasks[_LeafTotalWork],Tasks[[#This Row],[_Row]]+Tasks[[#This Row],[_Descendants]])),Tasks[[#This Row],[_LeafTotalWork]]))</f>
        <v/>
      </c>
      <c r="AV12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6" s="111" t="str">
        <f aca="false">IF(Tasks[[#This Row],[Task Name]]="","",IF(Tasks[[#This Row],[_IsSummary]],SUM(INDEX(Tasks[_LeafTotalCost],Tasks[[#This Row],[_Row]]+1):INDEX(Tasks[_LeafTotalCost],Tasks[[#This Row],[_Row]]+Tasks[[#This Row],[_Descendants]])),Tasks[[#This Row],[_LeafTotalCost]]))</f>
        <v/>
      </c>
      <c r="AY126" s="112"/>
      <c r="AZ12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6" s="52"/>
      <c r="BB126" s="98"/>
      <c r="BC126" s="51" t="str">
        <f aca="false">IF(OR(Tasks[[#This Row],[Task Name]]="",Tasks[[#This Row],[Baseline Duration]]=""),"",Tasks[[#This Row],[BL Source Duration]]-N(Tasks[[#This Row],[Baseline Duration]]))</f>
        <v/>
      </c>
      <c r="BD126" s="110" t="str">
        <f aca="false">IF(OR(Tasks[[#This Row],[Task Name]]="",Tasks[[#This Row],[Baseline Work]]=""),"",Tasks[[#This Row],[Work]]-N(Tasks[[#This Row],[Baseline Work]]))</f>
        <v/>
      </c>
      <c r="BE126" s="111" t="str">
        <f aca="false">IF(OR(Tasks[[#This Row],[Task Name]]="",Tasks[[#This Row],[Baseline Cost]]=""),"",Tasks[[#This Row],[Cost]]-N(Tasks[[#This Row],[Baseline Cost]]))</f>
        <v/>
      </c>
      <c r="BF126" s="31" t="str">
        <f aca="false">IF(Tasks[[#This Row],[Task Name]]="","",Tasks[[#This Row],[Forecast Start]])</f>
        <v/>
      </c>
      <c r="BG126" s="31" t="str">
        <f aca="false">IF(Tasks[[#This Row],[Task Name]]="","",Tasks[[#This Row],[Forecast Finish]])</f>
        <v/>
      </c>
      <c r="BH126" s="51" t="str">
        <f aca="false">IF(Tasks[[#This Row],[Task Name]]="","",IF(Tasks[[#This Row],[_IsSummary]],NETWORKDAYS.INTL(Tasks[[#This Row],[Forecast Start]],Tasks[[#This Row],[Forecast Finish]],WorkWeek,Holidays),N(Tasks[[#This Row],[Duration]])))</f>
        <v/>
      </c>
      <c r="BI126" s="110" t="str">
        <f aca="false">IF(Tasks[[#This Row],[Task Name]]="","",Tasks[[#This Row],[Work]])</f>
        <v/>
      </c>
      <c r="BJ126" s="111" t="str">
        <f aca="false">IF(Tasks[[#This Row],[Task Name]]="","",Tasks[[#This Row],[Cost]])</f>
        <v/>
      </c>
      <c r="BK126" s="7"/>
      <c r="BL126" s="7"/>
      <c r="BM126" s="52"/>
      <c r="BN126" s="113"/>
      <c r="BO126" s="112"/>
      <c r="BP126" s="111" t="str">
        <f aca="false">IF(Tasks[[#This Row],[Task Name]]="","",IF(Tasks[[#This Row],[_IsSummary]],SUM(INDEX(Tasks[_LeafEV],Tasks[[#This Row],[_Row]]+1):INDEX(Tasks[_LeafEV],Tasks[[#This Row],[_Row]]+Tasks[[#This Row],[_Descendants]])),Tasks[[#This Row],[_LeafEV]]))</f>
        <v/>
      </c>
      <c r="BQ126" s="111" t="str">
        <f aca="false">IF(Tasks[[#This Row],[Task Name]]="","",IF(Tasks[[#This Row],[_IsSummary]],SUM(INDEX(Tasks[_LeafBudget],Tasks[[#This Row],[_Row]]+1):INDEX(Tasks[_LeafBudget],Tasks[[#This Row],[_Row]]+Tasks[[#This Row],[_Descendants]])),Tasks[[#This Row],[_LeafBudget]]))</f>
        <v/>
      </c>
      <c r="BR126" s="111" t="str">
        <f aca="false">IF(Tasks[[#This Row],[Task Name]]="","",IF(Tasks[[#This Row],[_IsSummary]],SUM(INDEX(Tasks[_LeafPV],Tasks[[#This Row],[_Row]]+1):INDEX(Tasks[_LeafPV],Tasks[[#This Row],[_Row]]+Tasks[[#This Row],[_Descendants]])),Tasks[[#This Row],[_LeafPV]]))</f>
        <v/>
      </c>
      <c r="BS126" s="111" t="str">
        <f aca="false">IF(Tasks[[#This Row],[Task Name]]="","",IF(Tasks[[#This Row],[_IsSummary]],SUM(INDEX(Tasks[_LeafAC],Tasks[[#This Row],[_Row]]+1):INDEX(Tasks[_LeafAC],Tasks[[#This Row],[_Row]]+Tasks[[#This Row],[_Descendants]])),Tasks[[#This Row],[_LeafAC]]))</f>
        <v/>
      </c>
      <c r="BT126" s="38" t="str">
        <f aca="false">IF(Tasks[[#This Row],[Task Name]]="","",MAX(1,N(Tasks[[#This Row],[Level]])))</f>
        <v/>
      </c>
      <c r="BU126" s="38" t="n">
        <f aca="false">ROW()-ROW(Tasks[[#Headers],[ID]])</f>
        <v>121</v>
      </c>
      <c r="BV126" s="38" t="n">
        <f aca="false">IF(OR(Tasks[[#This Row],[Task Name]]="",Tasks[[#This Row],[_Level]]&lt;=1),0,IFERROR(LOOKUP(2,1/(Tasks[[#Headers],[_Level]]:Tasks[[#This Row],[_Level]]=Tasks[[#This Row],[_Level]]-1),ROW(Tasks[[#Headers],[_Level]]:Tasks[[#This Row],[_Level]])),0))</f>
        <v>0</v>
      </c>
      <c r="BW126" s="38" t="n">
        <f aca="false">IFERROR(N(INDEX(Tasks[_Level],Tasks[[#This Row],[_Row]]+1)),0)</f>
        <v>0</v>
      </c>
      <c r="BX126" s="114" t="b">
        <f aca="false">AND(Tasks[[#This Row],[Task Name]]&lt;&gt;"",Tasks[[#This Row],[_NextLevel]]&gt;Tasks[[#This Row],[_Level]])</f>
        <v>0</v>
      </c>
      <c r="BY126" s="38" t="n">
        <f aca="false">IF(Tasks[[#This Row],[_IsSummary]],COUNTIF(Tasks[WBS],Tasks[[#This Row],[WBS]]&amp;".*"),0)</f>
        <v>0</v>
      </c>
      <c r="BZ126" s="38" t="n">
        <f aca="false">IF(AND(Tasks[[#This Row],[Task Name]]&lt;&gt;"",NOT(Tasks[[#This Row],[_IsSummary]])),1,0)</f>
        <v>0</v>
      </c>
      <c r="CA126" s="38" t="n">
        <f aca="false">IF(N(Tasks[[#This Row],[Pred1 UID]])=0,0,IFERROR(MATCH(Tasks[[#This Row],[Pred1 UID]],Tasks[UID],0),-1))</f>
        <v>0</v>
      </c>
      <c r="CB126" s="38" t="n">
        <f aca="false">IF(N(Tasks[[#This Row],[Pred2 UID]])=0,0,IFERROR(MATCH(Tasks[[#This Row],[Pred2 UID]],Tasks[UID],0),-1))</f>
        <v>0</v>
      </c>
      <c r="CC126" s="38" t="n">
        <f aca="false">IF(N(Tasks[[#This Row],[Pred3 UID]])=0,0,IFERROR(MATCH(Tasks[[#This Row],[Pred3 UID]],Tasks[UID],0),-1))</f>
        <v>0</v>
      </c>
      <c r="CD126" s="38" t="n">
        <f aca="false">IF(N(Tasks[[#This Row],[Pred4 UID]])=0,0,IFERROR(MATCH(Tasks[[#This Row],[Pred4 UID]],Tasks[UID],0),-1))</f>
        <v>0</v>
      </c>
      <c r="CE12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6" s="115" t="n">
        <f aca="false">IF(OR(Tasks[[#This Row],[_ConstraintCode]]=2,Tasks[[#This Row],[_ConstraintCode]]=3,Tasks[[#This Row],[_ConstraintCode]]=4,Tasks[[#This Row],[_ConstraintCode]]=6),Tasks[[#This Row],[_ConstraintStart]],0)</f>
        <v>0</v>
      </c>
      <c r="CH126" s="115" t="n">
        <f aca="false">IF(OR(Tasks[[#This Row],[_ConstraintCode]]=2,Tasks[[#This Row],[_ConstraintCode]]=3,Tasks[[#This Row],[_ConstraintCode]]=5,Tasks[[#This Row],[_ConstraintCode]]=7),Tasks[[#This Row],[_ConstraintStart]],2958465)</f>
        <v>2958465</v>
      </c>
      <c r="CI12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6" s="115" t="str">
        <f aca="false">IF(NOT(Tasks[[#This Row],[_IsLeaf]]=1),"",IF(N(Tasks[[#This Row],[Duration]])&lt;=0,Tasks[[#This Row],[_LeafCalcStart]],WORKDAY.INTL(Tasks[[#This Row],[_LeafCalcStart]],Tasks[[#This Row],[Duration]]-1,WorkWeek,Holidays)))</f>
        <v/>
      </c>
      <c r="CK12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6" s="38" t="n">
        <f aca="false">IF(NOT(Tasks[[#This Row],[_IsLeaf]]=1),0,IF(N(Tasks[[#This Row],[Actual Finish]])&gt;0,1,MIN(1,N(Tasks[[#This Row],[% Complete]]))))</f>
        <v>0</v>
      </c>
      <c r="CN126" s="38" t="n">
        <f aca="false">IF(OR(NOT(Tasks[[#This Row],[_IsLeaf]]=1),Tasks[[#This Row],[Resource]]=""),0,N(Tasks[[#This Row],[Duration]])*HoursPerDay*IF(Tasks[[#This Row],[Units]]="",DefaultUnits,Tasks[[#This Row],[Units]]))</f>
        <v>0</v>
      </c>
      <c r="CO126" s="38" t="n">
        <f aca="false">IF(Tasks[[#This Row],[_LeafWork]]=0,0,Tasks[[#This Row],[_LeafWork]]*IFERROR(INDEX(res_Rate,MATCH(Tasks[[#This Row],[Resource]],res_Name,0)),0))</f>
        <v>0</v>
      </c>
      <c r="CP126" s="38" t="n">
        <f aca="false">Tasks[[#This Row],[_LeafWork]]+IF(Tasks[[#This Row],[_IsLeaf]]=1,SUMIFS(asg_Work,asg_TaskUID,Tasks[[#This Row],[UID]],asg_Valid,1),0)</f>
        <v>0</v>
      </c>
      <c r="CQ126" s="38" t="n">
        <f aca="false">Tasks[[#This Row],[_LeafCost]]+IF(Tasks[[#This Row],[_IsLeaf]]=1,SUMIFS(asg_Cost,asg_TaskUID,Tasks[[#This Row],[UID]],asg_Valid,1),0)</f>
        <v>0</v>
      </c>
      <c r="CR126" s="38" t="n">
        <f aca="false">IF(Tasks[[#This Row],[_LeafTotalCost]]=0,Tasks[[#This Row],[_LeafAC]],Tasks[[#This Row],[_LeafAC]]*Tasks[[#This Row],[_LeafCost]]/Tasks[[#This Row],[_LeafTotalCost]])</f>
        <v>0</v>
      </c>
      <c r="CS12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6" s="38" t="n">
        <f aca="false">IF(NOT(Tasks[[#This Row],[_IsLeaf]]=1),0,MAX(_xlfn.MAXIFS(Tasks[_Row],Tasks[Pred1 UID],Tasks[[#This Row],[UID]]),_xlfn.MAXIFS(Tasks[_Row],Tasks[Pred2 UID],Tasks[[#This Row],[UID]]),_xlfn.MAXIFS(Tasks[_Row],Tasks[Pred3 UID],Tasks[[#This Row],[UID]]),_xlfn.MAXIFS(Tasks[_Row],Tasks[Pred4 UID],Tasks[[#This Row],[UID]])))</f>
        <v>0</v>
      </c>
      <c r="DB12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6" s="115" t="str">
        <f aca="false">IF(NOT(Tasks[[#This Row],[_IsLeaf]]=1),"",IF(N(Tasks[[#This Row],[Duration]])&lt;=0,Tasks[[#This Row],[_LeafLateFinish]],WORKDAY.INTL(Tasks[[#This Row],[_LeafLateFinish]],-(Tasks[[#This Row],[Duration]]-1),WorkWeek,Holidays)))</f>
        <v/>
      </c>
      <c r="DE12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6" s="114" t="b">
        <f aca="false">AND(Tasks[[#This Row],[_IsLeaf]]=1,Tasks[[#This Row],[_LeafProgress]]&lt;1,N(Tasks[[#This Row],[_LeafTotalSlack]])&lt;=CriticalSlackDays)</f>
        <v>0</v>
      </c>
      <c r="DG126" s="38" t="n">
        <f aca="false">IF(AND(Tasks[[#This Row],[_IsLeaf]]=1,Tasks[[#This Row],[_ConstraintCode]]=1,Tasks[[#This Row],[Mode]]&lt;&gt;"Manual",N(Tasks[[#This Row],[Actual Start]])=0),MAX(0,N(Tasks[[#This Row],[Free Slack]])),0)</f>
        <v>0</v>
      </c>
      <c r="DH126" s="115" t="str">
        <f aca="false">IF(NOT(Tasks[[#This Row],[_IsLeaf]]=1),"",IF(Tasks[[#This Row],[_AlapShift]]=0,Tasks[[#This Row],[_LeafCalcStart]],WORKDAY.INTL(Tasks[[#This Row],[_LeafCalcStart]],Tasks[[#This Row],[_AlapShift]],WorkWeek,Holidays)))</f>
        <v/>
      </c>
      <c r="DI126" s="115" t="str">
        <f aca="false">IF(NOT(Tasks[[#This Row],[_IsLeaf]]=1),"",IF(Tasks[[#This Row],[_AlapShift]]=0,Tasks[[#This Row],[_LeafCalcFinish]],WORKDAY.INTL(Tasks[[#This Row],[_LeafCalcFinish]],Tasks[[#This Row],[_AlapShift]],WorkWeek,Holidays)))</f>
        <v/>
      </c>
      <c r="DJ126" s="115" t="str">
        <f aca="false">IF(NOT(Tasks[[#This Row],[_IsLeaf]]=1),"",IF(Tasks[[#This Row],[_AlapShift]]=0,Tasks[[#This Row],[_LeafFcstStart]],WORKDAY.INTL(Tasks[[#This Row],[_LeafFcstStart]],Tasks[[#This Row],[_AlapShift]],WorkWeek,Holidays)))</f>
        <v/>
      </c>
      <c r="DK126" s="115" t="str">
        <f aca="false">IF(NOT(Tasks[[#This Row],[_IsLeaf]]=1),"",IF(Tasks[[#This Row],[_AlapShift]]=0,Tasks[[#This Row],[_LeafFcstFinish]],WORKDAY.INTL(Tasks[[#This Row],[_LeafFcstFinish]],Tasks[[#This Row],[_AlapShift]],WorkWeek,Holidays)))</f>
        <v/>
      </c>
      <c r="DL126" s="115" t="str">
        <f aca="false">IF(Tasks[[#This Row],[Task Name]]="","",IF(Tasks[[#This Row],[_IsSummary]],MIN(INDEX(Tasks[_ShownCalcStart],Tasks[[#This Row],[_Row]]+1):INDEX(Tasks[_ShownCalcStart],Tasks[[#This Row],[_Row]]+Tasks[[#This Row],[_Descendants]])),Tasks[[#This Row],[_ShownCalcStart]]))</f>
        <v/>
      </c>
      <c r="DM126" s="115" t="str">
        <f aca="false">IF(Tasks[[#This Row],[Task Name]]="","",IF(Tasks[[#This Row],[_IsSummary]],MAX(INDEX(Tasks[_ShownCalcFinish],Tasks[[#This Row],[_Row]]+1):INDEX(Tasks[_ShownCalcFinish],Tasks[[#This Row],[_Row]]+Tasks[[#This Row],[_Descendants]])),Tasks[[#This Row],[_ShownCalcFinish]]))</f>
        <v/>
      </c>
      <c r="DN12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6" s="38" t="n">
        <f aca="false">IF(AND(Tasks[[#This Row],[_IsLeaf]]=1,Tasks[[#This Row],[_LeafTotalWork]]&gt;0),NETWORKDAYS.INTL(ProjectStart,Tasks[[#This Row],[_ShownFcstStart]],WorkWeek,Holidays),0)</f>
        <v>0</v>
      </c>
      <c r="EA126" s="38" t="n">
        <f aca="false">IF(AND(Tasks[[#This Row],[_IsLeaf]]=1,Tasks[[#This Row],[_LeafTotalWork]]&gt;0),MAX(Tasks[[#This Row],[_StartWorkday]],NETWORKDAYS.INTL(ProjectStart,Tasks[[#This Row],[_ShownFcstFinish]],WorkWeek,Holidays)),0)</f>
        <v>0</v>
      </c>
      <c r="EB126" s="38" t="n">
        <f aca="false">IF(AND(Tasks[[#This Row],[_IsLeaf]]=1,Tasks[[#This Row],[_LeafTotalWork]]&gt;0),Tasks[[#This Row],[_LeafWork]]/(Tasks[[#This Row],[_FinishWorkday]]-Tasks[[#This Row],[_StartWorkday]]+1),0)</f>
        <v>0</v>
      </c>
      <c r="EC126" s="38" t="n">
        <f aca="false">Tasks[[#This Row],[_WorkPerWorkday]]*(Tasks[[#This Row],[_StartWorkday]]-1)</f>
        <v>-0</v>
      </c>
      <c r="ED126" s="38" t="n">
        <f aca="false">IF(Tasks[[#This Row],[_IsLeaf]]=1,MAX(N(Tasks[[#This Row],[Duration]]),0.1),0)</f>
        <v>0</v>
      </c>
      <c r="EE126" s="38" t="n">
        <f aca="false">Tasks[[#This Row],[_WeightDur]]*Tasks[[#This Row],[_LeafProgress]]</f>
        <v>0</v>
      </c>
      <c r="EF12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6" s="38" t="str">
        <f aca="false">IF(AND(Tasks[[#This Row],[_IsLeaf]]=1,N(Tasks[[#This Row],[Duration]])=0,Tasks[[#This Row],[_LeafProgress]]&lt;1),Tasks[[#This Row],[_ShownFcstFinish]]+Tasks[[#This Row],[_Row]]/100000,"")</f>
        <v/>
      </c>
      <c r="EH12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6" s="38" t="n">
        <f aca="false">IF(NOT(Tasks[[#This Row],[_IsLeaf]]=1),0,IF(Tasks[[#This Row],[Baseline Cost]]="",Tasks[[#This Row],[_LeafTotalCost]],N(Tasks[[#This Row],[Baseline Cost]])))</f>
        <v>0</v>
      </c>
      <c r="EJ126" s="38" t="n">
        <f aca="false">Tasks[[#This Row],[_LeafBudget]]*Tasks[[#This Row],[_PlannedPct]]</f>
        <v>0</v>
      </c>
      <c r="EK126" s="38" t="n">
        <f aca="false">Tasks[[#This Row],[_LeafBudget]]*Tasks[[#This Row],[_LeafProgress]]</f>
        <v>0</v>
      </c>
      <c r="EL126" s="38" t="n">
        <f aca="false">IF(NOT(Tasks[[#This Row],[_IsLeaf]]=1),0,IF(Tasks[[#This Row],[Actual Cost]]="",Tasks[[#This Row],[_LeafTotalCost]]*Tasks[[#This Row],[_LeafProgress]],N(Tasks[[#This Row],[Actual Cost]])))</f>
        <v>0</v>
      </c>
      <c r="EM126" s="38" t="str">
        <f aca="false">IF(Tasks[[#This Row],[Task Name]]="","",LEFT(Tasks[[#This Row],[WBS]],FIND(".",Tasks[[#This Row],[WBS]]&amp;".")-1))</f>
        <v/>
      </c>
      <c r="EN126" s="38" t="str">
        <f aca="false">IF(AND(Tasks[[#This Row],[Task Name]]&lt;&gt;"",Tasks[[#This Row],[_Level]]=1),Tasks[[#This Row],[_Row]],"")</f>
        <v/>
      </c>
      <c r="EO126" s="38" t="str">
        <f aca="false">IF(AND(Tasks[[#This Row],[_IsLeaf]]=1,N(Tasks[[#This Row],[Duration]])=0),Tasks[[#This Row],[Planned Finish]]+Tasks[[#This Row],[_Row]]/100000,"")</f>
        <v/>
      </c>
      <c r="EP126" s="38" t="str">
        <f aca="false">IF(AND(Tasks[[#This Row],[_IsLeaf]]=1,Tasks[[#This Row],[_LeafProgress]]&lt;1,OR(N(Tasks[[#This Row],[Finish Var]])&gt;0,Tasks[[#This Row],[Status]]="Late Start")),MAX(0,Tasks[[#This Row],[Finish Var]])+1-Tasks[[#This Row],[_Row]]/1000000,"")</f>
        <v/>
      </c>
      <c r="EQ126" s="38" t="str">
        <f aca="false">IF(AND(Tasks[[#This Row],[_IsLeaf]]=1,N(Tasks[[#This Row],[Actual Start]])=0,Tasks[[#This Row],[_ShownFcstStart]]&gt;=StatusDate,Tasks[[#This Row],[_ShownFcstStart]]&lt;=LookaheadEnd),Tasks[[#This Row],[_ShownFcstStart]]+Tasks[[#This Row],[_Row]]/100000,"")</f>
        <v/>
      </c>
      <c r="ER126" s="38" t="str">
        <f aca="false">IF(AND(Tasks[[#This Row],[_IsLeaf]]=1,Tasks[[#This Row],[_LeafProgress]]&lt;1,Tasks[[#This Row],[_ShownFcstFinish]]&gt;=StatusDate,Tasks[[#This Row],[_ShownFcstFinish]]&lt;=LookaheadEnd),Tasks[[#This Row],[_ShownFcstFinish]]+Tasks[[#This Row],[_Row]]/100000,"")</f>
        <v/>
      </c>
      <c r="ES126" s="38" t="str">
        <f aca="false">IF(Tasks[[#This Row],[_LeafCritical]],Tasks[[#This Row],[_ShownFcstStart]]+Tasks[[#This Row],[_Row]]/100000,"")</f>
        <v/>
      </c>
      <c r="ET126" s="38" t="n">
        <f aca="false">Tasks[[#This Row],[_LeafWork]]*Tasks[[#This Row],[_LeafProgress]]</f>
        <v>0</v>
      </c>
      <c r="EU126" s="115" t="str">
        <f aca="false">IF(AND(Tasks[[#This Row],[_IsLeaf]]=1,Tasks[[#This Row],[_LeafProgress]]&gt;=1),IF(N(Tasks[[#This Row],[Actual Finish]])&gt;0,Tasks[[#This Row],[Actual Finish]],Tasks[[#This Row],[_ShownFcstFinish]]),"")</f>
        <v/>
      </c>
      <c r="EV126" s="38" t="n">
        <f aca="false">IF(Tasks[[#This Row],[_IsLeaf]]=1,N(Tasks[[#This Row],[Story Points]]),0)</f>
        <v>0</v>
      </c>
      <c r="EW126" s="38" t="str">
        <f aca="false">IF(AND(Tasks[[#This Row],[_IsLeaf]]=1,CurrentSprint&lt;&gt;"",Tasks[[#This Row],[Sprint]]=CurrentSprint),Tasks[[#This Row],[_Row]],"")</f>
        <v/>
      </c>
    </row>
    <row r="127" customFormat="false" ht="15" hidden="false" customHeight="false" outlineLevel="0" collapsed="false">
      <c r="A127" s="51" t="str">
        <f aca="false">IF(Tasks[[#This Row],[Task Name]]="","",COUNTA(Tasks[[#Headers],[Task Name]]:Tasks[[#This Row],[Task Name]])-1)</f>
        <v/>
      </c>
      <c r="B127" s="52" t="n">
        <v>122</v>
      </c>
      <c r="C12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52"/>
      <c r="E127" s="53"/>
      <c r="F127" s="52"/>
      <c r="G127" s="52"/>
      <c r="H127" s="52"/>
      <c r="I127" s="52"/>
      <c r="J127" s="52"/>
      <c r="K127" s="52"/>
      <c r="L127" s="52"/>
      <c r="M127" s="52"/>
      <c r="N127" s="52"/>
      <c r="O127" s="52"/>
      <c r="P127" s="52"/>
      <c r="Q127" s="52"/>
      <c r="R127" s="52"/>
      <c r="S127" s="53"/>
      <c r="T127" s="102"/>
      <c r="U127" s="102"/>
      <c r="V127" s="7"/>
      <c r="W127" s="7"/>
      <c r="X127" s="53"/>
      <c r="Y127" s="31" t="str">
        <f aca="false">IF(Tasks[[#This Row],[Task Name]]="","",IF(Tasks[[#This Row],[_IsSummary]],MIN(INDEX(Tasks[_ShownFcstStart],Tasks[[#This Row],[_Row]]+1):INDEX(Tasks[_ShownFcstStart],Tasks[[#This Row],[_Row]]+Tasks[[#This Row],[_Descendants]])),Tasks[[#This Row],[_ShownFcstStart]]))</f>
        <v/>
      </c>
      <c r="Z127" s="31" t="str">
        <f aca="false">IF(Tasks[[#This Row],[Task Name]]="","",IF(Tasks[[#This Row],[_IsSummary]],MAX(INDEX(Tasks[_ShownFcstFinish],Tasks[[#This Row],[_Row]]+1):INDEX(Tasks[_ShownFcstFinish],Tasks[[#This Row],[_Row]]+Tasks[[#This Row],[_Descendants]])),Tasks[[#This Row],[_ShownFcstFinish]]))</f>
        <v/>
      </c>
      <c r="AA127" s="51" t="str">
        <f aca="false">IF(Tasks[[#This Row],[Task Name]]="","",IF(Tasks[[#This Row],[Progress]]&gt;=1,"Complete",IF(OR(N(Tasks[[#This Row],[Actual Start]])&gt;0,Tasks[[#This Row],[Progress]]&gt;0),IF(Tasks[[#This Row],[Finish Var]]&gt;0,"Behind","In Progress"),IF(Tasks[[#This Row],[Planned Start]]&lt;StatusDate,"Late Start","Not Started"))))</f>
        <v/>
      </c>
      <c r="AB127" s="51" t="str">
        <f aca="false">IF(Tasks[[#This Row],[Task Name]]="","",IF(IF(Tasks[[#This Row],[_IsSummary]],COUNTIF(INDEX(Tasks[_LeafCritical],Tasks[[#This Row],[_Row]]+1):INDEX(Tasks[_LeafCritical],Tasks[[#This Row],[_Row]]+Tasks[[#This Row],[_Descendants]]),TRUE())&gt;0,Tasks[[#This Row],[_LeafCritical]]),"Yes",""))</f>
        <v/>
      </c>
      <c r="AC12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7" s="51" t="str">
        <f aca="false">IF(Tasks[[#This Row],[Task Name]]="","",IF(Tasks[[#This Row],[_Level]]&lt;=OutlineShowLevel,"Yes","No"))</f>
        <v/>
      </c>
      <c r="AE127" s="7"/>
      <c r="AF127" s="52"/>
      <c r="AG127" s="53"/>
      <c r="AH127" s="7"/>
      <c r="AI12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7" s="31" t="str">
        <f aca="false">IF(Tasks[[#This Row],[Task Name]]="","",IF(N(Tasks[[#This Row],[Baseline Start]])&gt;0,Tasks[[#This Row],[Baseline Start]],Tasks[[#This Row],[_CalcStart]]))</f>
        <v/>
      </c>
      <c r="AK127" s="31" t="str">
        <f aca="false">IF(Tasks[[#This Row],[Task Name]]="","",IF(N(Tasks[[#This Row],[Baseline Finish]])&gt;0,Tasks[[#This Row],[Baseline Finish]],Tasks[[#This Row],[_CalcFinish]]))</f>
        <v/>
      </c>
      <c r="AL12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7" s="31" t="str">
        <f aca="false">IF(Tasks[[#This Row],[Task Name]]="","",IF(Tasks[[#This Row],[_IsSummary]],MIN(INDEX(Tasks[_LeafLateStart],Tasks[[#This Row],[_Row]]+1):INDEX(Tasks[_LeafLateStart],Tasks[[#This Row],[_Row]]+Tasks[[#This Row],[_Descendants]])),Tasks[[#This Row],[_LeafLateStart]]))</f>
        <v/>
      </c>
      <c r="AN127" s="31" t="str">
        <f aca="false">IF(Tasks[[#This Row],[Task Name]]="","",IF(Tasks[[#This Row],[_IsSummary]],MAX(INDEX(Tasks[_LeafLateFinish],Tasks[[#This Row],[_Row]]+1):INDEX(Tasks[_LeafLateFinish],Tasks[[#This Row],[_Row]]+Tasks[[#This Row],[_Descendants]])),Tasks[[#This Row],[_LeafLateFinish]]))</f>
        <v/>
      </c>
      <c r="AO127" s="51" t="str">
        <f aca="false">IF(Tasks[[#This Row],[Task Name]]="","",IF(Tasks[[#This Row],[_IsSummary]],MIN(INDEX(Tasks[_LeafTotalSlack],Tasks[[#This Row],[_Row]]+1):INDEX(Tasks[_LeafTotalSlack],Tasks[[#This Row],[_Row]]+Tasks[[#This Row],[_Descendants]])),Tasks[[#This Row],[_LeafTotalSlack]]))</f>
        <v/>
      </c>
      <c r="AP12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7" s="110" t="str">
        <f aca="false">IF(Tasks[[#This Row],[Task Name]]="","",IF(Tasks[[#This Row],[_IsSummary]],SUM(INDEX(Tasks[_LeafTotalWork],Tasks[[#This Row],[_Row]]+1):INDEX(Tasks[_LeafTotalWork],Tasks[[#This Row],[_Row]]+Tasks[[#This Row],[_Descendants]])),Tasks[[#This Row],[_LeafTotalWork]]))</f>
        <v/>
      </c>
      <c r="AV12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7" s="111" t="str">
        <f aca="false">IF(Tasks[[#This Row],[Task Name]]="","",IF(Tasks[[#This Row],[_IsSummary]],SUM(INDEX(Tasks[_LeafTotalCost],Tasks[[#This Row],[_Row]]+1):INDEX(Tasks[_LeafTotalCost],Tasks[[#This Row],[_Row]]+Tasks[[#This Row],[_Descendants]])),Tasks[[#This Row],[_LeafTotalCost]]))</f>
        <v/>
      </c>
      <c r="AY127" s="112"/>
      <c r="AZ12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7" s="52"/>
      <c r="BB127" s="98"/>
      <c r="BC127" s="51" t="str">
        <f aca="false">IF(OR(Tasks[[#This Row],[Task Name]]="",Tasks[[#This Row],[Baseline Duration]]=""),"",Tasks[[#This Row],[BL Source Duration]]-N(Tasks[[#This Row],[Baseline Duration]]))</f>
        <v/>
      </c>
      <c r="BD127" s="110" t="str">
        <f aca="false">IF(OR(Tasks[[#This Row],[Task Name]]="",Tasks[[#This Row],[Baseline Work]]=""),"",Tasks[[#This Row],[Work]]-N(Tasks[[#This Row],[Baseline Work]]))</f>
        <v/>
      </c>
      <c r="BE127" s="111" t="str">
        <f aca="false">IF(OR(Tasks[[#This Row],[Task Name]]="",Tasks[[#This Row],[Baseline Cost]]=""),"",Tasks[[#This Row],[Cost]]-N(Tasks[[#This Row],[Baseline Cost]]))</f>
        <v/>
      </c>
      <c r="BF127" s="31" t="str">
        <f aca="false">IF(Tasks[[#This Row],[Task Name]]="","",Tasks[[#This Row],[Forecast Start]])</f>
        <v/>
      </c>
      <c r="BG127" s="31" t="str">
        <f aca="false">IF(Tasks[[#This Row],[Task Name]]="","",Tasks[[#This Row],[Forecast Finish]])</f>
        <v/>
      </c>
      <c r="BH127" s="51" t="str">
        <f aca="false">IF(Tasks[[#This Row],[Task Name]]="","",IF(Tasks[[#This Row],[_IsSummary]],NETWORKDAYS.INTL(Tasks[[#This Row],[Forecast Start]],Tasks[[#This Row],[Forecast Finish]],WorkWeek,Holidays),N(Tasks[[#This Row],[Duration]])))</f>
        <v/>
      </c>
      <c r="BI127" s="110" t="str">
        <f aca="false">IF(Tasks[[#This Row],[Task Name]]="","",Tasks[[#This Row],[Work]])</f>
        <v/>
      </c>
      <c r="BJ127" s="111" t="str">
        <f aca="false">IF(Tasks[[#This Row],[Task Name]]="","",Tasks[[#This Row],[Cost]])</f>
        <v/>
      </c>
      <c r="BK127" s="7"/>
      <c r="BL127" s="7"/>
      <c r="BM127" s="52"/>
      <c r="BN127" s="113"/>
      <c r="BO127" s="112"/>
      <c r="BP127" s="111" t="str">
        <f aca="false">IF(Tasks[[#This Row],[Task Name]]="","",IF(Tasks[[#This Row],[_IsSummary]],SUM(INDEX(Tasks[_LeafEV],Tasks[[#This Row],[_Row]]+1):INDEX(Tasks[_LeafEV],Tasks[[#This Row],[_Row]]+Tasks[[#This Row],[_Descendants]])),Tasks[[#This Row],[_LeafEV]]))</f>
        <v/>
      </c>
      <c r="BQ127" s="111" t="str">
        <f aca="false">IF(Tasks[[#This Row],[Task Name]]="","",IF(Tasks[[#This Row],[_IsSummary]],SUM(INDEX(Tasks[_LeafBudget],Tasks[[#This Row],[_Row]]+1):INDEX(Tasks[_LeafBudget],Tasks[[#This Row],[_Row]]+Tasks[[#This Row],[_Descendants]])),Tasks[[#This Row],[_LeafBudget]]))</f>
        <v/>
      </c>
      <c r="BR127" s="111" t="str">
        <f aca="false">IF(Tasks[[#This Row],[Task Name]]="","",IF(Tasks[[#This Row],[_IsSummary]],SUM(INDEX(Tasks[_LeafPV],Tasks[[#This Row],[_Row]]+1):INDEX(Tasks[_LeafPV],Tasks[[#This Row],[_Row]]+Tasks[[#This Row],[_Descendants]])),Tasks[[#This Row],[_LeafPV]]))</f>
        <v/>
      </c>
      <c r="BS127" s="111" t="str">
        <f aca="false">IF(Tasks[[#This Row],[Task Name]]="","",IF(Tasks[[#This Row],[_IsSummary]],SUM(INDEX(Tasks[_LeafAC],Tasks[[#This Row],[_Row]]+1):INDEX(Tasks[_LeafAC],Tasks[[#This Row],[_Row]]+Tasks[[#This Row],[_Descendants]])),Tasks[[#This Row],[_LeafAC]]))</f>
        <v/>
      </c>
      <c r="BT127" s="38" t="str">
        <f aca="false">IF(Tasks[[#This Row],[Task Name]]="","",MAX(1,N(Tasks[[#This Row],[Level]])))</f>
        <v/>
      </c>
      <c r="BU127" s="38" t="n">
        <f aca="false">ROW()-ROW(Tasks[[#Headers],[ID]])</f>
        <v>122</v>
      </c>
      <c r="BV127" s="38" t="n">
        <f aca="false">IF(OR(Tasks[[#This Row],[Task Name]]="",Tasks[[#This Row],[_Level]]&lt;=1),0,IFERROR(LOOKUP(2,1/(Tasks[[#Headers],[_Level]]:Tasks[[#This Row],[_Level]]=Tasks[[#This Row],[_Level]]-1),ROW(Tasks[[#Headers],[_Level]]:Tasks[[#This Row],[_Level]])),0))</f>
        <v>0</v>
      </c>
      <c r="BW127" s="38" t="n">
        <f aca="false">IFERROR(N(INDEX(Tasks[_Level],Tasks[[#This Row],[_Row]]+1)),0)</f>
        <v>0</v>
      </c>
      <c r="BX127" s="114" t="b">
        <f aca="false">AND(Tasks[[#This Row],[Task Name]]&lt;&gt;"",Tasks[[#This Row],[_NextLevel]]&gt;Tasks[[#This Row],[_Level]])</f>
        <v>0</v>
      </c>
      <c r="BY127" s="38" t="n">
        <f aca="false">IF(Tasks[[#This Row],[_IsSummary]],COUNTIF(Tasks[WBS],Tasks[[#This Row],[WBS]]&amp;".*"),0)</f>
        <v>0</v>
      </c>
      <c r="BZ127" s="38" t="n">
        <f aca="false">IF(AND(Tasks[[#This Row],[Task Name]]&lt;&gt;"",NOT(Tasks[[#This Row],[_IsSummary]])),1,0)</f>
        <v>0</v>
      </c>
      <c r="CA127" s="38" t="n">
        <f aca="false">IF(N(Tasks[[#This Row],[Pred1 UID]])=0,0,IFERROR(MATCH(Tasks[[#This Row],[Pred1 UID]],Tasks[UID],0),-1))</f>
        <v>0</v>
      </c>
      <c r="CB127" s="38" t="n">
        <f aca="false">IF(N(Tasks[[#This Row],[Pred2 UID]])=0,0,IFERROR(MATCH(Tasks[[#This Row],[Pred2 UID]],Tasks[UID],0),-1))</f>
        <v>0</v>
      </c>
      <c r="CC127" s="38" t="n">
        <f aca="false">IF(N(Tasks[[#This Row],[Pred3 UID]])=0,0,IFERROR(MATCH(Tasks[[#This Row],[Pred3 UID]],Tasks[UID],0),-1))</f>
        <v>0</v>
      </c>
      <c r="CD127" s="38" t="n">
        <f aca="false">IF(N(Tasks[[#This Row],[Pred4 UID]])=0,0,IFERROR(MATCH(Tasks[[#This Row],[Pred4 UID]],Tasks[UID],0),-1))</f>
        <v>0</v>
      </c>
      <c r="CE12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7" s="115" t="n">
        <f aca="false">IF(OR(Tasks[[#This Row],[_ConstraintCode]]=2,Tasks[[#This Row],[_ConstraintCode]]=3,Tasks[[#This Row],[_ConstraintCode]]=4,Tasks[[#This Row],[_ConstraintCode]]=6),Tasks[[#This Row],[_ConstraintStart]],0)</f>
        <v>0</v>
      </c>
      <c r="CH127" s="115" t="n">
        <f aca="false">IF(OR(Tasks[[#This Row],[_ConstraintCode]]=2,Tasks[[#This Row],[_ConstraintCode]]=3,Tasks[[#This Row],[_ConstraintCode]]=5,Tasks[[#This Row],[_ConstraintCode]]=7),Tasks[[#This Row],[_ConstraintStart]],2958465)</f>
        <v>2958465</v>
      </c>
      <c r="CI12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7" s="115" t="str">
        <f aca="false">IF(NOT(Tasks[[#This Row],[_IsLeaf]]=1),"",IF(N(Tasks[[#This Row],[Duration]])&lt;=0,Tasks[[#This Row],[_LeafCalcStart]],WORKDAY.INTL(Tasks[[#This Row],[_LeafCalcStart]],Tasks[[#This Row],[Duration]]-1,WorkWeek,Holidays)))</f>
        <v/>
      </c>
      <c r="CK12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7" s="38" t="n">
        <f aca="false">IF(NOT(Tasks[[#This Row],[_IsLeaf]]=1),0,IF(N(Tasks[[#This Row],[Actual Finish]])&gt;0,1,MIN(1,N(Tasks[[#This Row],[% Complete]]))))</f>
        <v>0</v>
      </c>
      <c r="CN127" s="38" t="n">
        <f aca="false">IF(OR(NOT(Tasks[[#This Row],[_IsLeaf]]=1),Tasks[[#This Row],[Resource]]=""),0,N(Tasks[[#This Row],[Duration]])*HoursPerDay*IF(Tasks[[#This Row],[Units]]="",DefaultUnits,Tasks[[#This Row],[Units]]))</f>
        <v>0</v>
      </c>
      <c r="CO127" s="38" t="n">
        <f aca="false">IF(Tasks[[#This Row],[_LeafWork]]=0,0,Tasks[[#This Row],[_LeafWork]]*IFERROR(INDEX(res_Rate,MATCH(Tasks[[#This Row],[Resource]],res_Name,0)),0))</f>
        <v>0</v>
      </c>
      <c r="CP127" s="38" t="n">
        <f aca="false">Tasks[[#This Row],[_LeafWork]]+IF(Tasks[[#This Row],[_IsLeaf]]=1,SUMIFS(asg_Work,asg_TaskUID,Tasks[[#This Row],[UID]],asg_Valid,1),0)</f>
        <v>0</v>
      </c>
      <c r="CQ127" s="38" t="n">
        <f aca="false">Tasks[[#This Row],[_LeafCost]]+IF(Tasks[[#This Row],[_IsLeaf]]=1,SUMIFS(asg_Cost,asg_TaskUID,Tasks[[#This Row],[UID]],asg_Valid,1),0)</f>
        <v>0</v>
      </c>
      <c r="CR127" s="38" t="n">
        <f aca="false">IF(Tasks[[#This Row],[_LeafTotalCost]]=0,Tasks[[#This Row],[_LeafAC]],Tasks[[#This Row],[_LeafAC]]*Tasks[[#This Row],[_LeafCost]]/Tasks[[#This Row],[_LeafTotalCost]])</f>
        <v>0</v>
      </c>
      <c r="CS12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7" s="38" t="n">
        <f aca="false">IF(NOT(Tasks[[#This Row],[_IsLeaf]]=1),0,MAX(_xlfn.MAXIFS(Tasks[_Row],Tasks[Pred1 UID],Tasks[[#This Row],[UID]]),_xlfn.MAXIFS(Tasks[_Row],Tasks[Pred2 UID],Tasks[[#This Row],[UID]]),_xlfn.MAXIFS(Tasks[_Row],Tasks[Pred3 UID],Tasks[[#This Row],[UID]]),_xlfn.MAXIFS(Tasks[_Row],Tasks[Pred4 UID],Tasks[[#This Row],[UID]])))</f>
        <v>0</v>
      </c>
      <c r="DB12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7" s="115" t="str">
        <f aca="false">IF(NOT(Tasks[[#This Row],[_IsLeaf]]=1),"",IF(N(Tasks[[#This Row],[Duration]])&lt;=0,Tasks[[#This Row],[_LeafLateFinish]],WORKDAY.INTL(Tasks[[#This Row],[_LeafLateFinish]],-(Tasks[[#This Row],[Duration]]-1),WorkWeek,Holidays)))</f>
        <v/>
      </c>
      <c r="DE12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7" s="114" t="b">
        <f aca="false">AND(Tasks[[#This Row],[_IsLeaf]]=1,Tasks[[#This Row],[_LeafProgress]]&lt;1,N(Tasks[[#This Row],[_LeafTotalSlack]])&lt;=CriticalSlackDays)</f>
        <v>0</v>
      </c>
      <c r="DG127" s="38" t="n">
        <f aca="false">IF(AND(Tasks[[#This Row],[_IsLeaf]]=1,Tasks[[#This Row],[_ConstraintCode]]=1,Tasks[[#This Row],[Mode]]&lt;&gt;"Manual",N(Tasks[[#This Row],[Actual Start]])=0),MAX(0,N(Tasks[[#This Row],[Free Slack]])),0)</f>
        <v>0</v>
      </c>
      <c r="DH127" s="115" t="str">
        <f aca="false">IF(NOT(Tasks[[#This Row],[_IsLeaf]]=1),"",IF(Tasks[[#This Row],[_AlapShift]]=0,Tasks[[#This Row],[_LeafCalcStart]],WORKDAY.INTL(Tasks[[#This Row],[_LeafCalcStart]],Tasks[[#This Row],[_AlapShift]],WorkWeek,Holidays)))</f>
        <v/>
      </c>
      <c r="DI127" s="115" t="str">
        <f aca="false">IF(NOT(Tasks[[#This Row],[_IsLeaf]]=1),"",IF(Tasks[[#This Row],[_AlapShift]]=0,Tasks[[#This Row],[_LeafCalcFinish]],WORKDAY.INTL(Tasks[[#This Row],[_LeafCalcFinish]],Tasks[[#This Row],[_AlapShift]],WorkWeek,Holidays)))</f>
        <v/>
      </c>
      <c r="DJ127" s="115" t="str">
        <f aca="false">IF(NOT(Tasks[[#This Row],[_IsLeaf]]=1),"",IF(Tasks[[#This Row],[_AlapShift]]=0,Tasks[[#This Row],[_LeafFcstStart]],WORKDAY.INTL(Tasks[[#This Row],[_LeafFcstStart]],Tasks[[#This Row],[_AlapShift]],WorkWeek,Holidays)))</f>
        <v/>
      </c>
      <c r="DK127" s="115" t="str">
        <f aca="false">IF(NOT(Tasks[[#This Row],[_IsLeaf]]=1),"",IF(Tasks[[#This Row],[_AlapShift]]=0,Tasks[[#This Row],[_LeafFcstFinish]],WORKDAY.INTL(Tasks[[#This Row],[_LeafFcstFinish]],Tasks[[#This Row],[_AlapShift]],WorkWeek,Holidays)))</f>
        <v/>
      </c>
      <c r="DL127" s="115" t="str">
        <f aca="false">IF(Tasks[[#This Row],[Task Name]]="","",IF(Tasks[[#This Row],[_IsSummary]],MIN(INDEX(Tasks[_ShownCalcStart],Tasks[[#This Row],[_Row]]+1):INDEX(Tasks[_ShownCalcStart],Tasks[[#This Row],[_Row]]+Tasks[[#This Row],[_Descendants]])),Tasks[[#This Row],[_ShownCalcStart]]))</f>
        <v/>
      </c>
      <c r="DM127" s="115" t="str">
        <f aca="false">IF(Tasks[[#This Row],[Task Name]]="","",IF(Tasks[[#This Row],[_IsSummary]],MAX(INDEX(Tasks[_ShownCalcFinish],Tasks[[#This Row],[_Row]]+1):INDEX(Tasks[_ShownCalcFinish],Tasks[[#This Row],[_Row]]+Tasks[[#This Row],[_Descendants]])),Tasks[[#This Row],[_ShownCalcFinish]]))</f>
        <v/>
      </c>
      <c r="DN12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7" s="38" t="n">
        <f aca="false">IF(AND(Tasks[[#This Row],[_IsLeaf]]=1,Tasks[[#This Row],[_LeafTotalWork]]&gt;0),NETWORKDAYS.INTL(ProjectStart,Tasks[[#This Row],[_ShownFcstStart]],WorkWeek,Holidays),0)</f>
        <v>0</v>
      </c>
      <c r="EA127" s="38" t="n">
        <f aca="false">IF(AND(Tasks[[#This Row],[_IsLeaf]]=1,Tasks[[#This Row],[_LeafTotalWork]]&gt;0),MAX(Tasks[[#This Row],[_StartWorkday]],NETWORKDAYS.INTL(ProjectStart,Tasks[[#This Row],[_ShownFcstFinish]],WorkWeek,Holidays)),0)</f>
        <v>0</v>
      </c>
      <c r="EB127" s="38" t="n">
        <f aca="false">IF(AND(Tasks[[#This Row],[_IsLeaf]]=1,Tasks[[#This Row],[_LeafTotalWork]]&gt;0),Tasks[[#This Row],[_LeafWork]]/(Tasks[[#This Row],[_FinishWorkday]]-Tasks[[#This Row],[_StartWorkday]]+1),0)</f>
        <v>0</v>
      </c>
      <c r="EC127" s="38" t="n">
        <f aca="false">Tasks[[#This Row],[_WorkPerWorkday]]*(Tasks[[#This Row],[_StartWorkday]]-1)</f>
        <v>-0</v>
      </c>
      <c r="ED127" s="38" t="n">
        <f aca="false">IF(Tasks[[#This Row],[_IsLeaf]]=1,MAX(N(Tasks[[#This Row],[Duration]]),0.1),0)</f>
        <v>0</v>
      </c>
      <c r="EE127" s="38" t="n">
        <f aca="false">Tasks[[#This Row],[_WeightDur]]*Tasks[[#This Row],[_LeafProgress]]</f>
        <v>0</v>
      </c>
      <c r="EF12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7" s="38" t="str">
        <f aca="false">IF(AND(Tasks[[#This Row],[_IsLeaf]]=1,N(Tasks[[#This Row],[Duration]])=0,Tasks[[#This Row],[_LeafProgress]]&lt;1),Tasks[[#This Row],[_ShownFcstFinish]]+Tasks[[#This Row],[_Row]]/100000,"")</f>
        <v/>
      </c>
      <c r="EH12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7" s="38" t="n">
        <f aca="false">IF(NOT(Tasks[[#This Row],[_IsLeaf]]=1),0,IF(Tasks[[#This Row],[Baseline Cost]]="",Tasks[[#This Row],[_LeafTotalCost]],N(Tasks[[#This Row],[Baseline Cost]])))</f>
        <v>0</v>
      </c>
      <c r="EJ127" s="38" t="n">
        <f aca="false">Tasks[[#This Row],[_LeafBudget]]*Tasks[[#This Row],[_PlannedPct]]</f>
        <v>0</v>
      </c>
      <c r="EK127" s="38" t="n">
        <f aca="false">Tasks[[#This Row],[_LeafBudget]]*Tasks[[#This Row],[_LeafProgress]]</f>
        <v>0</v>
      </c>
      <c r="EL127" s="38" t="n">
        <f aca="false">IF(NOT(Tasks[[#This Row],[_IsLeaf]]=1),0,IF(Tasks[[#This Row],[Actual Cost]]="",Tasks[[#This Row],[_LeafTotalCost]]*Tasks[[#This Row],[_LeafProgress]],N(Tasks[[#This Row],[Actual Cost]])))</f>
        <v>0</v>
      </c>
      <c r="EM127" s="38" t="str">
        <f aca="false">IF(Tasks[[#This Row],[Task Name]]="","",LEFT(Tasks[[#This Row],[WBS]],FIND(".",Tasks[[#This Row],[WBS]]&amp;".")-1))</f>
        <v/>
      </c>
      <c r="EN127" s="38" t="str">
        <f aca="false">IF(AND(Tasks[[#This Row],[Task Name]]&lt;&gt;"",Tasks[[#This Row],[_Level]]=1),Tasks[[#This Row],[_Row]],"")</f>
        <v/>
      </c>
      <c r="EO127" s="38" t="str">
        <f aca="false">IF(AND(Tasks[[#This Row],[_IsLeaf]]=1,N(Tasks[[#This Row],[Duration]])=0),Tasks[[#This Row],[Planned Finish]]+Tasks[[#This Row],[_Row]]/100000,"")</f>
        <v/>
      </c>
      <c r="EP127" s="38" t="str">
        <f aca="false">IF(AND(Tasks[[#This Row],[_IsLeaf]]=1,Tasks[[#This Row],[_LeafProgress]]&lt;1,OR(N(Tasks[[#This Row],[Finish Var]])&gt;0,Tasks[[#This Row],[Status]]="Late Start")),MAX(0,Tasks[[#This Row],[Finish Var]])+1-Tasks[[#This Row],[_Row]]/1000000,"")</f>
        <v/>
      </c>
      <c r="EQ127" s="38" t="str">
        <f aca="false">IF(AND(Tasks[[#This Row],[_IsLeaf]]=1,N(Tasks[[#This Row],[Actual Start]])=0,Tasks[[#This Row],[_ShownFcstStart]]&gt;=StatusDate,Tasks[[#This Row],[_ShownFcstStart]]&lt;=LookaheadEnd),Tasks[[#This Row],[_ShownFcstStart]]+Tasks[[#This Row],[_Row]]/100000,"")</f>
        <v/>
      </c>
      <c r="ER127" s="38" t="str">
        <f aca="false">IF(AND(Tasks[[#This Row],[_IsLeaf]]=1,Tasks[[#This Row],[_LeafProgress]]&lt;1,Tasks[[#This Row],[_ShownFcstFinish]]&gt;=StatusDate,Tasks[[#This Row],[_ShownFcstFinish]]&lt;=LookaheadEnd),Tasks[[#This Row],[_ShownFcstFinish]]+Tasks[[#This Row],[_Row]]/100000,"")</f>
        <v/>
      </c>
      <c r="ES127" s="38" t="str">
        <f aca="false">IF(Tasks[[#This Row],[_LeafCritical]],Tasks[[#This Row],[_ShownFcstStart]]+Tasks[[#This Row],[_Row]]/100000,"")</f>
        <v/>
      </c>
      <c r="ET127" s="38" t="n">
        <f aca="false">Tasks[[#This Row],[_LeafWork]]*Tasks[[#This Row],[_LeafProgress]]</f>
        <v>0</v>
      </c>
      <c r="EU127" s="115" t="str">
        <f aca="false">IF(AND(Tasks[[#This Row],[_IsLeaf]]=1,Tasks[[#This Row],[_LeafProgress]]&gt;=1),IF(N(Tasks[[#This Row],[Actual Finish]])&gt;0,Tasks[[#This Row],[Actual Finish]],Tasks[[#This Row],[_ShownFcstFinish]]),"")</f>
        <v/>
      </c>
      <c r="EV127" s="38" t="n">
        <f aca="false">IF(Tasks[[#This Row],[_IsLeaf]]=1,N(Tasks[[#This Row],[Story Points]]),0)</f>
        <v>0</v>
      </c>
      <c r="EW127" s="38" t="str">
        <f aca="false">IF(AND(Tasks[[#This Row],[_IsLeaf]]=1,CurrentSprint&lt;&gt;"",Tasks[[#This Row],[Sprint]]=CurrentSprint),Tasks[[#This Row],[_Row]],"")</f>
        <v/>
      </c>
    </row>
    <row r="128" customFormat="false" ht="15" hidden="false" customHeight="false" outlineLevel="0" collapsed="false">
      <c r="A128" s="51" t="str">
        <f aca="false">IF(Tasks[[#This Row],[Task Name]]="","",COUNTA(Tasks[[#Headers],[Task Name]]:Tasks[[#This Row],[Task Name]])-1)</f>
        <v/>
      </c>
      <c r="B128" s="52" t="n">
        <v>123</v>
      </c>
      <c r="C12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52"/>
      <c r="E128" s="53"/>
      <c r="F128" s="52"/>
      <c r="G128" s="52"/>
      <c r="H128" s="52"/>
      <c r="I128" s="52"/>
      <c r="J128" s="52"/>
      <c r="K128" s="52"/>
      <c r="L128" s="52"/>
      <c r="M128" s="52"/>
      <c r="N128" s="52"/>
      <c r="O128" s="52"/>
      <c r="P128" s="52"/>
      <c r="Q128" s="52"/>
      <c r="R128" s="52"/>
      <c r="S128" s="53"/>
      <c r="T128" s="102"/>
      <c r="U128" s="102"/>
      <c r="V128" s="7"/>
      <c r="W128" s="7"/>
      <c r="X128" s="53"/>
      <c r="Y128" s="31" t="str">
        <f aca="false">IF(Tasks[[#This Row],[Task Name]]="","",IF(Tasks[[#This Row],[_IsSummary]],MIN(INDEX(Tasks[_ShownFcstStart],Tasks[[#This Row],[_Row]]+1):INDEX(Tasks[_ShownFcstStart],Tasks[[#This Row],[_Row]]+Tasks[[#This Row],[_Descendants]])),Tasks[[#This Row],[_ShownFcstStart]]))</f>
        <v/>
      </c>
      <c r="Z128" s="31" t="str">
        <f aca="false">IF(Tasks[[#This Row],[Task Name]]="","",IF(Tasks[[#This Row],[_IsSummary]],MAX(INDEX(Tasks[_ShownFcstFinish],Tasks[[#This Row],[_Row]]+1):INDEX(Tasks[_ShownFcstFinish],Tasks[[#This Row],[_Row]]+Tasks[[#This Row],[_Descendants]])),Tasks[[#This Row],[_ShownFcstFinish]]))</f>
        <v/>
      </c>
      <c r="AA128" s="51" t="str">
        <f aca="false">IF(Tasks[[#This Row],[Task Name]]="","",IF(Tasks[[#This Row],[Progress]]&gt;=1,"Complete",IF(OR(N(Tasks[[#This Row],[Actual Start]])&gt;0,Tasks[[#This Row],[Progress]]&gt;0),IF(Tasks[[#This Row],[Finish Var]]&gt;0,"Behind","In Progress"),IF(Tasks[[#This Row],[Planned Start]]&lt;StatusDate,"Late Start","Not Started"))))</f>
        <v/>
      </c>
      <c r="AB128" s="51" t="str">
        <f aca="false">IF(Tasks[[#This Row],[Task Name]]="","",IF(IF(Tasks[[#This Row],[_IsSummary]],COUNTIF(INDEX(Tasks[_LeafCritical],Tasks[[#This Row],[_Row]]+1):INDEX(Tasks[_LeafCritical],Tasks[[#This Row],[_Row]]+Tasks[[#This Row],[_Descendants]]),TRUE())&gt;0,Tasks[[#This Row],[_LeafCritical]]),"Yes",""))</f>
        <v/>
      </c>
      <c r="AC12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8" s="51" t="str">
        <f aca="false">IF(Tasks[[#This Row],[Task Name]]="","",IF(Tasks[[#This Row],[_Level]]&lt;=OutlineShowLevel,"Yes","No"))</f>
        <v/>
      </c>
      <c r="AE128" s="7"/>
      <c r="AF128" s="52"/>
      <c r="AG128" s="53"/>
      <c r="AH128" s="7"/>
      <c r="AI12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8" s="31" t="str">
        <f aca="false">IF(Tasks[[#This Row],[Task Name]]="","",IF(N(Tasks[[#This Row],[Baseline Start]])&gt;0,Tasks[[#This Row],[Baseline Start]],Tasks[[#This Row],[_CalcStart]]))</f>
        <v/>
      </c>
      <c r="AK128" s="31" t="str">
        <f aca="false">IF(Tasks[[#This Row],[Task Name]]="","",IF(N(Tasks[[#This Row],[Baseline Finish]])&gt;0,Tasks[[#This Row],[Baseline Finish]],Tasks[[#This Row],[_CalcFinish]]))</f>
        <v/>
      </c>
      <c r="AL12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8" s="31" t="str">
        <f aca="false">IF(Tasks[[#This Row],[Task Name]]="","",IF(Tasks[[#This Row],[_IsSummary]],MIN(INDEX(Tasks[_LeafLateStart],Tasks[[#This Row],[_Row]]+1):INDEX(Tasks[_LeafLateStart],Tasks[[#This Row],[_Row]]+Tasks[[#This Row],[_Descendants]])),Tasks[[#This Row],[_LeafLateStart]]))</f>
        <v/>
      </c>
      <c r="AN128" s="31" t="str">
        <f aca="false">IF(Tasks[[#This Row],[Task Name]]="","",IF(Tasks[[#This Row],[_IsSummary]],MAX(INDEX(Tasks[_LeafLateFinish],Tasks[[#This Row],[_Row]]+1):INDEX(Tasks[_LeafLateFinish],Tasks[[#This Row],[_Row]]+Tasks[[#This Row],[_Descendants]])),Tasks[[#This Row],[_LeafLateFinish]]))</f>
        <v/>
      </c>
      <c r="AO128" s="51" t="str">
        <f aca="false">IF(Tasks[[#This Row],[Task Name]]="","",IF(Tasks[[#This Row],[_IsSummary]],MIN(INDEX(Tasks[_LeafTotalSlack],Tasks[[#This Row],[_Row]]+1):INDEX(Tasks[_LeafTotalSlack],Tasks[[#This Row],[_Row]]+Tasks[[#This Row],[_Descendants]])),Tasks[[#This Row],[_LeafTotalSlack]]))</f>
        <v/>
      </c>
      <c r="AP12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8" s="110" t="str">
        <f aca="false">IF(Tasks[[#This Row],[Task Name]]="","",IF(Tasks[[#This Row],[_IsSummary]],SUM(INDEX(Tasks[_LeafTotalWork],Tasks[[#This Row],[_Row]]+1):INDEX(Tasks[_LeafTotalWork],Tasks[[#This Row],[_Row]]+Tasks[[#This Row],[_Descendants]])),Tasks[[#This Row],[_LeafTotalWork]]))</f>
        <v/>
      </c>
      <c r="AV12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8" s="111" t="str">
        <f aca="false">IF(Tasks[[#This Row],[Task Name]]="","",IF(Tasks[[#This Row],[_IsSummary]],SUM(INDEX(Tasks[_LeafTotalCost],Tasks[[#This Row],[_Row]]+1):INDEX(Tasks[_LeafTotalCost],Tasks[[#This Row],[_Row]]+Tasks[[#This Row],[_Descendants]])),Tasks[[#This Row],[_LeafTotalCost]]))</f>
        <v/>
      </c>
      <c r="AY128" s="112"/>
      <c r="AZ12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8" s="52"/>
      <c r="BB128" s="98"/>
      <c r="BC128" s="51" t="str">
        <f aca="false">IF(OR(Tasks[[#This Row],[Task Name]]="",Tasks[[#This Row],[Baseline Duration]]=""),"",Tasks[[#This Row],[BL Source Duration]]-N(Tasks[[#This Row],[Baseline Duration]]))</f>
        <v/>
      </c>
      <c r="BD128" s="110" t="str">
        <f aca="false">IF(OR(Tasks[[#This Row],[Task Name]]="",Tasks[[#This Row],[Baseline Work]]=""),"",Tasks[[#This Row],[Work]]-N(Tasks[[#This Row],[Baseline Work]]))</f>
        <v/>
      </c>
      <c r="BE128" s="111" t="str">
        <f aca="false">IF(OR(Tasks[[#This Row],[Task Name]]="",Tasks[[#This Row],[Baseline Cost]]=""),"",Tasks[[#This Row],[Cost]]-N(Tasks[[#This Row],[Baseline Cost]]))</f>
        <v/>
      </c>
      <c r="BF128" s="31" t="str">
        <f aca="false">IF(Tasks[[#This Row],[Task Name]]="","",Tasks[[#This Row],[Forecast Start]])</f>
        <v/>
      </c>
      <c r="BG128" s="31" t="str">
        <f aca="false">IF(Tasks[[#This Row],[Task Name]]="","",Tasks[[#This Row],[Forecast Finish]])</f>
        <v/>
      </c>
      <c r="BH128" s="51" t="str">
        <f aca="false">IF(Tasks[[#This Row],[Task Name]]="","",IF(Tasks[[#This Row],[_IsSummary]],NETWORKDAYS.INTL(Tasks[[#This Row],[Forecast Start]],Tasks[[#This Row],[Forecast Finish]],WorkWeek,Holidays),N(Tasks[[#This Row],[Duration]])))</f>
        <v/>
      </c>
      <c r="BI128" s="110" t="str">
        <f aca="false">IF(Tasks[[#This Row],[Task Name]]="","",Tasks[[#This Row],[Work]])</f>
        <v/>
      </c>
      <c r="BJ128" s="111" t="str">
        <f aca="false">IF(Tasks[[#This Row],[Task Name]]="","",Tasks[[#This Row],[Cost]])</f>
        <v/>
      </c>
      <c r="BK128" s="7"/>
      <c r="BL128" s="7"/>
      <c r="BM128" s="52"/>
      <c r="BN128" s="113"/>
      <c r="BO128" s="112"/>
      <c r="BP128" s="111" t="str">
        <f aca="false">IF(Tasks[[#This Row],[Task Name]]="","",IF(Tasks[[#This Row],[_IsSummary]],SUM(INDEX(Tasks[_LeafEV],Tasks[[#This Row],[_Row]]+1):INDEX(Tasks[_LeafEV],Tasks[[#This Row],[_Row]]+Tasks[[#This Row],[_Descendants]])),Tasks[[#This Row],[_LeafEV]]))</f>
        <v/>
      </c>
      <c r="BQ128" s="111" t="str">
        <f aca="false">IF(Tasks[[#This Row],[Task Name]]="","",IF(Tasks[[#This Row],[_IsSummary]],SUM(INDEX(Tasks[_LeafBudget],Tasks[[#This Row],[_Row]]+1):INDEX(Tasks[_LeafBudget],Tasks[[#This Row],[_Row]]+Tasks[[#This Row],[_Descendants]])),Tasks[[#This Row],[_LeafBudget]]))</f>
        <v/>
      </c>
      <c r="BR128" s="111" t="str">
        <f aca="false">IF(Tasks[[#This Row],[Task Name]]="","",IF(Tasks[[#This Row],[_IsSummary]],SUM(INDEX(Tasks[_LeafPV],Tasks[[#This Row],[_Row]]+1):INDEX(Tasks[_LeafPV],Tasks[[#This Row],[_Row]]+Tasks[[#This Row],[_Descendants]])),Tasks[[#This Row],[_LeafPV]]))</f>
        <v/>
      </c>
      <c r="BS128" s="111" t="str">
        <f aca="false">IF(Tasks[[#This Row],[Task Name]]="","",IF(Tasks[[#This Row],[_IsSummary]],SUM(INDEX(Tasks[_LeafAC],Tasks[[#This Row],[_Row]]+1):INDEX(Tasks[_LeafAC],Tasks[[#This Row],[_Row]]+Tasks[[#This Row],[_Descendants]])),Tasks[[#This Row],[_LeafAC]]))</f>
        <v/>
      </c>
      <c r="BT128" s="38" t="str">
        <f aca="false">IF(Tasks[[#This Row],[Task Name]]="","",MAX(1,N(Tasks[[#This Row],[Level]])))</f>
        <v/>
      </c>
      <c r="BU128" s="38" t="n">
        <f aca="false">ROW()-ROW(Tasks[[#Headers],[ID]])</f>
        <v>123</v>
      </c>
      <c r="BV128" s="38" t="n">
        <f aca="false">IF(OR(Tasks[[#This Row],[Task Name]]="",Tasks[[#This Row],[_Level]]&lt;=1),0,IFERROR(LOOKUP(2,1/(Tasks[[#Headers],[_Level]]:Tasks[[#This Row],[_Level]]=Tasks[[#This Row],[_Level]]-1),ROW(Tasks[[#Headers],[_Level]]:Tasks[[#This Row],[_Level]])),0))</f>
        <v>0</v>
      </c>
      <c r="BW128" s="38" t="n">
        <f aca="false">IFERROR(N(INDEX(Tasks[_Level],Tasks[[#This Row],[_Row]]+1)),0)</f>
        <v>0</v>
      </c>
      <c r="BX128" s="114" t="b">
        <f aca="false">AND(Tasks[[#This Row],[Task Name]]&lt;&gt;"",Tasks[[#This Row],[_NextLevel]]&gt;Tasks[[#This Row],[_Level]])</f>
        <v>0</v>
      </c>
      <c r="BY128" s="38" t="n">
        <f aca="false">IF(Tasks[[#This Row],[_IsSummary]],COUNTIF(Tasks[WBS],Tasks[[#This Row],[WBS]]&amp;".*"),0)</f>
        <v>0</v>
      </c>
      <c r="BZ128" s="38" t="n">
        <f aca="false">IF(AND(Tasks[[#This Row],[Task Name]]&lt;&gt;"",NOT(Tasks[[#This Row],[_IsSummary]])),1,0)</f>
        <v>0</v>
      </c>
      <c r="CA128" s="38" t="n">
        <f aca="false">IF(N(Tasks[[#This Row],[Pred1 UID]])=0,0,IFERROR(MATCH(Tasks[[#This Row],[Pred1 UID]],Tasks[UID],0),-1))</f>
        <v>0</v>
      </c>
      <c r="CB128" s="38" t="n">
        <f aca="false">IF(N(Tasks[[#This Row],[Pred2 UID]])=0,0,IFERROR(MATCH(Tasks[[#This Row],[Pred2 UID]],Tasks[UID],0),-1))</f>
        <v>0</v>
      </c>
      <c r="CC128" s="38" t="n">
        <f aca="false">IF(N(Tasks[[#This Row],[Pred3 UID]])=0,0,IFERROR(MATCH(Tasks[[#This Row],[Pred3 UID]],Tasks[UID],0),-1))</f>
        <v>0</v>
      </c>
      <c r="CD128" s="38" t="n">
        <f aca="false">IF(N(Tasks[[#This Row],[Pred4 UID]])=0,0,IFERROR(MATCH(Tasks[[#This Row],[Pred4 UID]],Tasks[UID],0),-1))</f>
        <v>0</v>
      </c>
      <c r="CE12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8" s="115" t="n">
        <f aca="false">IF(OR(Tasks[[#This Row],[_ConstraintCode]]=2,Tasks[[#This Row],[_ConstraintCode]]=3,Tasks[[#This Row],[_ConstraintCode]]=4,Tasks[[#This Row],[_ConstraintCode]]=6),Tasks[[#This Row],[_ConstraintStart]],0)</f>
        <v>0</v>
      </c>
      <c r="CH128" s="115" t="n">
        <f aca="false">IF(OR(Tasks[[#This Row],[_ConstraintCode]]=2,Tasks[[#This Row],[_ConstraintCode]]=3,Tasks[[#This Row],[_ConstraintCode]]=5,Tasks[[#This Row],[_ConstraintCode]]=7),Tasks[[#This Row],[_ConstraintStart]],2958465)</f>
        <v>2958465</v>
      </c>
      <c r="CI12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8" s="115" t="str">
        <f aca="false">IF(NOT(Tasks[[#This Row],[_IsLeaf]]=1),"",IF(N(Tasks[[#This Row],[Duration]])&lt;=0,Tasks[[#This Row],[_LeafCalcStart]],WORKDAY.INTL(Tasks[[#This Row],[_LeafCalcStart]],Tasks[[#This Row],[Duration]]-1,WorkWeek,Holidays)))</f>
        <v/>
      </c>
      <c r="CK12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8" s="38" t="n">
        <f aca="false">IF(NOT(Tasks[[#This Row],[_IsLeaf]]=1),0,IF(N(Tasks[[#This Row],[Actual Finish]])&gt;0,1,MIN(1,N(Tasks[[#This Row],[% Complete]]))))</f>
        <v>0</v>
      </c>
      <c r="CN128" s="38" t="n">
        <f aca="false">IF(OR(NOT(Tasks[[#This Row],[_IsLeaf]]=1),Tasks[[#This Row],[Resource]]=""),0,N(Tasks[[#This Row],[Duration]])*HoursPerDay*IF(Tasks[[#This Row],[Units]]="",DefaultUnits,Tasks[[#This Row],[Units]]))</f>
        <v>0</v>
      </c>
      <c r="CO128" s="38" t="n">
        <f aca="false">IF(Tasks[[#This Row],[_LeafWork]]=0,0,Tasks[[#This Row],[_LeafWork]]*IFERROR(INDEX(res_Rate,MATCH(Tasks[[#This Row],[Resource]],res_Name,0)),0))</f>
        <v>0</v>
      </c>
      <c r="CP128" s="38" t="n">
        <f aca="false">Tasks[[#This Row],[_LeafWork]]+IF(Tasks[[#This Row],[_IsLeaf]]=1,SUMIFS(asg_Work,asg_TaskUID,Tasks[[#This Row],[UID]],asg_Valid,1),0)</f>
        <v>0</v>
      </c>
      <c r="CQ128" s="38" t="n">
        <f aca="false">Tasks[[#This Row],[_LeafCost]]+IF(Tasks[[#This Row],[_IsLeaf]]=1,SUMIFS(asg_Cost,asg_TaskUID,Tasks[[#This Row],[UID]],asg_Valid,1),0)</f>
        <v>0</v>
      </c>
      <c r="CR128" s="38" t="n">
        <f aca="false">IF(Tasks[[#This Row],[_LeafTotalCost]]=0,Tasks[[#This Row],[_LeafAC]],Tasks[[#This Row],[_LeafAC]]*Tasks[[#This Row],[_LeafCost]]/Tasks[[#This Row],[_LeafTotalCost]])</f>
        <v>0</v>
      </c>
      <c r="CS12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8" s="38" t="n">
        <f aca="false">IF(NOT(Tasks[[#This Row],[_IsLeaf]]=1),0,MAX(_xlfn.MAXIFS(Tasks[_Row],Tasks[Pred1 UID],Tasks[[#This Row],[UID]]),_xlfn.MAXIFS(Tasks[_Row],Tasks[Pred2 UID],Tasks[[#This Row],[UID]]),_xlfn.MAXIFS(Tasks[_Row],Tasks[Pred3 UID],Tasks[[#This Row],[UID]]),_xlfn.MAXIFS(Tasks[_Row],Tasks[Pred4 UID],Tasks[[#This Row],[UID]])))</f>
        <v>0</v>
      </c>
      <c r="DB12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8" s="115" t="str">
        <f aca="false">IF(NOT(Tasks[[#This Row],[_IsLeaf]]=1),"",IF(N(Tasks[[#This Row],[Duration]])&lt;=0,Tasks[[#This Row],[_LeafLateFinish]],WORKDAY.INTL(Tasks[[#This Row],[_LeafLateFinish]],-(Tasks[[#This Row],[Duration]]-1),WorkWeek,Holidays)))</f>
        <v/>
      </c>
      <c r="DE12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8" s="114" t="b">
        <f aca="false">AND(Tasks[[#This Row],[_IsLeaf]]=1,Tasks[[#This Row],[_LeafProgress]]&lt;1,N(Tasks[[#This Row],[_LeafTotalSlack]])&lt;=CriticalSlackDays)</f>
        <v>0</v>
      </c>
      <c r="DG128" s="38" t="n">
        <f aca="false">IF(AND(Tasks[[#This Row],[_IsLeaf]]=1,Tasks[[#This Row],[_ConstraintCode]]=1,Tasks[[#This Row],[Mode]]&lt;&gt;"Manual",N(Tasks[[#This Row],[Actual Start]])=0),MAX(0,N(Tasks[[#This Row],[Free Slack]])),0)</f>
        <v>0</v>
      </c>
      <c r="DH128" s="115" t="str">
        <f aca="false">IF(NOT(Tasks[[#This Row],[_IsLeaf]]=1),"",IF(Tasks[[#This Row],[_AlapShift]]=0,Tasks[[#This Row],[_LeafCalcStart]],WORKDAY.INTL(Tasks[[#This Row],[_LeafCalcStart]],Tasks[[#This Row],[_AlapShift]],WorkWeek,Holidays)))</f>
        <v/>
      </c>
      <c r="DI128" s="115" t="str">
        <f aca="false">IF(NOT(Tasks[[#This Row],[_IsLeaf]]=1),"",IF(Tasks[[#This Row],[_AlapShift]]=0,Tasks[[#This Row],[_LeafCalcFinish]],WORKDAY.INTL(Tasks[[#This Row],[_LeafCalcFinish]],Tasks[[#This Row],[_AlapShift]],WorkWeek,Holidays)))</f>
        <v/>
      </c>
      <c r="DJ128" s="115" t="str">
        <f aca="false">IF(NOT(Tasks[[#This Row],[_IsLeaf]]=1),"",IF(Tasks[[#This Row],[_AlapShift]]=0,Tasks[[#This Row],[_LeafFcstStart]],WORKDAY.INTL(Tasks[[#This Row],[_LeafFcstStart]],Tasks[[#This Row],[_AlapShift]],WorkWeek,Holidays)))</f>
        <v/>
      </c>
      <c r="DK128" s="115" t="str">
        <f aca="false">IF(NOT(Tasks[[#This Row],[_IsLeaf]]=1),"",IF(Tasks[[#This Row],[_AlapShift]]=0,Tasks[[#This Row],[_LeafFcstFinish]],WORKDAY.INTL(Tasks[[#This Row],[_LeafFcstFinish]],Tasks[[#This Row],[_AlapShift]],WorkWeek,Holidays)))</f>
        <v/>
      </c>
      <c r="DL128" s="115" t="str">
        <f aca="false">IF(Tasks[[#This Row],[Task Name]]="","",IF(Tasks[[#This Row],[_IsSummary]],MIN(INDEX(Tasks[_ShownCalcStart],Tasks[[#This Row],[_Row]]+1):INDEX(Tasks[_ShownCalcStart],Tasks[[#This Row],[_Row]]+Tasks[[#This Row],[_Descendants]])),Tasks[[#This Row],[_ShownCalcStart]]))</f>
        <v/>
      </c>
      <c r="DM128" s="115" t="str">
        <f aca="false">IF(Tasks[[#This Row],[Task Name]]="","",IF(Tasks[[#This Row],[_IsSummary]],MAX(INDEX(Tasks[_ShownCalcFinish],Tasks[[#This Row],[_Row]]+1):INDEX(Tasks[_ShownCalcFinish],Tasks[[#This Row],[_Row]]+Tasks[[#This Row],[_Descendants]])),Tasks[[#This Row],[_ShownCalcFinish]]))</f>
        <v/>
      </c>
      <c r="DN12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8" s="38" t="n">
        <f aca="false">IF(AND(Tasks[[#This Row],[_IsLeaf]]=1,Tasks[[#This Row],[_LeafTotalWork]]&gt;0),NETWORKDAYS.INTL(ProjectStart,Tasks[[#This Row],[_ShownFcstStart]],WorkWeek,Holidays),0)</f>
        <v>0</v>
      </c>
      <c r="EA128" s="38" t="n">
        <f aca="false">IF(AND(Tasks[[#This Row],[_IsLeaf]]=1,Tasks[[#This Row],[_LeafTotalWork]]&gt;0),MAX(Tasks[[#This Row],[_StartWorkday]],NETWORKDAYS.INTL(ProjectStart,Tasks[[#This Row],[_ShownFcstFinish]],WorkWeek,Holidays)),0)</f>
        <v>0</v>
      </c>
      <c r="EB128" s="38" t="n">
        <f aca="false">IF(AND(Tasks[[#This Row],[_IsLeaf]]=1,Tasks[[#This Row],[_LeafTotalWork]]&gt;0),Tasks[[#This Row],[_LeafWork]]/(Tasks[[#This Row],[_FinishWorkday]]-Tasks[[#This Row],[_StartWorkday]]+1),0)</f>
        <v>0</v>
      </c>
      <c r="EC128" s="38" t="n">
        <f aca="false">Tasks[[#This Row],[_WorkPerWorkday]]*(Tasks[[#This Row],[_StartWorkday]]-1)</f>
        <v>-0</v>
      </c>
      <c r="ED128" s="38" t="n">
        <f aca="false">IF(Tasks[[#This Row],[_IsLeaf]]=1,MAX(N(Tasks[[#This Row],[Duration]]),0.1),0)</f>
        <v>0</v>
      </c>
      <c r="EE128" s="38" t="n">
        <f aca="false">Tasks[[#This Row],[_WeightDur]]*Tasks[[#This Row],[_LeafProgress]]</f>
        <v>0</v>
      </c>
      <c r="EF12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8" s="38" t="str">
        <f aca="false">IF(AND(Tasks[[#This Row],[_IsLeaf]]=1,N(Tasks[[#This Row],[Duration]])=0,Tasks[[#This Row],[_LeafProgress]]&lt;1),Tasks[[#This Row],[_ShownFcstFinish]]+Tasks[[#This Row],[_Row]]/100000,"")</f>
        <v/>
      </c>
      <c r="EH12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8" s="38" t="n">
        <f aca="false">IF(NOT(Tasks[[#This Row],[_IsLeaf]]=1),0,IF(Tasks[[#This Row],[Baseline Cost]]="",Tasks[[#This Row],[_LeafTotalCost]],N(Tasks[[#This Row],[Baseline Cost]])))</f>
        <v>0</v>
      </c>
      <c r="EJ128" s="38" t="n">
        <f aca="false">Tasks[[#This Row],[_LeafBudget]]*Tasks[[#This Row],[_PlannedPct]]</f>
        <v>0</v>
      </c>
      <c r="EK128" s="38" t="n">
        <f aca="false">Tasks[[#This Row],[_LeafBudget]]*Tasks[[#This Row],[_LeafProgress]]</f>
        <v>0</v>
      </c>
      <c r="EL128" s="38" t="n">
        <f aca="false">IF(NOT(Tasks[[#This Row],[_IsLeaf]]=1),0,IF(Tasks[[#This Row],[Actual Cost]]="",Tasks[[#This Row],[_LeafTotalCost]]*Tasks[[#This Row],[_LeafProgress]],N(Tasks[[#This Row],[Actual Cost]])))</f>
        <v>0</v>
      </c>
      <c r="EM128" s="38" t="str">
        <f aca="false">IF(Tasks[[#This Row],[Task Name]]="","",LEFT(Tasks[[#This Row],[WBS]],FIND(".",Tasks[[#This Row],[WBS]]&amp;".")-1))</f>
        <v/>
      </c>
      <c r="EN128" s="38" t="str">
        <f aca="false">IF(AND(Tasks[[#This Row],[Task Name]]&lt;&gt;"",Tasks[[#This Row],[_Level]]=1),Tasks[[#This Row],[_Row]],"")</f>
        <v/>
      </c>
      <c r="EO128" s="38" t="str">
        <f aca="false">IF(AND(Tasks[[#This Row],[_IsLeaf]]=1,N(Tasks[[#This Row],[Duration]])=0),Tasks[[#This Row],[Planned Finish]]+Tasks[[#This Row],[_Row]]/100000,"")</f>
        <v/>
      </c>
      <c r="EP128" s="38" t="str">
        <f aca="false">IF(AND(Tasks[[#This Row],[_IsLeaf]]=1,Tasks[[#This Row],[_LeafProgress]]&lt;1,OR(N(Tasks[[#This Row],[Finish Var]])&gt;0,Tasks[[#This Row],[Status]]="Late Start")),MAX(0,Tasks[[#This Row],[Finish Var]])+1-Tasks[[#This Row],[_Row]]/1000000,"")</f>
        <v/>
      </c>
      <c r="EQ128" s="38" t="str">
        <f aca="false">IF(AND(Tasks[[#This Row],[_IsLeaf]]=1,N(Tasks[[#This Row],[Actual Start]])=0,Tasks[[#This Row],[_ShownFcstStart]]&gt;=StatusDate,Tasks[[#This Row],[_ShownFcstStart]]&lt;=LookaheadEnd),Tasks[[#This Row],[_ShownFcstStart]]+Tasks[[#This Row],[_Row]]/100000,"")</f>
        <v/>
      </c>
      <c r="ER128" s="38" t="str">
        <f aca="false">IF(AND(Tasks[[#This Row],[_IsLeaf]]=1,Tasks[[#This Row],[_LeafProgress]]&lt;1,Tasks[[#This Row],[_ShownFcstFinish]]&gt;=StatusDate,Tasks[[#This Row],[_ShownFcstFinish]]&lt;=LookaheadEnd),Tasks[[#This Row],[_ShownFcstFinish]]+Tasks[[#This Row],[_Row]]/100000,"")</f>
        <v/>
      </c>
      <c r="ES128" s="38" t="str">
        <f aca="false">IF(Tasks[[#This Row],[_LeafCritical]],Tasks[[#This Row],[_ShownFcstStart]]+Tasks[[#This Row],[_Row]]/100000,"")</f>
        <v/>
      </c>
      <c r="ET128" s="38" t="n">
        <f aca="false">Tasks[[#This Row],[_LeafWork]]*Tasks[[#This Row],[_LeafProgress]]</f>
        <v>0</v>
      </c>
      <c r="EU128" s="115" t="str">
        <f aca="false">IF(AND(Tasks[[#This Row],[_IsLeaf]]=1,Tasks[[#This Row],[_LeafProgress]]&gt;=1),IF(N(Tasks[[#This Row],[Actual Finish]])&gt;0,Tasks[[#This Row],[Actual Finish]],Tasks[[#This Row],[_ShownFcstFinish]]),"")</f>
        <v/>
      </c>
      <c r="EV128" s="38" t="n">
        <f aca="false">IF(Tasks[[#This Row],[_IsLeaf]]=1,N(Tasks[[#This Row],[Story Points]]),0)</f>
        <v>0</v>
      </c>
      <c r="EW128" s="38" t="str">
        <f aca="false">IF(AND(Tasks[[#This Row],[_IsLeaf]]=1,CurrentSprint&lt;&gt;"",Tasks[[#This Row],[Sprint]]=CurrentSprint),Tasks[[#This Row],[_Row]],"")</f>
        <v/>
      </c>
    </row>
    <row r="129" customFormat="false" ht="15" hidden="false" customHeight="false" outlineLevel="0" collapsed="false">
      <c r="A129" s="51" t="str">
        <f aca="false">IF(Tasks[[#This Row],[Task Name]]="","",COUNTA(Tasks[[#Headers],[Task Name]]:Tasks[[#This Row],[Task Name]])-1)</f>
        <v/>
      </c>
      <c r="B129" s="52" t="n">
        <v>124</v>
      </c>
      <c r="C12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52"/>
      <c r="E129" s="53"/>
      <c r="F129" s="52"/>
      <c r="G129" s="52"/>
      <c r="H129" s="52"/>
      <c r="I129" s="52"/>
      <c r="J129" s="52"/>
      <c r="K129" s="52"/>
      <c r="L129" s="52"/>
      <c r="M129" s="52"/>
      <c r="N129" s="52"/>
      <c r="O129" s="52"/>
      <c r="P129" s="52"/>
      <c r="Q129" s="52"/>
      <c r="R129" s="52"/>
      <c r="S129" s="53"/>
      <c r="T129" s="102"/>
      <c r="U129" s="102"/>
      <c r="V129" s="7"/>
      <c r="W129" s="7"/>
      <c r="X129" s="53"/>
      <c r="Y129" s="31" t="str">
        <f aca="false">IF(Tasks[[#This Row],[Task Name]]="","",IF(Tasks[[#This Row],[_IsSummary]],MIN(INDEX(Tasks[_ShownFcstStart],Tasks[[#This Row],[_Row]]+1):INDEX(Tasks[_ShownFcstStart],Tasks[[#This Row],[_Row]]+Tasks[[#This Row],[_Descendants]])),Tasks[[#This Row],[_ShownFcstStart]]))</f>
        <v/>
      </c>
      <c r="Z129" s="31" t="str">
        <f aca="false">IF(Tasks[[#This Row],[Task Name]]="","",IF(Tasks[[#This Row],[_IsSummary]],MAX(INDEX(Tasks[_ShownFcstFinish],Tasks[[#This Row],[_Row]]+1):INDEX(Tasks[_ShownFcstFinish],Tasks[[#This Row],[_Row]]+Tasks[[#This Row],[_Descendants]])),Tasks[[#This Row],[_ShownFcstFinish]]))</f>
        <v/>
      </c>
      <c r="AA129" s="51" t="str">
        <f aca="false">IF(Tasks[[#This Row],[Task Name]]="","",IF(Tasks[[#This Row],[Progress]]&gt;=1,"Complete",IF(OR(N(Tasks[[#This Row],[Actual Start]])&gt;0,Tasks[[#This Row],[Progress]]&gt;0),IF(Tasks[[#This Row],[Finish Var]]&gt;0,"Behind","In Progress"),IF(Tasks[[#This Row],[Planned Start]]&lt;StatusDate,"Late Start","Not Started"))))</f>
        <v/>
      </c>
      <c r="AB129" s="51" t="str">
        <f aca="false">IF(Tasks[[#This Row],[Task Name]]="","",IF(IF(Tasks[[#This Row],[_IsSummary]],COUNTIF(INDEX(Tasks[_LeafCritical],Tasks[[#This Row],[_Row]]+1):INDEX(Tasks[_LeafCritical],Tasks[[#This Row],[_Row]]+Tasks[[#This Row],[_Descendants]]),TRUE())&gt;0,Tasks[[#This Row],[_LeafCritical]]),"Yes",""))</f>
        <v/>
      </c>
      <c r="AC12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9" s="51" t="str">
        <f aca="false">IF(Tasks[[#This Row],[Task Name]]="","",IF(Tasks[[#This Row],[_Level]]&lt;=OutlineShowLevel,"Yes","No"))</f>
        <v/>
      </c>
      <c r="AE129" s="7"/>
      <c r="AF129" s="52"/>
      <c r="AG129" s="53"/>
      <c r="AH129" s="7"/>
      <c r="AI12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9" s="31" t="str">
        <f aca="false">IF(Tasks[[#This Row],[Task Name]]="","",IF(N(Tasks[[#This Row],[Baseline Start]])&gt;0,Tasks[[#This Row],[Baseline Start]],Tasks[[#This Row],[_CalcStart]]))</f>
        <v/>
      </c>
      <c r="AK129" s="31" t="str">
        <f aca="false">IF(Tasks[[#This Row],[Task Name]]="","",IF(N(Tasks[[#This Row],[Baseline Finish]])&gt;0,Tasks[[#This Row],[Baseline Finish]],Tasks[[#This Row],[_CalcFinish]]))</f>
        <v/>
      </c>
      <c r="AL12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9" s="31" t="str">
        <f aca="false">IF(Tasks[[#This Row],[Task Name]]="","",IF(Tasks[[#This Row],[_IsSummary]],MIN(INDEX(Tasks[_LeafLateStart],Tasks[[#This Row],[_Row]]+1):INDEX(Tasks[_LeafLateStart],Tasks[[#This Row],[_Row]]+Tasks[[#This Row],[_Descendants]])),Tasks[[#This Row],[_LeafLateStart]]))</f>
        <v/>
      </c>
      <c r="AN129" s="31" t="str">
        <f aca="false">IF(Tasks[[#This Row],[Task Name]]="","",IF(Tasks[[#This Row],[_IsSummary]],MAX(INDEX(Tasks[_LeafLateFinish],Tasks[[#This Row],[_Row]]+1):INDEX(Tasks[_LeafLateFinish],Tasks[[#This Row],[_Row]]+Tasks[[#This Row],[_Descendants]])),Tasks[[#This Row],[_LeafLateFinish]]))</f>
        <v/>
      </c>
      <c r="AO129" s="51" t="str">
        <f aca="false">IF(Tasks[[#This Row],[Task Name]]="","",IF(Tasks[[#This Row],[_IsSummary]],MIN(INDEX(Tasks[_LeafTotalSlack],Tasks[[#This Row],[_Row]]+1):INDEX(Tasks[_LeafTotalSlack],Tasks[[#This Row],[_Row]]+Tasks[[#This Row],[_Descendants]])),Tasks[[#This Row],[_LeafTotalSlack]]))</f>
        <v/>
      </c>
      <c r="AP12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9" s="110" t="str">
        <f aca="false">IF(Tasks[[#This Row],[Task Name]]="","",IF(Tasks[[#This Row],[_IsSummary]],SUM(INDEX(Tasks[_LeafTotalWork],Tasks[[#This Row],[_Row]]+1):INDEX(Tasks[_LeafTotalWork],Tasks[[#This Row],[_Row]]+Tasks[[#This Row],[_Descendants]])),Tasks[[#This Row],[_LeafTotalWork]]))</f>
        <v/>
      </c>
      <c r="AV12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9" s="111" t="str">
        <f aca="false">IF(Tasks[[#This Row],[Task Name]]="","",IF(Tasks[[#This Row],[_IsSummary]],SUM(INDEX(Tasks[_LeafTotalCost],Tasks[[#This Row],[_Row]]+1):INDEX(Tasks[_LeafTotalCost],Tasks[[#This Row],[_Row]]+Tasks[[#This Row],[_Descendants]])),Tasks[[#This Row],[_LeafTotalCost]]))</f>
        <v/>
      </c>
      <c r="AY129" s="112"/>
      <c r="AZ12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9" s="52"/>
      <c r="BB129" s="98"/>
      <c r="BC129" s="51" t="str">
        <f aca="false">IF(OR(Tasks[[#This Row],[Task Name]]="",Tasks[[#This Row],[Baseline Duration]]=""),"",Tasks[[#This Row],[BL Source Duration]]-N(Tasks[[#This Row],[Baseline Duration]]))</f>
        <v/>
      </c>
      <c r="BD129" s="110" t="str">
        <f aca="false">IF(OR(Tasks[[#This Row],[Task Name]]="",Tasks[[#This Row],[Baseline Work]]=""),"",Tasks[[#This Row],[Work]]-N(Tasks[[#This Row],[Baseline Work]]))</f>
        <v/>
      </c>
      <c r="BE129" s="111" t="str">
        <f aca="false">IF(OR(Tasks[[#This Row],[Task Name]]="",Tasks[[#This Row],[Baseline Cost]]=""),"",Tasks[[#This Row],[Cost]]-N(Tasks[[#This Row],[Baseline Cost]]))</f>
        <v/>
      </c>
      <c r="BF129" s="31" t="str">
        <f aca="false">IF(Tasks[[#This Row],[Task Name]]="","",Tasks[[#This Row],[Forecast Start]])</f>
        <v/>
      </c>
      <c r="BG129" s="31" t="str">
        <f aca="false">IF(Tasks[[#This Row],[Task Name]]="","",Tasks[[#This Row],[Forecast Finish]])</f>
        <v/>
      </c>
      <c r="BH129" s="51" t="str">
        <f aca="false">IF(Tasks[[#This Row],[Task Name]]="","",IF(Tasks[[#This Row],[_IsSummary]],NETWORKDAYS.INTL(Tasks[[#This Row],[Forecast Start]],Tasks[[#This Row],[Forecast Finish]],WorkWeek,Holidays),N(Tasks[[#This Row],[Duration]])))</f>
        <v/>
      </c>
      <c r="BI129" s="110" t="str">
        <f aca="false">IF(Tasks[[#This Row],[Task Name]]="","",Tasks[[#This Row],[Work]])</f>
        <v/>
      </c>
      <c r="BJ129" s="111" t="str">
        <f aca="false">IF(Tasks[[#This Row],[Task Name]]="","",Tasks[[#This Row],[Cost]])</f>
        <v/>
      </c>
      <c r="BK129" s="7"/>
      <c r="BL129" s="7"/>
      <c r="BM129" s="52"/>
      <c r="BN129" s="113"/>
      <c r="BO129" s="112"/>
      <c r="BP129" s="111" t="str">
        <f aca="false">IF(Tasks[[#This Row],[Task Name]]="","",IF(Tasks[[#This Row],[_IsSummary]],SUM(INDEX(Tasks[_LeafEV],Tasks[[#This Row],[_Row]]+1):INDEX(Tasks[_LeafEV],Tasks[[#This Row],[_Row]]+Tasks[[#This Row],[_Descendants]])),Tasks[[#This Row],[_LeafEV]]))</f>
        <v/>
      </c>
      <c r="BQ129" s="111" t="str">
        <f aca="false">IF(Tasks[[#This Row],[Task Name]]="","",IF(Tasks[[#This Row],[_IsSummary]],SUM(INDEX(Tasks[_LeafBudget],Tasks[[#This Row],[_Row]]+1):INDEX(Tasks[_LeafBudget],Tasks[[#This Row],[_Row]]+Tasks[[#This Row],[_Descendants]])),Tasks[[#This Row],[_LeafBudget]]))</f>
        <v/>
      </c>
      <c r="BR129" s="111" t="str">
        <f aca="false">IF(Tasks[[#This Row],[Task Name]]="","",IF(Tasks[[#This Row],[_IsSummary]],SUM(INDEX(Tasks[_LeafPV],Tasks[[#This Row],[_Row]]+1):INDEX(Tasks[_LeafPV],Tasks[[#This Row],[_Row]]+Tasks[[#This Row],[_Descendants]])),Tasks[[#This Row],[_LeafPV]]))</f>
        <v/>
      </c>
      <c r="BS129" s="111" t="str">
        <f aca="false">IF(Tasks[[#This Row],[Task Name]]="","",IF(Tasks[[#This Row],[_IsSummary]],SUM(INDEX(Tasks[_LeafAC],Tasks[[#This Row],[_Row]]+1):INDEX(Tasks[_LeafAC],Tasks[[#This Row],[_Row]]+Tasks[[#This Row],[_Descendants]])),Tasks[[#This Row],[_LeafAC]]))</f>
        <v/>
      </c>
      <c r="BT129" s="38" t="str">
        <f aca="false">IF(Tasks[[#This Row],[Task Name]]="","",MAX(1,N(Tasks[[#This Row],[Level]])))</f>
        <v/>
      </c>
      <c r="BU129" s="38" t="n">
        <f aca="false">ROW()-ROW(Tasks[[#Headers],[ID]])</f>
        <v>124</v>
      </c>
      <c r="BV129" s="38" t="n">
        <f aca="false">IF(OR(Tasks[[#This Row],[Task Name]]="",Tasks[[#This Row],[_Level]]&lt;=1),0,IFERROR(LOOKUP(2,1/(Tasks[[#Headers],[_Level]]:Tasks[[#This Row],[_Level]]=Tasks[[#This Row],[_Level]]-1),ROW(Tasks[[#Headers],[_Level]]:Tasks[[#This Row],[_Level]])),0))</f>
        <v>0</v>
      </c>
      <c r="BW129" s="38" t="n">
        <f aca="false">IFERROR(N(INDEX(Tasks[_Level],Tasks[[#This Row],[_Row]]+1)),0)</f>
        <v>0</v>
      </c>
      <c r="BX129" s="114" t="b">
        <f aca="false">AND(Tasks[[#This Row],[Task Name]]&lt;&gt;"",Tasks[[#This Row],[_NextLevel]]&gt;Tasks[[#This Row],[_Level]])</f>
        <v>0</v>
      </c>
      <c r="BY129" s="38" t="n">
        <f aca="false">IF(Tasks[[#This Row],[_IsSummary]],COUNTIF(Tasks[WBS],Tasks[[#This Row],[WBS]]&amp;".*"),0)</f>
        <v>0</v>
      </c>
      <c r="BZ129" s="38" t="n">
        <f aca="false">IF(AND(Tasks[[#This Row],[Task Name]]&lt;&gt;"",NOT(Tasks[[#This Row],[_IsSummary]])),1,0)</f>
        <v>0</v>
      </c>
      <c r="CA129" s="38" t="n">
        <f aca="false">IF(N(Tasks[[#This Row],[Pred1 UID]])=0,0,IFERROR(MATCH(Tasks[[#This Row],[Pred1 UID]],Tasks[UID],0),-1))</f>
        <v>0</v>
      </c>
      <c r="CB129" s="38" t="n">
        <f aca="false">IF(N(Tasks[[#This Row],[Pred2 UID]])=0,0,IFERROR(MATCH(Tasks[[#This Row],[Pred2 UID]],Tasks[UID],0),-1))</f>
        <v>0</v>
      </c>
      <c r="CC129" s="38" t="n">
        <f aca="false">IF(N(Tasks[[#This Row],[Pred3 UID]])=0,0,IFERROR(MATCH(Tasks[[#This Row],[Pred3 UID]],Tasks[UID],0),-1))</f>
        <v>0</v>
      </c>
      <c r="CD129" s="38" t="n">
        <f aca="false">IF(N(Tasks[[#This Row],[Pred4 UID]])=0,0,IFERROR(MATCH(Tasks[[#This Row],[Pred4 UID]],Tasks[UID],0),-1))</f>
        <v>0</v>
      </c>
      <c r="CE12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9" s="115" t="n">
        <f aca="false">IF(OR(Tasks[[#This Row],[_ConstraintCode]]=2,Tasks[[#This Row],[_ConstraintCode]]=3,Tasks[[#This Row],[_ConstraintCode]]=4,Tasks[[#This Row],[_ConstraintCode]]=6),Tasks[[#This Row],[_ConstraintStart]],0)</f>
        <v>0</v>
      </c>
      <c r="CH129" s="115" t="n">
        <f aca="false">IF(OR(Tasks[[#This Row],[_ConstraintCode]]=2,Tasks[[#This Row],[_ConstraintCode]]=3,Tasks[[#This Row],[_ConstraintCode]]=5,Tasks[[#This Row],[_ConstraintCode]]=7),Tasks[[#This Row],[_ConstraintStart]],2958465)</f>
        <v>2958465</v>
      </c>
      <c r="CI12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9" s="115" t="str">
        <f aca="false">IF(NOT(Tasks[[#This Row],[_IsLeaf]]=1),"",IF(N(Tasks[[#This Row],[Duration]])&lt;=0,Tasks[[#This Row],[_LeafCalcStart]],WORKDAY.INTL(Tasks[[#This Row],[_LeafCalcStart]],Tasks[[#This Row],[Duration]]-1,WorkWeek,Holidays)))</f>
        <v/>
      </c>
      <c r="CK12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9" s="38" t="n">
        <f aca="false">IF(NOT(Tasks[[#This Row],[_IsLeaf]]=1),0,IF(N(Tasks[[#This Row],[Actual Finish]])&gt;0,1,MIN(1,N(Tasks[[#This Row],[% Complete]]))))</f>
        <v>0</v>
      </c>
      <c r="CN129" s="38" t="n">
        <f aca="false">IF(OR(NOT(Tasks[[#This Row],[_IsLeaf]]=1),Tasks[[#This Row],[Resource]]=""),0,N(Tasks[[#This Row],[Duration]])*HoursPerDay*IF(Tasks[[#This Row],[Units]]="",DefaultUnits,Tasks[[#This Row],[Units]]))</f>
        <v>0</v>
      </c>
      <c r="CO129" s="38" t="n">
        <f aca="false">IF(Tasks[[#This Row],[_LeafWork]]=0,0,Tasks[[#This Row],[_LeafWork]]*IFERROR(INDEX(res_Rate,MATCH(Tasks[[#This Row],[Resource]],res_Name,0)),0))</f>
        <v>0</v>
      </c>
      <c r="CP129" s="38" t="n">
        <f aca="false">Tasks[[#This Row],[_LeafWork]]+IF(Tasks[[#This Row],[_IsLeaf]]=1,SUMIFS(asg_Work,asg_TaskUID,Tasks[[#This Row],[UID]],asg_Valid,1),0)</f>
        <v>0</v>
      </c>
      <c r="CQ129" s="38" t="n">
        <f aca="false">Tasks[[#This Row],[_LeafCost]]+IF(Tasks[[#This Row],[_IsLeaf]]=1,SUMIFS(asg_Cost,asg_TaskUID,Tasks[[#This Row],[UID]],asg_Valid,1),0)</f>
        <v>0</v>
      </c>
      <c r="CR129" s="38" t="n">
        <f aca="false">IF(Tasks[[#This Row],[_LeafTotalCost]]=0,Tasks[[#This Row],[_LeafAC]],Tasks[[#This Row],[_LeafAC]]*Tasks[[#This Row],[_LeafCost]]/Tasks[[#This Row],[_LeafTotalCost]])</f>
        <v>0</v>
      </c>
      <c r="CS12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9" s="38" t="n">
        <f aca="false">IF(NOT(Tasks[[#This Row],[_IsLeaf]]=1),0,MAX(_xlfn.MAXIFS(Tasks[_Row],Tasks[Pred1 UID],Tasks[[#This Row],[UID]]),_xlfn.MAXIFS(Tasks[_Row],Tasks[Pred2 UID],Tasks[[#This Row],[UID]]),_xlfn.MAXIFS(Tasks[_Row],Tasks[Pred3 UID],Tasks[[#This Row],[UID]]),_xlfn.MAXIFS(Tasks[_Row],Tasks[Pred4 UID],Tasks[[#This Row],[UID]])))</f>
        <v>0</v>
      </c>
      <c r="DB12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9" s="115" t="str">
        <f aca="false">IF(NOT(Tasks[[#This Row],[_IsLeaf]]=1),"",IF(N(Tasks[[#This Row],[Duration]])&lt;=0,Tasks[[#This Row],[_LeafLateFinish]],WORKDAY.INTL(Tasks[[#This Row],[_LeafLateFinish]],-(Tasks[[#This Row],[Duration]]-1),WorkWeek,Holidays)))</f>
        <v/>
      </c>
      <c r="DE12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9" s="114" t="b">
        <f aca="false">AND(Tasks[[#This Row],[_IsLeaf]]=1,Tasks[[#This Row],[_LeafProgress]]&lt;1,N(Tasks[[#This Row],[_LeafTotalSlack]])&lt;=CriticalSlackDays)</f>
        <v>0</v>
      </c>
      <c r="DG129" s="38" t="n">
        <f aca="false">IF(AND(Tasks[[#This Row],[_IsLeaf]]=1,Tasks[[#This Row],[_ConstraintCode]]=1,Tasks[[#This Row],[Mode]]&lt;&gt;"Manual",N(Tasks[[#This Row],[Actual Start]])=0),MAX(0,N(Tasks[[#This Row],[Free Slack]])),0)</f>
        <v>0</v>
      </c>
      <c r="DH129" s="115" t="str">
        <f aca="false">IF(NOT(Tasks[[#This Row],[_IsLeaf]]=1),"",IF(Tasks[[#This Row],[_AlapShift]]=0,Tasks[[#This Row],[_LeafCalcStart]],WORKDAY.INTL(Tasks[[#This Row],[_LeafCalcStart]],Tasks[[#This Row],[_AlapShift]],WorkWeek,Holidays)))</f>
        <v/>
      </c>
      <c r="DI129" s="115" t="str">
        <f aca="false">IF(NOT(Tasks[[#This Row],[_IsLeaf]]=1),"",IF(Tasks[[#This Row],[_AlapShift]]=0,Tasks[[#This Row],[_LeafCalcFinish]],WORKDAY.INTL(Tasks[[#This Row],[_LeafCalcFinish]],Tasks[[#This Row],[_AlapShift]],WorkWeek,Holidays)))</f>
        <v/>
      </c>
      <c r="DJ129" s="115" t="str">
        <f aca="false">IF(NOT(Tasks[[#This Row],[_IsLeaf]]=1),"",IF(Tasks[[#This Row],[_AlapShift]]=0,Tasks[[#This Row],[_LeafFcstStart]],WORKDAY.INTL(Tasks[[#This Row],[_LeafFcstStart]],Tasks[[#This Row],[_AlapShift]],WorkWeek,Holidays)))</f>
        <v/>
      </c>
      <c r="DK129" s="115" t="str">
        <f aca="false">IF(NOT(Tasks[[#This Row],[_IsLeaf]]=1),"",IF(Tasks[[#This Row],[_AlapShift]]=0,Tasks[[#This Row],[_LeafFcstFinish]],WORKDAY.INTL(Tasks[[#This Row],[_LeafFcstFinish]],Tasks[[#This Row],[_AlapShift]],WorkWeek,Holidays)))</f>
        <v/>
      </c>
      <c r="DL129" s="115" t="str">
        <f aca="false">IF(Tasks[[#This Row],[Task Name]]="","",IF(Tasks[[#This Row],[_IsSummary]],MIN(INDEX(Tasks[_ShownCalcStart],Tasks[[#This Row],[_Row]]+1):INDEX(Tasks[_ShownCalcStart],Tasks[[#This Row],[_Row]]+Tasks[[#This Row],[_Descendants]])),Tasks[[#This Row],[_ShownCalcStart]]))</f>
        <v/>
      </c>
      <c r="DM129" s="115" t="str">
        <f aca="false">IF(Tasks[[#This Row],[Task Name]]="","",IF(Tasks[[#This Row],[_IsSummary]],MAX(INDEX(Tasks[_ShownCalcFinish],Tasks[[#This Row],[_Row]]+1):INDEX(Tasks[_ShownCalcFinish],Tasks[[#This Row],[_Row]]+Tasks[[#This Row],[_Descendants]])),Tasks[[#This Row],[_ShownCalcFinish]]))</f>
        <v/>
      </c>
      <c r="DN12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9" s="38" t="n">
        <f aca="false">IF(AND(Tasks[[#This Row],[_IsLeaf]]=1,Tasks[[#This Row],[_LeafTotalWork]]&gt;0),NETWORKDAYS.INTL(ProjectStart,Tasks[[#This Row],[_ShownFcstStart]],WorkWeek,Holidays),0)</f>
        <v>0</v>
      </c>
      <c r="EA129" s="38" t="n">
        <f aca="false">IF(AND(Tasks[[#This Row],[_IsLeaf]]=1,Tasks[[#This Row],[_LeafTotalWork]]&gt;0),MAX(Tasks[[#This Row],[_StartWorkday]],NETWORKDAYS.INTL(ProjectStart,Tasks[[#This Row],[_ShownFcstFinish]],WorkWeek,Holidays)),0)</f>
        <v>0</v>
      </c>
      <c r="EB129" s="38" t="n">
        <f aca="false">IF(AND(Tasks[[#This Row],[_IsLeaf]]=1,Tasks[[#This Row],[_LeafTotalWork]]&gt;0),Tasks[[#This Row],[_LeafWork]]/(Tasks[[#This Row],[_FinishWorkday]]-Tasks[[#This Row],[_StartWorkday]]+1),0)</f>
        <v>0</v>
      </c>
      <c r="EC129" s="38" t="n">
        <f aca="false">Tasks[[#This Row],[_WorkPerWorkday]]*(Tasks[[#This Row],[_StartWorkday]]-1)</f>
        <v>-0</v>
      </c>
      <c r="ED129" s="38" t="n">
        <f aca="false">IF(Tasks[[#This Row],[_IsLeaf]]=1,MAX(N(Tasks[[#This Row],[Duration]]),0.1),0)</f>
        <v>0</v>
      </c>
      <c r="EE129" s="38" t="n">
        <f aca="false">Tasks[[#This Row],[_WeightDur]]*Tasks[[#This Row],[_LeafProgress]]</f>
        <v>0</v>
      </c>
      <c r="EF12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9" s="38" t="str">
        <f aca="false">IF(AND(Tasks[[#This Row],[_IsLeaf]]=1,N(Tasks[[#This Row],[Duration]])=0,Tasks[[#This Row],[_LeafProgress]]&lt;1),Tasks[[#This Row],[_ShownFcstFinish]]+Tasks[[#This Row],[_Row]]/100000,"")</f>
        <v/>
      </c>
      <c r="EH12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9" s="38" t="n">
        <f aca="false">IF(NOT(Tasks[[#This Row],[_IsLeaf]]=1),0,IF(Tasks[[#This Row],[Baseline Cost]]="",Tasks[[#This Row],[_LeafTotalCost]],N(Tasks[[#This Row],[Baseline Cost]])))</f>
        <v>0</v>
      </c>
      <c r="EJ129" s="38" t="n">
        <f aca="false">Tasks[[#This Row],[_LeafBudget]]*Tasks[[#This Row],[_PlannedPct]]</f>
        <v>0</v>
      </c>
      <c r="EK129" s="38" t="n">
        <f aca="false">Tasks[[#This Row],[_LeafBudget]]*Tasks[[#This Row],[_LeafProgress]]</f>
        <v>0</v>
      </c>
      <c r="EL129" s="38" t="n">
        <f aca="false">IF(NOT(Tasks[[#This Row],[_IsLeaf]]=1),0,IF(Tasks[[#This Row],[Actual Cost]]="",Tasks[[#This Row],[_LeafTotalCost]]*Tasks[[#This Row],[_LeafProgress]],N(Tasks[[#This Row],[Actual Cost]])))</f>
        <v>0</v>
      </c>
      <c r="EM129" s="38" t="str">
        <f aca="false">IF(Tasks[[#This Row],[Task Name]]="","",LEFT(Tasks[[#This Row],[WBS]],FIND(".",Tasks[[#This Row],[WBS]]&amp;".")-1))</f>
        <v/>
      </c>
      <c r="EN129" s="38" t="str">
        <f aca="false">IF(AND(Tasks[[#This Row],[Task Name]]&lt;&gt;"",Tasks[[#This Row],[_Level]]=1),Tasks[[#This Row],[_Row]],"")</f>
        <v/>
      </c>
      <c r="EO129" s="38" t="str">
        <f aca="false">IF(AND(Tasks[[#This Row],[_IsLeaf]]=1,N(Tasks[[#This Row],[Duration]])=0),Tasks[[#This Row],[Planned Finish]]+Tasks[[#This Row],[_Row]]/100000,"")</f>
        <v/>
      </c>
      <c r="EP129" s="38" t="str">
        <f aca="false">IF(AND(Tasks[[#This Row],[_IsLeaf]]=1,Tasks[[#This Row],[_LeafProgress]]&lt;1,OR(N(Tasks[[#This Row],[Finish Var]])&gt;0,Tasks[[#This Row],[Status]]="Late Start")),MAX(0,Tasks[[#This Row],[Finish Var]])+1-Tasks[[#This Row],[_Row]]/1000000,"")</f>
        <v/>
      </c>
      <c r="EQ129" s="38" t="str">
        <f aca="false">IF(AND(Tasks[[#This Row],[_IsLeaf]]=1,N(Tasks[[#This Row],[Actual Start]])=0,Tasks[[#This Row],[_ShownFcstStart]]&gt;=StatusDate,Tasks[[#This Row],[_ShownFcstStart]]&lt;=LookaheadEnd),Tasks[[#This Row],[_ShownFcstStart]]+Tasks[[#This Row],[_Row]]/100000,"")</f>
        <v/>
      </c>
      <c r="ER129" s="38" t="str">
        <f aca="false">IF(AND(Tasks[[#This Row],[_IsLeaf]]=1,Tasks[[#This Row],[_LeafProgress]]&lt;1,Tasks[[#This Row],[_ShownFcstFinish]]&gt;=StatusDate,Tasks[[#This Row],[_ShownFcstFinish]]&lt;=LookaheadEnd),Tasks[[#This Row],[_ShownFcstFinish]]+Tasks[[#This Row],[_Row]]/100000,"")</f>
        <v/>
      </c>
      <c r="ES129" s="38" t="str">
        <f aca="false">IF(Tasks[[#This Row],[_LeafCritical]],Tasks[[#This Row],[_ShownFcstStart]]+Tasks[[#This Row],[_Row]]/100000,"")</f>
        <v/>
      </c>
      <c r="ET129" s="38" t="n">
        <f aca="false">Tasks[[#This Row],[_LeafWork]]*Tasks[[#This Row],[_LeafProgress]]</f>
        <v>0</v>
      </c>
      <c r="EU129" s="115" t="str">
        <f aca="false">IF(AND(Tasks[[#This Row],[_IsLeaf]]=1,Tasks[[#This Row],[_LeafProgress]]&gt;=1),IF(N(Tasks[[#This Row],[Actual Finish]])&gt;0,Tasks[[#This Row],[Actual Finish]],Tasks[[#This Row],[_ShownFcstFinish]]),"")</f>
        <v/>
      </c>
      <c r="EV129" s="38" t="n">
        <f aca="false">IF(Tasks[[#This Row],[_IsLeaf]]=1,N(Tasks[[#This Row],[Story Points]]),0)</f>
        <v>0</v>
      </c>
      <c r="EW129" s="38" t="str">
        <f aca="false">IF(AND(Tasks[[#This Row],[_IsLeaf]]=1,CurrentSprint&lt;&gt;"",Tasks[[#This Row],[Sprint]]=CurrentSprint),Tasks[[#This Row],[_Row]],"")</f>
        <v/>
      </c>
    </row>
    <row r="130" customFormat="false" ht="15" hidden="false" customHeight="false" outlineLevel="0" collapsed="false">
      <c r="A130" s="51" t="str">
        <f aca="false">IF(Tasks[[#This Row],[Task Name]]="","",COUNTA(Tasks[[#Headers],[Task Name]]:Tasks[[#This Row],[Task Name]])-1)</f>
        <v/>
      </c>
      <c r="B130" s="52" t="n">
        <v>125</v>
      </c>
      <c r="C13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52"/>
      <c r="E130" s="53"/>
      <c r="F130" s="52"/>
      <c r="G130" s="52"/>
      <c r="H130" s="52"/>
      <c r="I130" s="52"/>
      <c r="J130" s="52"/>
      <c r="K130" s="52"/>
      <c r="L130" s="52"/>
      <c r="M130" s="52"/>
      <c r="N130" s="52"/>
      <c r="O130" s="52"/>
      <c r="P130" s="52"/>
      <c r="Q130" s="52"/>
      <c r="R130" s="52"/>
      <c r="S130" s="53"/>
      <c r="T130" s="102"/>
      <c r="U130" s="102"/>
      <c r="V130" s="7"/>
      <c r="W130" s="7"/>
      <c r="X130" s="53"/>
      <c r="Y130" s="31" t="str">
        <f aca="false">IF(Tasks[[#This Row],[Task Name]]="","",IF(Tasks[[#This Row],[_IsSummary]],MIN(INDEX(Tasks[_ShownFcstStart],Tasks[[#This Row],[_Row]]+1):INDEX(Tasks[_ShownFcstStart],Tasks[[#This Row],[_Row]]+Tasks[[#This Row],[_Descendants]])),Tasks[[#This Row],[_ShownFcstStart]]))</f>
        <v/>
      </c>
      <c r="Z130" s="31" t="str">
        <f aca="false">IF(Tasks[[#This Row],[Task Name]]="","",IF(Tasks[[#This Row],[_IsSummary]],MAX(INDEX(Tasks[_ShownFcstFinish],Tasks[[#This Row],[_Row]]+1):INDEX(Tasks[_ShownFcstFinish],Tasks[[#This Row],[_Row]]+Tasks[[#This Row],[_Descendants]])),Tasks[[#This Row],[_ShownFcstFinish]]))</f>
        <v/>
      </c>
      <c r="AA130" s="51" t="str">
        <f aca="false">IF(Tasks[[#This Row],[Task Name]]="","",IF(Tasks[[#This Row],[Progress]]&gt;=1,"Complete",IF(OR(N(Tasks[[#This Row],[Actual Start]])&gt;0,Tasks[[#This Row],[Progress]]&gt;0),IF(Tasks[[#This Row],[Finish Var]]&gt;0,"Behind","In Progress"),IF(Tasks[[#This Row],[Planned Start]]&lt;StatusDate,"Late Start","Not Started"))))</f>
        <v/>
      </c>
      <c r="AB130" s="51" t="str">
        <f aca="false">IF(Tasks[[#This Row],[Task Name]]="","",IF(IF(Tasks[[#This Row],[_IsSummary]],COUNTIF(INDEX(Tasks[_LeafCritical],Tasks[[#This Row],[_Row]]+1):INDEX(Tasks[_LeafCritical],Tasks[[#This Row],[_Row]]+Tasks[[#This Row],[_Descendants]]),TRUE())&gt;0,Tasks[[#This Row],[_LeafCritical]]),"Yes",""))</f>
        <v/>
      </c>
      <c r="AC13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0" s="51" t="str">
        <f aca="false">IF(Tasks[[#This Row],[Task Name]]="","",IF(Tasks[[#This Row],[_Level]]&lt;=OutlineShowLevel,"Yes","No"))</f>
        <v/>
      </c>
      <c r="AE130" s="7"/>
      <c r="AF130" s="52"/>
      <c r="AG130" s="53"/>
      <c r="AH130" s="7"/>
      <c r="AI13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0" s="31" t="str">
        <f aca="false">IF(Tasks[[#This Row],[Task Name]]="","",IF(N(Tasks[[#This Row],[Baseline Start]])&gt;0,Tasks[[#This Row],[Baseline Start]],Tasks[[#This Row],[_CalcStart]]))</f>
        <v/>
      </c>
      <c r="AK130" s="31" t="str">
        <f aca="false">IF(Tasks[[#This Row],[Task Name]]="","",IF(N(Tasks[[#This Row],[Baseline Finish]])&gt;0,Tasks[[#This Row],[Baseline Finish]],Tasks[[#This Row],[_CalcFinish]]))</f>
        <v/>
      </c>
      <c r="AL13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0" s="31" t="str">
        <f aca="false">IF(Tasks[[#This Row],[Task Name]]="","",IF(Tasks[[#This Row],[_IsSummary]],MIN(INDEX(Tasks[_LeafLateStart],Tasks[[#This Row],[_Row]]+1):INDEX(Tasks[_LeafLateStart],Tasks[[#This Row],[_Row]]+Tasks[[#This Row],[_Descendants]])),Tasks[[#This Row],[_LeafLateStart]]))</f>
        <v/>
      </c>
      <c r="AN130" s="31" t="str">
        <f aca="false">IF(Tasks[[#This Row],[Task Name]]="","",IF(Tasks[[#This Row],[_IsSummary]],MAX(INDEX(Tasks[_LeafLateFinish],Tasks[[#This Row],[_Row]]+1):INDEX(Tasks[_LeafLateFinish],Tasks[[#This Row],[_Row]]+Tasks[[#This Row],[_Descendants]])),Tasks[[#This Row],[_LeafLateFinish]]))</f>
        <v/>
      </c>
      <c r="AO130" s="51" t="str">
        <f aca="false">IF(Tasks[[#This Row],[Task Name]]="","",IF(Tasks[[#This Row],[_IsSummary]],MIN(INDEX(Tasks[_LeafTotalSlack],Tasks[[#This Row],[_Row]]+1):INDEX(Tasks[_LeafTotalSlack],Tasks[[#This Row],[_Row]]+Tasks[[#This Row],[_Descendants]])),Tasks[[#This Row],[_LeafTotalSlack]]))</f>
        <v/>
      </c>
      <c r="AP13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0" s="110" t="str">
        <f aca="false">IF(Tasks[[#This Row],[Task Name]]="","",IF(Tasks[[#This Row],[_IsSummary]],SUM(INDEX(Tasks[_LeafTotalWork],Tasks[[#This Row],[_Row]]+1):INDEX(Tasks[_LeafTotalWork],Tasks[[#This Row],[_Row]]+Tasks[[#This Row],[_Descendants]])),Tasks[[#This Row],[_LeafTotalWork]]))</f>
        <v/>
      </c>
      <c r="AV13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0" s="111" t="str">
        <f aca="false">IF(Tasks[[#This Row],[Task Name]]="","",IF(Tasks[[#This Row],[_IsSummary]],SUM(INDEX(Tasks[_LeafTotalCost],Tasks[[#This Row],[_Row]]+1):INDEX(Tasks[_LeafTotalCost],Tasks[[#This Row],[_Row]]+Tasks[[#This Row],[_Descendants]])),Tasks[[#This Row],[_LeafTotalCost]]))</f>
        <v/>
      </c>
      <c r="AY130" s="112"/>
      <c r="AZ13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0" s="52"/>
      <c r="BB130" s="98"/>
      <c r="BC130" s="51" t="str">
        <f aca="false">IF(OR(Tasks[[#This Row],[Task Name]]="",Tasks[[#This Row],[Baseline Duration]]=""),"",Tasks[[#This Row],[BL Source Duration]]-N(Tasks[[#This Row],[Baseline Duration]]))</f>
        <v/>
      </c>
      <c r="BD130" s="110" t="str">
        <f aca="false">IF(OR(Tasks[[#This Row],[Task Name]]="",Tasks[[#This Row],[Baseline Work]]=""),"",Tasks[[#This Row],[Work]]-N(Tasks[[#This Row],[Baseline Work]]))</f>
        <v/>
      </c>
      <c r="BE130" s="111" t="str">
        <f aca="false">IF(OR(Tasks[[#This Row],[Task Name]]="",Tasks[[#This Row],[Baseline Cost]]=""),"",Tasks[[#This Row],[Cost]]-N(Tasks[[#This Row],[Baseline Cost]]))</f>
        <v/>
      </c>
      <c r="BF130" s="31" t="str">
        <f aca="false">IF(Tasks[[#This Row],[Task Name]]="","",Tasks[[#This Row],[Forecast Start]])</f>
        <v/>
      </c>
      <c r="BG130" s="31" t="str">
        <f aca="false">IF(Tasks[[#This Row],[Task Name]]="","",Tasks[[#This Row],[Forecast Finish]])</f>
        <v/>
      </c>
      <c r="BH130" s="51" t="str">
        <f aca="false">IF(Tasks[[#This Row],[Task Name]]="","",IF(Tasks[[#This Row],[_IsSummary]],NETWORKDAYS.INTL(Tasks[[#This Row],[Forecast Start]],Tasks[[#This Row],[Forecast Finish]],WorkWeek,Holidays),N(Tasks[[#This Row],[Duration]])))</f>
        <v/>
      </c>
      <c r="BI130" s="110" t="str">
        <f aca="false">IF(Tasks[[#This Row],[Task Name]]="","",Tasks[[#This Row],[Work]])</f>
        <v/>
      </c>
      <c r="BJ130" s="111" t="str">
        <f aca="false">IF(Tasks[[#This Row],[Task Name]]="","",Tasks[[#This Row],[Cost]])</f>
        <v/>
      </c>
      <c r="BK130" s="7"/>
      <c r="BL130" s="7"/>
      <c r="BM130" s="52"/>
      <c r="BN130" s="113"/>
      <c r="BO130" s="112"/>
      <c r="BP130" s="111" t="str">
        <f aca="false">IF(Tasks[[#This Row],[Task Name]]="","",IF(Tasks[[#This Row],[_IsSummary]],SUM(INDEX(Tasks[_LeafEV],Tasks[[#This Row],[_Row]]+1):INDEX(Tasks[_LeafEV],Tasks[[#This Row],[_Row]]+Tasks[[#This Row],[_Descendants]])),Tasks[[#This Row],[_LeafEV]]))</f>
        <v/>
      </c>
      <c r="BQ130" s="111" t="str">
        <f aca="false">IF(Tasks[[#This Row],[Task Name]]="","",IF(Tasks[[#This Row],[_IsSummary]],SUM(INDEX(Tasks[_LeafBudget],Tasks[[#This Row],[_Row]]+1):INDEX(Tasks[_LeafBudget],Tasks[[#This Row],[_Row]]+Tasks[[#This Row],[_Descendants]])),Tasks[[#This Row],[_LeafBudget]]))</f>
        <v/>
      </c>
      <c r="BR130" s="111" t="str">
        <f aca="false">IF(Tasks[[#This Row],[Task Name]]="","",IF(Tasks[[#This Row],[_IsSummary]],SUM(INDEX(Tasks[_LeafPV],Tasks[[#This Row],[_Row]]+1):INDEX(Tasks[_LeafPV],Tasks[[#This Row],[_Row]]+Tasks[[#This Row],[_Descendants]])),Tasks[[#This Row],[_LeafPV]]))</f>
        <v/>
      </c>
      <c r="BS130" s="111" t="str">
        <f aca="false">IF(Tasks[[#This Row],[Task Name]]="","",IF(Tasks[[#This Row],[_IsSummary]],SUM(INDEX(Tasks[_LeafAC],Tasks[[#This Row],[_Row]]+1):INDEX(Tasks[_LeafAC],Tasks[[#This Row],[_Row]]+Tasks[[#This Row],[_Descendants]])),Tasks[[#This Row],[_LeafAC]]))</f>
        <v/>
      </c>
      <c r="BT130" s="38" t="str">
        <f aca="false">IF(Tasks[[#This Row],[Task Name]]="","",MAX(1,N(Tasks[[#This Row],[Level]])))</f>
        <v/>
      </c>
      <c r="BU130" s="38" t="n">
        <f aca="false">ROW()-ROW(Tasks[[#Headers],[ID]])</f>
        <v>125</v>
      </c>
      <c r="BV130" s="38" t="n">
        <f aca="false">IF(OR(Tasks[[#This Row],[Task Name]]="",Tasks[[#This Row],[_Level]]&lt;=1),0,IFERROR(LOOKUP(2,1/(Tasks[[#Headers],[_Level]]:Tasks[[#This Row],[_Level]]=Tasks[[#This Row],[_Level]]-1),ROW(Tasks[[#Headers],[_Level]]:Tasks[[#This Row],[_Level]])),0))</f>
        <v>0</v>
      </c>
      <c r="BW130" s="38" t="n">
        <f aca="false">IFERROR(N(INDEX(Tasks[_Level],Tasks[[#This Row],[_Row]]+1)),0)</f>
        <v>0</v>
      </c>
      <c r="BX130" s="114" t="b">
        <f aca="false">AND(Tasks[[#This Row],[Task Name]]&lt;&gt;"",Tasks[[#This Row],[_NextLevel]]&gt;Tasks[[#This Row],[_Level]])</f>
        <v>0</v>
      </c>
      <c r="BY130" s="38" t="n">
        <f aca="false">IF(Tasks[[#This Row],[_IsSummary]],COUNTIF(Tasks[WBS],Tasks[[#This Row],[WBS]]&amp;".*"),0)</f>
        <v>0</v>
      </c>
      <c r="BZ130" s="38" t="n">
        <f aca="false">IF(AND(Tasks[[#This Row],[Task Name]]&lt;&gt;"",NOT(Tasks[[#This Row],[_IsSummary]])),1,0)</f>
        <v>0</v>
      </c>
      <c r="CA130" s="38" t="n">
        <f aca="false">IF(N(Tasks[[#This Row],[Pred1 UID]])=0,0,IFERROR(MATCH(Tasks[[#This Row],[Pred1 UID]],Tasks[UID],0),-1))</f>
        <v>0</v>
      </c>
      <c r="CB130" s="38" t="n">
        <f aca="false">IF(N(Tasks[[#This Row],[Pred2 UID]])=0,0,IFERROR(MATCH(Tasks[[#This Row],[Pred2 UID]],Tasks[UID],0),-1))</f>
        <v>0</v>
      </c>
      <c r="CC130" s="38" t="n">
        <f aca="false">IF(N(Tasks[[#This Row],[Pred3 UID]])=0,0,IFERROR(MATCH(Tasks[[#This Row],[Pred3 UID]],Tasks[UID],0),-1))</f>
        <v>0</v>
      </c>
      <c r="CD130" s="38" t="n">
        <f aca="false">IF(N(Tasks[[#This Row],[Pred4 UID]])=0,0,IFERROR(MATCH(Tasks[[#This Row],[Pred4 UID]],Tasks[UID],0),-1))</f>
        <v>0</v>
      </c>
      <c r="CE13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0" s="115" t="n">
        <f aca="false">IF(OR(Tasks[[#This Row],[_ConstraintCode]]=2,Tasks[[#This Row],[_ConstraintCode]]=3,Tasks[[#This Row],[_ConstraintCode]]=4,Tasks[[#This Row],[_ConstraintCode]]=6),Tasks[[#This Row],[_ConstraintStart]],0)</f>
        <v>0</v>
      </c>
      <c r="CH130" s="115" t="n">
        <f aca="false">IF(OR(Tasks[[#This Row],[_ConstraintCode]]=2,Tasks[[#This Row],[_ConstraintCode]]=3,Tasks[[#This Row],[_ConstraintCode]]=5,Tasks[[#This Row],[_ConstraintCode]]=7),Tasks[[#This Row],[_ConstraintStart]],2958465)</f>
        <v>2958465</v>
      </c>
      <c r="CI13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0" s="115" t="str">
        <f aca="false">IF(NOT(Tasks[[#This Row],[_IsLeaf]]=1),"",IF(N(Tasks[[#This Row],[Duration]])&lt;=0,Tasks[[#This Row],[_LeafCalcStart]],WORKDAY.INTL(Tasks[[#This Row],[_LeafCalcStart]],Tasks[[#This Row],[Duration]]-1,WorkWeek,Holidays)))</f>
        <v/>
      </c>
      <c r="CK13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0" s="38" t="n">
        <f aca="false">IF(NOT(Tasks[[#This Row],[_IsLeaf]]=1),0,IF(N(Tasks[[#This Row],[Actual Finish]])&gt;0,1,MIN(1,N(Tasks[[#This Row],[% Complete]]))))</f>
        <v>0</v>
      </c>
      <c r="CN130" s="38" t="n">
        <f aca="false">IF(OR(NOT(Tasks[[#This Row],[_IsLeaf]]=1),Tasks[[#This Row],[Resource]]=""),0,N(Tasks[[#This Row],[Duration]])*HoursPerDay*IF(Tasks[[#This Row],[Units]]="",DefaultUnits,Tasks[[#This Row],[Units]]))</f>
        <v>0</v>
      </c>
      <c r="CO130" s="38" t="n">
        <f aca="false">IF(Tasks[[#This Row],[_LeafWork]]=0,0,Tasks[[#This Row],[_LeafWork]]*IFERROR(INDEX(res_Rate,MATCH(Tasks[[#This Row],[Resource]],res_Name,0)),0))</f>
        <v>0</v>
      </c>
      <c r="CP130" s="38" t="n">
        <f aca="false">Tasks[[#This Row],[_LeafWork]]+IF(Tasks[[#This Row],[_IsLeaf]]=1,SUMIFS(asg_Work,asg_TaskUID,Tasks[[#This Row],[UID]],asg_Valid,1),0)</f>
        <v>0</v>
      </c>
      <c r="CQ130" s="38" t="n">
        <f aca="false">Tasks[[#This Row],[_LeafCost]]+IF(Tasks[[#This Row],[_IsLeaf]]=1,SUMIFS(asg_Cost,asg_TaskUID,Tasks[[#This Row],[UID]],asg_Valid,1),0)</f>
        <v>0</v>
      </c>
      <c r="CR130" s="38" t="n">
        <f aca="false">IF(Tasks[[#This Row],[_LeafTotalCost]]=0,Tasks[[#This Row],[_LeafAC]],Tasks[[#This Row],[_LeafAC]]*Tasks[[#This Row],[_LeafCost]]/Tasks[[#This Row],[_LeafTotalCost]])</f>
        <v>0</v>
      </c>
      <c r="CS13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0" s="38" t="n">
        <f aca="false">IF(NOT(Tasks[[#This Row],[_IsLeaf]]=1),0,MAX(_xlfn.MAXIFS(Tasks[_Row],Tasks[Pred1 UID],Tasks[[#This Row],[UID]]),_xlfn.MAXIFS(Tasks[_Row],Tasks[Pred2 UID],Tasks[[#This Row],[UID]]),_xlfn.MAXIFS(Tasks[_Row],Tasks[Pred3 UID],Tasks[[#This Row],[UID]]),_xlfn.MAXIFS(Tasks[_Row],Tasks[Pred4 UID],Tasks[[#This Row],[UID]])))</f>
        <v>0</v>
      </c>
      <c r="DB13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0" s="115" t="str">
        <f aca="false">IF(NOT(Tasks[[#This Row],[_IsLeaf]]=1),"",IF(N(Tasks[[#This Row],[Duration]])&lt;=0,Tasks[[#This Row],[_LeafLateFinish]],WORKDAY.INTL(Tasks[[#This Row],[_LeafLateFinish]],-(Tasks[[#This Row],[Duration]]-1),WorkWeek,Holidays)))</f>
        <v/>
      </c>
      <c r="DE13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0" s="114" t="b">
        <f aca="false">AND(Tasks[[#This Row],[_IsLeaf]]=1,Tasks[[#This Row],[_LeafProgress]]&lt;1,N(Tasks[[#This Row],[_LeafTotalSlack]])&lt;=CriticalSlackDays)</f>
        <v>0</v>
      </c>
      <c r="DG130" s="38" t="n">
        <f aca="false">IF(AND(Tasks[[#This Row],[_IsLeaf]]=1,Tasks[[#This Row],[_ConstraintCode]]=1,Tasks[[#This Row],[Mode]]&lt;&gt;"Manual",N(Tasks[[#This Row],[Actual Start]])=0),MAX(0,N(Tasks[[#This Row],[Free Slack]])),0)</f>
        <v>0</v>
      </c>
      <c r="DH130" s="115" t="str">
        <f aca="false">IF(NOT(Tasks[[#This Row],[_IsLeaf]]=1),"",IF(Tasks[[#This Row],[_AlapShift]]=0,Tasks[[#This Row],[_LeafCalcStart]],WORKDAY.INTL(Tasks[[#This Row],[_LeafCalcStart]],Tasks[[#This Row],[_AlapShift]],WorkWeek,Holidays)))</f>
        <v/>
      </c>
      <c r="DI130" s="115" t="str">
        <f aca="false">IF(NOT(Tasks[[#This Row],[_IsLeaf]]=1),"",IF(Tasks[[#This Row],[_AlapShift]]=0,Tasks[[#This Row],[_LeafCalcFinish]],WORKDAY.INTL(Tasks[[#This Row],[_LeafCalcFinish]],Tasks[[#This Row],[_AlapShift]],WorkWeek,Holidays)))</f>
        <v/>
      </c>
      <c r="DJ130" s="115" t="str">
        <f aca="false">IF(NOT(Tasks[[#This Row],[_IsLeaf]]=1),"",IF(Tasks[[#This Row],[_AlapShift]]=0,Tasks[[#This Row],[_LeafFcstStart]],WORKDAY.INTL(Tasks[[#This Row],[_LeafFcstStart]],Tasks[[#This Row],[_AlapShift]],WorkWeek,Holidays)))</f>
        <v/>
      </c>
      <c r="DK130" s="115" t="str">
        <f aca="false">IF(NOT(Tasks[[#This Row],[_IsLeaf]]=1),"",IF(Tasks[[#This Row],[_AlapShift]]=0,Tasks[[#This Row],[_LeafFcstFinish]],WORKDAY.INTL(Tasks[[#This Row],[_LeafFcstFinish]],Tasks[[#This Row],[_AlapShift]],WorkWeek,Holidays)))</f>
        <v/>
      </c>
      <c r="DL130" s="115" t="str">
        <f aca="false">IF(Tasks[[#This Row],[Task Name]]="","",IF(Tasks[[#This Row],[_IsSummary]],MIN(INDEX(Tasks[_ShownCalcStart],Tasks[[#This Row],[_Row]]+1):INDEX(Tasks[_ShownCalcStart],Tasks[[#This Row],[_Row]]+Tasks[[#This Row],[_Descendants]])),Tasks[[#This Row],[_ShownCalcStart]]))</f>
        <v/>
      </c>
      <c r="DM130" s="115" t="str">
        <f aca="false">IF(Tasks[[#This Row],[Task Name]]="","",IF(Tasks[[#This Row],[_IsSummary]],MAX(INDEX(Tasks[_ShownCalcFinish],Tasks[[#This Row],[_Row]]+1):INDEX(Tasks[_ShownCalcFinish],Tasks[[#This Row],[_Row]]+Tasks[[#This Row],[_Descendants]])),Tasks[[#This Row],[_ShownCalcFinish]]))</f>
        <v/>
      </c>
      <c r="DN13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0" s="38" t="n">
        <f aca="false">IF(AND(Tasks[[#This Row],[_IsLeaf]]=1,Tasks[[#This Row],[_LeafTotalWork]]&gt;0),NETWORKDAYS.INTL(ProjectStart,Tasks[[#This Row],[_ShownFcstStart]],WorkWeek,Holidays),0)</f>
        <v>0</v>
      </c>
      <c r="EA130" s="38" t="n">
        <f aca="false">IF(AND(Tasks[[#This Row],[_IsLeaf]]=1,Tasks[[#This Row],[_LeafTotalWork]]&gt;0),MAX(Tasks[[#This Row],[_StartWorkday]],NETWORKDAYS.INTL(ProjectStart,Tasks[[#This Row],[_ShownFcstFinish]],WorkWeek,Holidays)),0)</f>
        <v>0</v>
      </c>
      <c r="EB130" s="38" t="n">
        <f aca="false">IF(AND(Tasks[[#This Row],[_IsLeaf]]=1,Tasks[[#This Row],[_LeafTotalWork]]&gt;0),Tasks[[#This Row],[_LeafWork]]/(Tasks[[#This Row],[_FinishWorkday]]-Tasks[[#This Row],[_StartWorkday]]+1),0)</f>
        <v>0</v>
      </c>
      <c r="EC130" s="38" t="n">
        <f aca="false">Tasks[[#This Row],[_WorkPerWorkday]]*(Tasks[[#This Row],[_StartWorkday]]-1)</f>
        <v>-0</v>
      </c>
      <c r="ED130" s="38" t="n">
        <f aca="false">IF(Tasks[[#This Row],[_IsLeaf]]=1,MAX(N(Tasks[[#This Row],[Duration]]),0.1),0)</f>
        <v>0</v>
      </c>
      <c r="EE130" s="38" t="n">
        <f aca="false">Tasks[[#This Row],[_WeightDur]]*Tasks[[#This Row],[_LeafProgress]]</f>
        <v>0</v>
      </c>
      <c r="EF13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0" s="38" t="str">
        <f aca="false">IF(AND(Tasks[[#This Row],[_IsLeaf]]=1,N(Tasks[[#This Row],[Duration]])=0,Tasks[[#This Row],[_LeafProgress]]&lt;1),Tasks[[#This Row],[_ShownFcstFinish]]+Tasks[[#This Row],[_Row]]/100000,"")</f>
        <v/>
      </c>
      <c r="EH13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0" s="38" t="n">
        <f aca="false">IF(NOT(Tasks[[#This Row],[_IsLeaf]]=1),0,IF(Tasks[[#This Row],[Baseline Cost]]="",Tasks[[#This Row],[_LeafTotalCost]],N(Tasks[[#This Row],[Baseline Cost]])))</f>
        <v>0</v>
      </c>
      <c r="EJ130" s="38" t="n">
        <f aca="false">Tasks[[#This Row],[_LeafBudget]]*Tasks[[#This Row],[_PlannedPct]]</f>
        <v>0</v>
      </c>
      <c r="EK130" s="38" t="n">
        <f aca="false">Tasks[[#This Row],[_LeafBudget]]*Tasks[[#This Row],[_LeafProgress]]</f>
        <v>0</v>
      </c>
      <c r="EL130" s="38" t="n">
        <f aca="false">IF(NOT(Tasks[[#This Row],[_IsLeaf]]=1),0,IF(Tasks[[#This Row],[Actual Cost]]="",Tasks[[#This Row],[_LeafTotalCost]]*Tasks[[#This Row],[_LeafProgress]],N(Tasks[[#This Row],[Actual Cost]])))</f>
        <v>0</v>
      </c>
      <c r="EM130" s="38" t="str">
        <f aca="false">IF(Tasks[[#This Row],[Task Name]]="","",LEFT(Tasks[[#This Row],[WBS]],FIND(".",Tasks[[#This Row],[WBS]]&amp;".")-1))</f>
        <v/>
      </c>
      <c r="EN130" s="38" t="str">
        <f aca="false">IF(AND(Tasks[[#This Row],[Task Name]]&lt;&gt;"",Tasks[[#This Row],[_Level]]=1),Tasks[[#This Row],[_Row]],"")</f>
        <v/>
      </c>
      <c r="EO130" s="38" t="str">
        <f aca="false">IF(AND(Tasks[[#This Row],[_IsLeaf]]=1,N(Tasks[[#This Row],[Duration]])=0),Tasks[[#This Row],[Planned Finish]]+Tasks[[#This Row],[_Row]]/100000,"")</f>
        <v/>
      </c>
      <c r="EP130" s="38" t="str">
        <f aca="false">IF(AND(Tasks[[#This Row],[_IsLeaf]]=1,Tasks[[#This Row],[_LeafProgress]]&lt;1,OR(N(Tasks[[#This Row],[Finish Var]])&gt;0,Tasks[[#This Row],[Status]]="Late Start")),MAX(0,Tasks[[#This Row],[Finish Var]])+1-Tasks[[#This Row],[_Row]]/1000000,"")</f>
        <v/>
      </c>
      <c r="EQ130" s="38" t="str">
        <f aca="false">IF(AND(Tasks[[#This Row],[_IsLeaf]]=1,N(Tasks[[#This Row],[Actual Start]])=0,Tasks[[#This Row],[_ShownFcstStart]]&gt;=StatusDate,Tasks[[#This Row],[_ShownFcstStart]]&lt;=LookaheadEnd),Tasks[[#This Row],[_ShownFcstStart]]+Tasks[[#This Row],[_Row]]/100000,"")</f>
        <v/>
      </c>
      <c r="ER130" s="38" t="str">
        <f aca="false">IF(AND(Tasks[[#This Row],[_IsLeaf]]=1,Tasks[[#This Row],[_LeafProgress]]&lt;1,Tasks[[#This Row],[_ShownFcstFinish]]&gt;=StatusDate,Tasks[[#This Row],[_ShownFcstFinish]]&lt;=LookaheadEnd),Tasks[[#This Row],[_ShownFcstFinish]]+Tasks[[#This Row],[_Row]]/100000,"")</f>
        <v/>
      </c>
      <c r="ES130" s="38" t="str">
        <f aca="false">IF(Tasks[[#This Row],[_LeafCritical]],Tasks[[#This Row],[_ShownFcstStart]]+Tasks[[#This Row],[_Row]]/100000,"")</f>
        <v/>
      </c>
      <c r="ET130" s="38" t="n">
        <f aca="false">Tasks[[#This Row],[_LeafWork]]*Tasks[[#This Row],[_LeafProgress]]</f>
        <v>0</v>
      </c>
      <c r="EU130" s="115" t="str">
        <f aca="false">IF(AND(Tasks[[#This Row],[_IsLeaf]]=1,Tasks[[#This Row],[_LeafProgress]]&gt;=1),IF(N(Tasks[[#This Row],[Actual Finish]])&gt;0,Tasks[[#This Row],[Actual Finish]],Tasks[[#This Row],[_ShownFcstFinish]]),"")</f>
        <v/>
      </c>
      <c r="EV130" s="38" t="n">
        <f aca="false">IF(Tasks[[#This Row],[_IsLeaf]]=1,N(Tasks[[#This Row],[Story Points]]),0)</f>
        <v>0</v>
      </c>
      <c r="EW130" s="38" t="str">
        <f aca="false">IF(AND(Tasks[[#This Row],[_IsLeaf]]=1,CurrentSprint&lt;&gt;"",Tasks[[#This Row],[Sprint]]=CurrentSprint),Tasks[[#This Row],[_Row]],"")</f>
        <v/>
      </c>
    </row>
    <row r="131" customFormat="false" ht="15" hidden="false" customHeight="false" outlineLevel="0" collapsed="false">
      <c r="A131" s="51" t="str">
        <f aca="false">IF(Tasks[[#This Row],[Task Name]]="","",COUNTA(Tasks[[#Headers],[Task Name]]:Tasks[[#This Row],[Task Name]])-1)</f>
        <v/>
      </c>
      <c r="B131" s="52" t="n">
        <v>126</v>
      </c>
      <c r="C13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52"/>
      <c r="E131" s="53"/>
      <c r="F131" s="52"/>
      <c r="G131" s="52"/>
      <c r="H131" s="52"/>
      <c r="I131" s="52"/>
      <c r="J131" s="52"/>
      <c r="K131" s="52"/>
      <c r="L131" s="52"/>
      <c r="M131" s="52"/>
      <c r="N131" s="52"/>
      <c r="O131" s="52"/>
      <c r="P131" s="52"/>
      <c r="Q131" s="52"/>
      <c r="R131" s="52"/>
      <c r="S131" s="53"/>
      <c r="T131" s="102"/>
      <c r="U131" s="102"/>
      <c r="V131" s="7"/>
      <c r="W131" s="7"/>
      <c r="X131" s="53"/>
      <c r="Y131" s="31" t="str">
        <f aca="false">IF(Tasks[[#This Row],[Task Name]]="","",IF(Tasks[[#This Row],[_IsSummary]],MIN(INDEX(Tasks[_ShownFcstStart],Tasks[[#This Row],[_Row]]+1):INDEX(Tasks[_ShownFcstStart],Tasks[[#This Row],[_Row]]+Tasks[[#This Row],[_Descendants]])),Tasks[[#This Row],[_ShownFcstStart]]))</f>
        <v/>
      </c>
      <c r="Z131" s="31" t="str">
        <f aca="false">IF(Tasks[[#This Row],[Task Name]]="","",IF(Tasks[[#This Row],[_IsSummary]],MAX(INDEX(Tasks[_ShownFcstFinish],Tasks[[#This Row],[_Row]]+1):INDEX(Tasks[_ShownFcstFinish],Tasks[[#This Row],[_Row]]+Tasks[[#This Row],[_Descendants]])),Tasks[[#This Row],[_ShownFcstFinish]]))</f>
        <v/>
      </c>
      <c r="AA131" s="51" t="str">
        <f aca="false">IF(Tasks[[#This Row],[Task Name]]="","",IF(Tasks[[#This Row],[Progress]]&gt;=1,"Complete",IF(OR(N(Tasks[[#This Row],[Actual Start]])&gt;0,Tasks[[#This Row],[Progress]]&gt;0),IF(Tasks[[#This Row],[Finish Var]]&gt;0,"Behind","In Progress"),IF(Tasks[[#This Row],[Planned Start]]&lt;StatusDate,"Late Start","Not Started"))))</f>
        <v/>
      </c>
      <c r="AB131" s="51" t="str">
        <f aca="false">IF(Tasks[[#This Row],[Task Name]]="","",IF(IF(Tasks[[#This Row],[_IsSummary]],COUNTIF(INDEX(Tasks[_LeafCritical],Tasks[[#This Row],[_Row]]+1):INDEX(Tasks[_LeafCritical],Tasks[[#This Row],[_Row]]+Tasks[[#This Row],[_Descendants]]),TRUE())&gt;0,Tasks[[#This Row],[_LeafCritical]]),"Yes",""))</f>
        <v/>
      </c>
      <c r="AC13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1" s="51" t="str">
        <f aca="false">IF(Tasks[[#This Row],[Task Name]]="","",IF(Tasks[[#This Row],[_Level]]&lt;=OutlineShowLevel,"Yes","No"))</f>
        <v/>
      </c>
      <c r="AE131" s="7"/>
      <c r="AF131" s="52"/>
      <c r="AG131" s="53"/>
      <c r="AH131" s="7"/>
      <c r="AI13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1" s="31" t="str">
        <f aca="false">IF(Tasks[[#This Row],[Task Name]]="","",IF(N(Tasks[[#This Row],[Baseline Start]])&gt;0,Tasks[[#This Row],[Baseline Start]],Tasks[[#This Row],[_CalcStart]]))</f>
        <v/>
      </c>
      <c r="AK131" s="31" t="str">
        <f aca="false">IF(Tasks[[#This Row],[Task Name]]="","",IF(N(Tasks[[#This Row],[Baseline Finish]])&gt;0,Tasks[[#This Row],[Baseline Finish]],Tasks[[#This Row],[_CalcFinish]]))</f>
        <v/>
      </c>
      <c r="AL13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1" s="31" t="str">
        <f aca="false">IF(Tasks[[#This Row],[Task Name]]="","",IF(Tasks[[#This Row],[_IsSummary]],MIN(INDEX(Tasks[_LeafLateStart],Tasks[[#This Row],[_Row]]+1):INDEX(Tasks[_LeafLateStart],Tasks[[#This Row],[_Row]]+Tasks[[#This Row],[_Descendants]])),Tasks[[#This Row],[_LeafLateStart]]))</f>
        <v/>
      </c>
      <c r="AN131" s="31" t="str">
        <f aca="false">IF(Tasks[[#This Row],[Task Name]]="","",IF(Tasks[[#This Row],[_IsSummary]],MAX(INDEX(Tasks[_LeafLateFinish],Tasks[[#This Row],[_Row]]+1):INDEX(Tasks[_LeafLateFinish],Tasks[[#This Row],[_Row]]+Tasks[[#This Row],[_Descendants]])),Tasks[[#This Row],[_LeafLateFinish]]))</f>
        <v/>
      </c>
      <c r="AO131" s="51" t="str">
        <f aca="false">IF(Tasks[[#This Row],[Task Name]]="","",IF(Tasks[[#This Row],[_IsSummary]],MIN(INDEX(Tasks[_LeafTotalSlack],Tasks[[#This Row],[_Row]]+1):INDEX(Tasks[_LeafTotalSlack],Tasks[[#This Row],[_Row]]+Tasks[[#This Row],[_Descendants]])),Tasks[[#This Row],[_LeafTotalSlack]]))</f>
        <v/>
      </c>
      <c r="AP13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1" s="110" t="str">
        <f aca="false">IF(Tasks[[#This Row],[Task Name]]="","",IF(Tasks[[#This Row],[_IsSummary]],SUM(INDEX(Tasks[_LeafTotalWork],Tasks[[#This Row],[_Row]]+1):INDEX(Tasks[_LeafTotalWork],Tasks[[#This Row],[_Row]]+Tasks[[#This Row],[_Descendants]])),Tasks[[#This Row],[_LeafTotalWork]]))</f>
        <v/>
      </c>
      <c r="AV13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1" s="111" t="str">
        <f aca="false">IF(Tasks[[#This Row],[Task Name]]="","",IF(Tasks[[#This Row],[_IsSummary]],SUM(INDEX(Tasks[_LeafTotalCost],Tasks[[#This Row],[_Row]]+1):INDEX(Tasks[_LeafTotalCost],Tasks[[#This Row],[_Row]]+Tasks[[#This Row],[_Descendants]])),Tasks[[#This Row],[_LeafTotalCost]]))</f>
        <v/>
      </c>
      <c r="AY131" s="112"/>
      <c r="AZ13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1" s="52"/>
      <c r="BB131" s="98"/>
      <c r="BC131" s="51" t="str">
        <f aca="false">IF(OR(Tasks[[#This Row],[Task Name]]="",Tasks[[#This Row],[Baseline Duration]]=""),"",Tasks[[#This Row],[BL Source Duration]]-N(Tasks[[#This Row],[Baseline Duration]]))</f>
        <v/>
      </c>
      <c r="BD131" s="110" t="str">
        <f aca="false">IF(OR(Tasks[[#This Row],[Task Name]]="",Tasks[[#This Row],[Baseline Work]]=""),"",Tasks[[#This Row],[Work]]-N(Tasks[[#This Row],[Baseline Work]]))</f>
        <v/>
      </c>
      <c r="BE131" s="111" t="str">
        <f aca="false">IF(OR(Tasks[[#This Row],[Task Name]]="",Tasks[[#This Row],[Baseline Cost]]=""),"",Tasks[[#This Row],[Cost]]-N(Tasks[[#This Row],[Baseline Cost]]))</f>
        <v/>
      </c>
      <c r="BF131" s="31" t="str">
        <f aca="false">IF(Tasks[[#This Row],[Task Name]]="","",Tasks[[#This Row],[Forecast Start]])</f>
        <v/>
      </c>
      <c r="BG131" s="31" t="str">
        <f aca="false">IF(Tasks[[#This Row],[Task Name]]="","",Tasks[[#This Row],[Forecast Finish]])</f>
        <v/>
      </c>
      <c r="BH131" s="51" t="str">
        <f aca="false">IF(Tasks[[#This Row],[Task Name]]="","",IF(Tasks[[#This Row],[_IsSummary]],NETWORKDAYS.INTL(Tasks[[#This Row],[Forecast Start]],Tasks[[#This Row],[Forecast Finish]],WorkWeek,Holidays),N(Tasks[[#This Row],[Duration]])))</f>
        <v/>
      </c>
      <c r="BI131" s="110" t="str">
        <f aca="false">IF(Tasks[[#This Row],[Task Name]]="","",Tasks[[#This Row],[Work]])</f>
        <v/>
      </c>
      <c r="BJ131" s="111" t="str">
        <f aca="false">IF(Tasks[[#This Row],[Task Name]]="","",Tasks[[#This Row],[Cost]])</f>
        <v/>
      </c>
      <c r="BK131" s="7"/>
      <c r="BL131" s="7"/>
      <c r="BM131" s="52"/>
      <c r="BN131" s="113"/>
      <c r="BO131" s="112"/>
      <c r="BP131" s="111" t="str">
        <f aca="false">IF(Tasks[[#This Row],[Task Name]]="","",IF(Tasks[[#This Row],[_IsSummary]],SUM(INDEX(Tasks[_LeafEV],Tasks[[#This Row],[_Row]]+1):INDEX(Tasks[_LeafEV],Tasks[[#This Row],[_Row]]+Tasks[[#This Row],[_Descendants]])),Tasks[[#This Row],[_LeafEV]]))</f>
        <v/>
      </c>
      <c r="BQ131" s="111" t="str">
        <f aca="false">IF(Tasks[[#This Row],[Task Name]]="","",IF(Tasks[[#This Row],[_IsSummary]],SUM(INDEX(Tasks[_LeafBudget],Tasks[[#This Row],[_Row]]+1):INDEX(Tasks[_LeafBudget],Tasks[[#This Row],[_Row]]+Tasks[[#This Row],[_Descendants]])),Tasks[[#This Row],[_LeafBudget]]))</f>
        <v/>
      </c>
      <c r="BR131" s="111" t="str">
        <f aca="false">IF(Tasks[[#This Row],[Task Name]]="","",IF(Tasks[[#This Row],[_IsSummary]],SUM(INDEX(Tasks[_LeafPV],Tasks[[#This Row],[_Row]]+1):INDEX(Tasks[_LeafPV],Tasks[[#This Row],[_Row]]+Tasks[[#This Row],[_Descendants]])),Tasks[[#This Row],[_LeafPV]]))</f>
        <v/>
      </c>
      <c r="BS131" s="111" t="str">
        <f aca="false">IF(Tasks[[#This Row],[Task Name]]="","",IF(Tasks[[#This Row],[_IsSummary]],SUM(INDEX(Tasks[_LeafAC],Tasks[[#This Row],[_Row]]+1):INDEX(Tasks[_LeafAC],Tasks[[#This Row],[_Row]]+Tasks[[#This Row],[_Descendants]])),Tasks[[#This Row],[_LeafAC]]))</f>
        <v/>
      </c>
      <c r="BT131" s="38" t="str">
        <f aca="false">IF(Tasks[[#This Row],[Task Name]]="","",MAX(1,N(Tasks[[#This Row],[Level]])))</f>
        <v/>
      </c>
      <c r="BU131" s="38" t="n">
        <f aca="false">ROW()-ROW(Tasks[[#Headers],[ID]])</f>
        <v>126</v>
      </c>
      <c r="BV131" s="38" t="n">
        <f aca="false">IF(OR(Tasks[[#This Row],[Task Name]]="",Tasks[[#This Row],[_Level]]&lt;=1),0,IFERROR(LOOKUP(2,1/(Tasks[[#Headers],[_Level]]:Tasks[[#This Row],[_Level]]=Tasks[[#This Row],[_Level]]-1),ROW(Tasks[[#Headers],[_Level]]:Tasks[[#This Row],[_Level]])),0))</f>
        <v>0</v>
      </c>
      <c r="BW131" s="38" t="n">
        <f aca="false">IFERROR(N(INDEX(Tasks[_Level],Tasks[[#This Row],[_Row]]+1)),0)</f>
        <v>0</v>
      </c>
      <c r="BX131" s="114" t="b">
        <f aca="false">AND(Tasks[[#This Row],[Task Name]]&lt;&gt;"",Tasks[[#This Row],[_NextLevel]]&gt;Tasks[[#This Row],[_Level]])</f>
        <v>0</v>
      </c>
      <c r="BY131" s="38" t="n">
        <f aca="false">IF(Tasks[[#This Row],[_IsSummary]],COUNTIF(Tasks[WBS],Tasks[[#This Row],[WBS]]&amp;".*"),0)</f>
        <v>0</v>
      </c>
      <c r="BZ131" s="38" t="n">
        <f aca="false">IF(AND(Tasks[[#This Row],[Task Name]]&lt;&gt;"",NOT(Tasks[[#This Row],[_IsSummary]])),1,0)</f>
        <v>0</v>
      </c>
      <c r="CA131" s="38" t="n">
        <f aca="false">IF(N(Tasks[[#This Row],[Pred1 UID]])=0,0,IFERROR(MATCH(Tasks[[#This Row],[Pred1 UID]],Tasks[UID],0),-1))</f>
        <v>0</v>
      </c>
      <c r="CB131" s="38" t="n">
        <f aca="false">IF(N(Tasks[[#This Row],[Pred2 UID]])=0,0,IFERROR(MATCH(Tasks[[#This Row],[Pred2 UID]],Tasks[UID],0),-1))</f>
        <v>0</v>
      </c>
      <c r="CC131" s="38" t="n">
        <f aca="false">IF(N(Tasks[[#This Row],[Pred3 UID]])=0,0,IFERROR(MATCH(Tasks[[#This Row],[Pred3 UID]],Tasks[UID],0),-1))</f>
        <v>0</v>
      </c>
      <c r="CD131" s="38" t="n">
        <f aca="false">IF(N(Tasks[[#This Row],[Pred4 UID]])=0,0,IFERROR(MATCH(Tasks[[#This Row],[Pred4 UID]],Tasks[UID],0),-1))</f>
        <v>0</v>
      </c>
      <c r="CE13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1" s="115" t="n">
        <f aca="false">IF(OR(Tasks[[#This Row],[_ConstraintCode]]=2,Tasks[[#This Row],[_ConstraintCode]]=3,Tasks[[#This Row],[_ConstraintCode]]=4,Tasks[[#This Row],[_ConstraintCode]]=6),Tasks[[#This Row],[_ConstraintStart]],0)</f>
        <v>0</v>
      </c>
      <c r="CH131" s="115" t="n">
        <f aca="false">IF(OR(Tasks[[#This Row],[_ConstraintCode]]=2,Tasks[[#This Row],[_ConstraintCode]]=3,Tasks[[#This Row],[_ConstraintCode]]=5,Tasks[[#This Row],[_ConstraintCode]]=7),Tasks[[#This Row],[_ConstraintStart]],2958465)</f>
        <v>2958465</v>
      </c>
      <c r="CI13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1" s="115" t="str">
        <f aca="false">IF(NOT(Tasks[[#This Row],[_IsLeaf]]=1),"",IF(N(Tasks[[#This Row],[Duration]])&lt;=0,Tasks[[#This Row],[_LeafCalcStart]],WORKDAY.INTL(Tasks[[#This Row],[_LeafCalcStart]],Tasks[[#This Row],[Duration]]-1,WorkWeek,Holidays)))</f>
        <v/>
      </c>
      <c r="CK13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1" s="38" t="n">
        <f aca="false">IF(NOT(Tasks[[#This Row],[_IsLeaf]]=1),0,IF(N(Tasks[[#This Row],[Actual Finish]])&gt;0,1,MIN(1,N(Tasks[[#This Row],[% Complete]]))))</f>
        <v>0</v>
      </c>
      <c r="CN131" s="38" t="n">
        <f aca="false">IF(OR(NOT(Tasks[[#This Row],[_IsLeaf]]=1),Tasks[[#This Row],[Resource]]=""),0,N(Tasks[[#This Row],[Duration]])*HoursPerDay*IF(Tasks[[#This Row],[Units]]="",DefaultUnits,Tasks[[#This Row],[Units]]))</f>
        <v>0</v>
      </c>
      <c r="CO131" s="38" t="n">
        <f aca="false">IF(Tasks[[#This Row],[_LeafWork]]=0,0,Tasks[[#This Row],[_LeafWork]]*IFERROR(INDEX(res_Rate,MATCH(Tasks[[#This Row],[Resource]],res_Name,0)),0))</f>
        <v>0</v>
      </c>
      <c r="CP131" s="38" t="n">
        <f aca="false">Tasks[[#This Row],[_LeafWork]]+IF(Tasks[[#This Row],[_IsLeaf]]=1,SUMIFS(asg_Work,asg_TaskUID,Tasks[[#This Row],[UID]],asg_Valid,1),0)</f>
        <v>0</v>
      </c>
      <c r="CQ131" s="38" t="n">
        <f aca="false">Tasks[[#This Row],[_LeafCost]]+IF(Tasks[[#This Row],[_IsLeaf]]=1,SUMIFS(asg_Cost,asg_TaskUID,Tasks[[#This Row],[UID]],asg_Valid,1),0)</f>
        <v>0</v>
      </c>
      <c r="CR131" s="38" t="n">
        <f aca="false">IF(Tasks[[#This Row],[_LeafTotalCost]]=0,Tasks[[#This Row],[_LeafAC]],Tasks[[#This Row],[_LeafAC]]*Tasks[[#This Row],[_LeafCost]]/Tasks[[#This Row],[_LeafTotalCost]])</f>
        <v>0</v>
      </c>
      <c r="CS13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1" s="38" t="n">
        <f aca="false">IF(NOT(Tasks[[#This Row],[_IsLeaf]]=1),0,MAX(_xlfn.MAXIFS(Tasks[_Row],Tasks[Pred1 UID],Tasks[[#This Row],[UID]]),_xlfn.MAXIFS(Tasks[_Row],Tasks[Pred2 UID],Tasks[[#This Row],[UID]]),_xlfn.MAXIFS(Tasks[_Row],Tasks[Pred3 UID],Tasks[[#This Row],[UID]]),_xlfn.MAXIFS(Tasks[_Row],Tasks[Pred4 UID],Tasks[[#This Row],[UID]])))</f>
        <v>0</v>
      </c>
      <c r="DB13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1" s="115" t="str">
        <f aca="false">IF(NOT(Tasks[[#This Row],[_IsLeaf]]=1),"",IF(N(Tasks[[#This Row],[Duration]])&lt;=0,Tasks[[#This Row],[_LeafLateFinish]],WORKDAY.INTL(Tasks[[#This Row],[_LeafLateFinish]],-(Tasks[[#This Row],[Duration]]-1),WorkWeek,Holidays)))</f>
        <v/>
      </c>
      <c r="DE13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1" s="114" t="b">
        <f aca="false">AND(Tasks[[#This Row],[_IsLeaf]]=1,Tasks[[#This Row],[_LeafProgress]]&lt;1,N(Tasks[[#This Row],[_LeafTotalSlack]])&lt;=CriticalSlackDays)</f>
        <v>0</v>
      </c>
      <c r="DG131" s="38" t="n">
        <f aca="false">IF(AND(Tasks[[#This Row],[_IsLeaf]]=1,Tasks[[#This Row],[_ConstraintCode]]=1,Tasks[[#This Row],[Mode]]&lt;&gt;"Manual",N(Tasks[[#This Row],[Actual Start]])=0),MAX(0,N(Tasks[[#This Row],[Free Slack]])),0)</f>
        <v>0</v>
      </c>
      <c r="DH131" s="115" t="str">
        <f aca="false">IF(NOT(Tasks[[#This Row],[_IsLeaf]]=1),"",IF(Tasks[[#This Row],[_AlapShift]]=0,Tasks[[#This Row],[_LeafCalcStart]],WORKDAY.INTL(Tasks[[#This Row],[_LeafCalcStart]],Tasks[[#This Row],[_AlapShift]],WorkWeek,Holidays)))</f>
        <v/>
      </c>
      <c r="DI131" s="115" t="str">
        <f aca="false">IF(NOT(Tasks[[#This Row],[_IsLeaf]]=1),"",IF(Tasks[[#This Row],[_AlapShift]]=0,Tasks[[#This Row],[_LeafCalcFinish]],WORKDAY.INTL(Tasks[[#This Row],[_LeafCalcFinish]],Tasks[[#This Row],[_AlapShift]],WorkWeek,Holidays)))</f>
        <v/>
      </c>
      <c r="DJ131" s="115" t="str">
        <f aca="false">IF(NOT(Tasks[[#This Row],[_IsLeaf]]=1),"",IF(Tasks[[#This Row],[_AlapShift]]=0,Tasks[[#This Row],[_LeafFcstStart]],WORKDAY.INTL(Tasks[[#This Row],[_LeafFcstStart]],Tasks[[#This Row],[_AlapShift]],WorkWeek,Holidays)))</f>
        <v/>
      </c>
      <c r="DK131" s="115" t="str">
        <f aca="false">IF(NOT(Tasks[[#This Row],[_IsLeaf]]=1),"",IF(Tasks[[#This Row],[_AlapShift]]=0,Tasks[[#This Row],[_LeafFcstFinish]],WORKDAY.INTL(Tasks[[#This Row],[_LeafFcstFinish]],Tasks[[#This Row],[_AlapShift]],WorkWeek,Holidays)))</f>
        <v/>
      </c>
      <c r="DL131" s="115" t="str">
        <f aca="false">IF(Tasks[[#This Row],[Task Name]]="","",IF(Tasks[[#This Row],[_IsSummary]],MIN(INDEX(Tasks[_ShownCalcStart],Tasks[[#This Row],[_Row]]+1):INDEX(Tasks[_ShownCalcStart],Tasks[[#This Row],[_Row]]+Tasks[[#This Row],[_Descendants]])),Tasks[[#This Row],[_ShownCalcStart]]))</f>
        <v/>
      </c>
      <c r="DM131" s="115" t="str">
        <f aca="false">IF(Tasks[[#This Row],[Task Name]]="","",IF(Tasks[[#This Row],[_IsSummary]],MAX(INDEX(Tasks[_ShownCalcFinish],Tasks[[#This Row],[_Row]]+1):INDEX(Tasks[_ShownCalcFinish],Tasks[[#This Row],[_Row]]+Tasks[[#This Row],[_Descendants]])),Tasks[[#This Row],[_ShownCalcFinish]]))</f>
        <v/>
      </c>
      <c r="DN13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1" s="38" t="n">
        <f aca="false">IF(AND(Tasks[[#This Row],[_IsLeaf]]=1,Tasks[[#This Row],[_LeafTotalWork]]&gt;0),NETWORKDAYS.INTL(ProjectStart,Tasks[[#This Row],[_ShownFcstStart]],WorkWeek,Holidays),0)</f>
        <v>0</v>
      </c>
      <c r="EA131" s="38" t="n">
        <f aca="false">IF(AND(Tasks[[#This Row],[_IsLeaf]]=1,Tasks[[#This Row],[_LeafTotalWork]]&gt;0),MAX(Tasks[[#This Row],[_StartWorkday]],NETWORKDAYS.INTL(ProjectStart,Tasks[[#This Row],[_ShownFcstFinish]],WorkWeek,Holidays)),0)</f>
        <v>0</v>
      </c>
      <c r="EB131" s="38" t="n">
        <f aca="false">IF(AND(Tasks[[#This Row],[_IsLeaf]]=1,Tasks[[#This Row],[_LeafTotalWork]]&gt;0),Tasks[[#This Row],[_LeafWork]]/(Tasks[[#This Row],[_FinishWorkday]]-Tasks[[#This Row],[_StartWorkday]]+1),0)</f>
        <v>0</v>
      </c>
      <c r="EC131" s="38" t="n">
        <f aca="false">Tasks[[#This Row],[_WorkPerWorkday]]*(Tasks[[#This Row],[_StartWorkday]]-1)</f>
        <v>-0</v>
      </c>
      <c r="ED131" s="38" t="n">
        <f aca="false">IF(Tasks[[#This Row],[_IsLeaf]]=1,MAX(N(Tasks[[#This Row],[Duration]]),0.1),0)</f>
        <v>0</v>
      </c>
      <c r="EE131" s="38" t="n">
        <f aca="false">Tasks[[#This Row],[_WeightDur]]*Tasks[[#This Row],[_LeafProgress]]</f>
        <v>0</v>
      </c>
      <c r="EF13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1" s="38" t="str">
        <f aca="false">IF(AND(Tasks[[#This Row],[_IsLeaf]]=1,N(Tasks[[#This Row],[Duration]])=0,Tasks[[#This Row],[_LeafProgress]]&lt;1),Tasks[[#This Row],[_ShownFcstFinish]]+Tasks[[#This Row],[_Row]]/100000,"")</f>
        <v/>
      </c>
      <c r="EH13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1" s="38" t="n">
        <f aca="false">IF(NOT(Tasks[[#This Row],[_IsLeaf]]=1),0,IF(Tasks[[#This Row],[Baseline Cost]]="",Tasks[[#This Row],[_LeafTotalCost]],N(Tasks[[#This Row],[Baseline Cost]])))</f>
        <v>0</v>
      </c>
      <c r="EJ131" s="38" t="n">
        <f aca="false">Tasks[[#This Row],[_LeafBudget]]*Tasks[[#This Row],[_PlannedPct]]</f>
        <v>0</v>
      </c>
      <c r="EK131" s="38" t="n">
        <f aca="false">Tasks[[#This Row],[_LeafBudget]]*Tasks[[#This Row],[_LeafProgress]]</f>
        <v>0</v>
      </c>
      <c r="EL131" s="38" t="n">
        <f aca="false">IF(NOT(Tasks[[#This Row],[_IsLeaf]]=1),0,IF(Tasks[[#This Row],[Actual Cost]]="",Tasks[[#This Row],[_LeafTotalCost]]*Tasks[[#This Row],[_LeafProgress]],N(Tasks[[#This Row],[Actual Cost]])))</f>
        <v>0</v>
      </c>
      <c r="EM131" s="38" t="str">
        <f aca="false">IF(Tasks[[#This Row],[Task Name]]="","",LEFT(Tasks[[#This Row],[WBS]],FIND(".",Tasks[[#This Row],[WBS]]&amp;".")-1))</f>
        <v/>
      </c>
      <c r="EN131" s="38" t="str">
        <f aca="false">IF(AND(Tasks[[#This Row],[Task Name]]&lt;&gt;"",Tasks[[#This Row],[_Level]]=1),Tasks[[#This Row],[_Row]],"")</f>
        <v/>
      </c>
      <c r="EO131" s="38" t="str">
        <f aca="false">IF(AND(Tasks[[#This Row],[_IsLeaf]]=1,N(Tasks[[#This Row],[Duration]])=0),Tasks[[#This Row],[Planned Finish]]+Tasks[[#This Row],[_Row]]/100000,"")</f>
        <v/>
      </c>
      <c r="EP131" s="38" t="str">
        <f aca="false">IF(AND(Tasks[[#This Row],[_IsLeaf]]=1,Tasks[[#This Row],[_LeafProgress]]&lt;1,OR(N(Tasks[[#This Row],[Finish Var]])&gt;0,Tasks[[#This Row],[Status]]="Late Start")),MAX(0,Tasks[[#This Row],[Finish Var]])+1-Tasks[[#This Row],[_Row]]/1000000,"")</f>
        <v/>
      </c>
      <c r="EQ131" s="38" t="str">
        <f aca="false">IF(AND(Tasks[[#This Row],[_IsLeaf]]=1,N(Tasks[[#This Row],[Actual Start]])=0,Tasks[[#This Row],[_ShownFcstStart]]&gt;=StatusDate,Tasks[[#This Row],[_ShownFcstStart]]&lt;=LookaheadEnd),Tasks[[#This Row],[_ShownFcstStart]]+Tasks[[#This Row],[_Row]]/100000,"")</f>
        <v/>
      </c>
      <c r="ER131" s="38" t="str">
        <f aca="false">IF(AND(Tasks[[#This Row],[_IsLeaf]]=1,Tasks[[#This Row],[_LeafProgress]]&lt;1,Tasks[[#This Row],[_ShownFcstFinish]]&gt;=StatusDate,Tasks[[#This Row],[_ShownFcstFinish]]&lt;=LookaheadEnd),Tasks[[#This Row],[_ShownFcstFinish]]+Tasks[[#This Row],[_Row]]/100000,"")</f>
        <v/>
      </c>
      <c r="ES131" s="38" t="str">
        <f aca="false">IF(Tasks[[#This Row],[_LeafCritical]],Tasks[[#This Row],[_ShownFcstStart]]+Tasks[[#This Row],[_Row]]/100000,"")</f>
        <v/>
      </c>
      <c r="ET131" s="38" t="n">
        <f aca="false">Tasks[[#This Row],[_LeafWork]]*Tasks[[#This Row],[_LeafProgress]]</f>
        <v>0</v>
      </c>
      <c r="EU131" s="115" t="str">
        <f aca="false">IF(AND(Tasks[[#This Row],[_IsLeaf]]=1,Tasks[[#This Row],[_LeafProgress]]&gt;=1),IF(N(Tasks[[#This Row],[Actual Finish]])&gt;0,Tasks[[#This Row],[Actual Finish]],Tasks[[#This Row],[_ShownFcstFinish]]),"")</f>
        <v/>
      </c>
      <c r="EV131" s="38" t="n">
        <f aca="false">IF(Tasks[[#This Row],[_IsLeaf]]=1,N(Tasks[[#This Row],[Story Points]]),0)</f>
        <v>0</v>
      </c>
      <c r="EW131" s="38" t="str">
        <f aca="false">IF(AND(Tasks[[#This Row],[_IsLeaf]]=1,CurrentSprint&lt;&gt;"",Tasks[[#This Row],[Sprint]]=CurrentSprint),Tasks[[#This Row],[_Row]],"")</f>
        <v/>
      </c>
    </row>
    <row r="132" customFormat="false" ht="15" hidden="false" customHeight="false" outlineLevel="0" collapsed="false">
      <c r="A132" s="51" t="str">
        <f aca="false">IF(Tasks[[#This Row],[Task Name]]="","",COUNTA(Tasks[[#Headers],[Task Name]]:Tasks[[#This Row],[Task Name]])-1)</f>
        <v/>
      </c>
      <c r="B132" s="52" t="n">
        <v>127</v>
      </c>
      <c r="C13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52"/>
      <c r="E132" s="53"/>
      <c r="F132" s="52"/>
      <c r="G132" s="52"/>
      <c r="H132" s="52"/>
      <c r="I132" s="52"/>
      <c r="J132" s="52"/>
      <c r="K132" s="52"/>
      <c r="L132" s="52"/>
      <c r="M132" s="52"/>
      <c r="N132" s="52"/>
      <c r="O132" s="52"/>
      <c r="P132" s="52"/>
      <c r="Q132" s="52"/>
      <c r="R132" s="52"/>
      <c r="S132" s="53"/>
      <c r="T132" s="102"/>
      <c r="U132" s="102"/>
      <c r="V132" s="7"/>
      <c r="W132" s="7"/>
      <c r="X132" s="53"/>
      <c r="Y132" s="31" t="str">
        <f aca="false">IF(Tasks[[#This Row],[Task Name]]="","",IF(Tasks[[#This Row],[_IsSummary]],MIN(INDEX(Tasks[_ShownFcstStart],Tasks[[#This Row],[_Row]]+1):INDEX(Tasks[_ShownFcstStart],Tasks[[#This Row],[_Row]]+Tasks[[#This Row],[_Descendants]])),Tasks[[#This Row],[_ShownFcstStart]]))</f>
        <v/>
      </c>
      <c r="Z132" s="31" t="str">
        <f aca="false">IF(Tasks[[#This Row],[Task Name]]="","",IF(Tasks[[#This Row],[_IsSummary]],MAX(INDEX(Tasks[_ShownFcstFinish],Tasks[[#This Row],[_Row]]+1):INDEX(Tasks[_ShownFcstFinish],Tasks[[#This Row],[_Row]]+Tasks[[#This Row],[_Descendants]])),Tasks[[#This Row],[_ShownFcstFinish]]))</f>
        <v/>
      </c>
      <c r="AA132" s="51" t="str">
        <f aca="false">IF(Tasks[[#This Row],[Task Name]]="","",IF(Tasks[[#This Row],[Progress]]&gt;=1,"Complete",IF(OR(N(Tasks[[#This Row],[Actual Start]])&gt;0,Tasks[[#This Row],[Progress]]&gt;0),IF(Tasks[[#This Row],[Finish Var]]&gt;0,"Behind","In Progress"),IF(Tasks[[#This Row],[Planned Start]]&lt;StatusDate,"Late Start","Not Started"))))</f>
        <v/>
      </c>
      <c r="AB132" s="51" t="str">
        <f aca="false">IF(Tasks[[#This Row],[Task Name]]="","",IF(IF(Tasks[[#This Row],[_IsSummary]],COUNTIF(INDEX(Tasks[_LeafCritical],Tasks[[#This Row],[_Row]]+1):INDEX(Tasks[_LeafCritical],Tasks[[#This Row],[_Row]]+Tasks[[#This Row],[_Descendants]]),TRUE())&gt;0,Tasks[[#This Row],[_LeafCritical]]),"Yes",""))</f>
        <v/>
      </c>
      <c r="AC13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2" s="51" t="str">
        <f aca="false">IF(Tasks[[#This Row],[Task Name]]="","",IF(Tasks[[#This Row],[_Level]]&lt;=OutlineShowLevel,"Yes","No"))</f>
        <v/>
      </c>
      <c r="AE132" s="7"/>
      <c r="AF132" s="52"/>
      <c r="AG132" s="53"/>
      <c r="AH132" s="7"/>
      <c r="AI13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2" s="31" t="str">
        <f aca="false">IF(Tasks[[#This Row],[Task Name]]="","",IF(N(Tasks[[#This Row],[Baseline Start]])&gt;0,Tasks[[#This Row],[Baseline Start]],Tasks[[#This Row],[_CalcStart]]))</f>
        <v/>
      </c>
      <c r="AK132" s="31" t="str">
        <f aca="false">IF(Tasks[[#This Row],[Task Name]]="","",IF(N(Tasks[[#This Row],[Baseline Finish]])&gt;0,Tasks[[#This Row],[Baseline Finish]],Tasks[[#This Row],[_CalcFinish]]))</f>
        <v/>
      </c>
      <c r="AL13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2" s="31" t="str">
        <f aca="false">IF(Tasks[[#This Row],[Task Name]]="","",IF(Tasks[[#This Row],[_IsSummary]],MIN(INDEX(Tasks[_LeafLateStart],Tasks[[#This Row],[_Row]]+1):INDEX(Tasks[_LeafLateStart],Tasks[[#This Row],[_Row]]+Tasks[[#This Row],[_Descendants]])),Tasks[[#This Row],[_LeafLateStart]]))</f>
        <v/>
      </c>
      <c r="AN132" s="31" t="str">
        <f aca="false">IF(Tasks[[#This Row],[Task Name]]="","",IF(Tasks[[#This Row],[_IsSummary]],MAX(INDEX(Tasks[_LeafLateFinish],Tasks[[#This Row],[_Row]]+1):INDEX(Tasks[_LeafLateFinish],Tasks[[#This Row],[_Row]]+Tasks[[#This Row],[_Descendants]])),Tasks[[#This Row],[_LeafLateFinish]]))</f>
        <v/>
      </c>
      <c r="AO132" s="51" t="str">
        <f aca="false">IF(Tasks[[#This Row],[Task Name]]="","",IF(Tasks[[#This Row],[_IsSummary]],MIN(INDEX(Tasks[_LeafTotalSlack],Tasks[[#This Row],[_Row]]+1):INDEX(Tasks[_LeafTotalSlack],Tasks[[#This Row],[_Row]]+Tasks[[#This Row],[_Descendants]])),Tasks[[#This Row],[_LeafTotalSlack]]))</f>
        <v/>
      </c>
      <c r="AP13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2" s="110" t="str">
        <f aca="false">IF(Tasks[[#This Row],[Task Name]]="","",IF(Tasks[[#This Row],[_IsSummary]],SUM(INDEX(Tasks[_LeafTotalWork],Tasks[[#This Row],[_Row]]+1):INDEX(Tasks[_LeafTotalWork],Tasks[[#This Row],[_Row]]+Tasks[[#This Row],[_Descendants]])),Tasks[[#This Row],[_LeafTotalWork]]))</f>
        <v/>
      </c>
      <c r="AV13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2" s="111" t="str">
        <f aca="false">IF(Tasks[[#This Row],[Task Name]]="","",IF(Tasks[[#This Row],[_IsSummary]],SUM(INDEX(Tasks[_LeafTotalCost],Tasks[[#This Row],[_Row]]+1):INDEX(Tasks[_LeafTotalCost],Tasks[[#This Row],[_Row]]+Tasks[[#This Row],[_Descendants]])),Tasks[[#This Row],[_LeafTotalCost]]))</f>
        <v/>
      </c>
      <c r="AY132" s="112"/>
      <c r="AZ13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2" s="52"/>
      <c r="BB132" s="98"/>
      <c r="BC132" s="51" t="str">
        <f aca="false">IF(OR(Tasks[[#This Row],[Task Name]]="",Tasks[[#This Row],[Baseline Duration]]=""),"",Tasks[[#This Row],[BL Source Duration]]-N(Tasks[[#This Row],[Baseline Duration]]))</f>
        <v/>
      </c>
      <c r="BD132" s="110" t="str">
        <f aca="false">IF(OR(Tasks[[#This Row],[Task Name]]="",Tasks[[#This Row],[Baseline Work]]=""),"",Tasks[[#This Row],[Work]]-N(Tasks[[#This Row],[Baseline Work]]))</f>
        <v/>
      </c>
      <c r="BE132" s="111" t="str">
        <f aca="false">IF(OR(Tasks[[#This Row],[Task Name]]="",Tasks[[#This Row],[Baseline Cost]]=""),"",Tasks[[#This Row],[Cost]]-N(Tasks[[#This Row],[Baseline Cost]]))</f>
        <v/>
      </c>
      <c r="BF132" s="31" t="str">
        <f aca="false">IF(Tasks[[#This Row],[Task Name]]="","",Tasks[[#This Row],[Forecast Start]])</f>
        <v/>
      </c>
      <c r="BG132" s="31" t="str">
        <f aca="false">IF(Tasks[[#This Row],[Task Name]]="","",Tasks[[#This Row],[Forecast Finish]])</f>
        <v/>
      </c>
      <c r="BH132" s="51" t="str">
        <f aca="false">IF(Tasks[[#This Row],[Task Name]]="","",IF(Tasks[[#This Row],[_IsSummary]],NETWORKDAYS.INTL(Tasks[[#This Row],[Forecast Start]],Tasks[[#This Row],[Forecast Finish]],WorkWeek,Holidays),N(Tasks[[#This Row],[Duration]])))</f>
        <v/>
      </c>
      <c r="BI132" s="110" t="str">
        <f aca="false">IF(Tasks[[#This Row],[Task Name]]="","",Tasks[[#This Row],[Work]])</f>
        <v/>
      </c>
      <c r="BJ132" s="111" t="str">
        <f aca="false">IF(Tasks[[#This Row],[Task Name]]="","",Tasks[[#This Row],[Cost]])</f>
        <v/>
      </c>
      <c r="BK132" s="7"/>
      <c r="BL132" s="7"/>
      <c r="BM132" s="52"/>
      <c r="BN132" s="113"/>
      <c r="BO132" s="112"/>
      <c r="BP132" s="111" t="str">
        <f aca="false">IF(Tasks[[#This Row],[Task Name]]="","",IF(Tasks[[#This Row],[_IsSummary]],SUM(INDEX(Tasks[_LeafEV],Tasks[[#This Row],[_Row]]+1):INDEX(Tasks[_LeafEV],Tasks[[#This Row],[_Row]]+Tasks[[#This Row],[_Descendants]])),Tasks[[#This Row],[_LeafEV]]))</f>
        <v/>
      </c>
      <c r="BQ132" s="111" t="str">
        <f aca="false">IF(Tasks[[#This Row],[Task Name]]="","",IF(Tasks[[#This Row],[_IsSummary]],SUM(INDEX(Tasks[_LeafBudget],Tasks[[#This Row],[_Row]]+1):INDEX(Tasks[_LeafBudget],Tasks[[#This Row],[_Row]]+Tasks[[#This Row],[_Descendants]])),Tasks[[#This Row],[_LeafBudget]]))</f>
        <v/>
      </c>
      <c r="BR132" s="111" t="str">
        <f aca="false">IF(Tasks[[#This Row],[Task Name]]="","",IF(Tasks[[#This Row],[_IsSummary]],SUM(INDEX(Tasks[_LeafPV],Tasks[[#This Row],[_Row]]+1):INDEX(Tasks[_LeafPV],Tasks[[#This Row],[_Row]]+Tasks[[#This Row],[_Descendants]])),Tasks[[#This Row],[_LeafPV]]))</f>
        <v/>
      </c>
      <c r="BS132" s="111" t="str">
        <f aca="false">IF(Tasks[[#This Row],[Task Name]]="","",IF(Tasks[[#This Row],[_IsSummary]],SUM(INDEX(Tasks[_LeafAC],Tasks[[#This Row],[_Row]]+1):INDEX(Tasks[_LeafAC],Tasks[[#This Row],[_Row]]+Tasks[[#This Row],[_Descendants]])),Tasks[[#This Row],[_LeafAC]]))</f>
        <v/>
      </c>
      <c r="BT132" s="38" t="str">
        <f aca="false">IF(Tasks[[#This Row],[Task Name]]="","",MAX(1,N(Tasks[[#This Row],[Level]])))</f>
        <v/>
      </c>
      <c r="BU132" s="38" t="n">
        <f aca="false">ROW()-ROW(Tasks[[#Headers],[ID]])</f>
        <v>127</v>
      </c>
      <c r="BV132" s="38" t="n">
        <f aca="false">IF(OR(Tasks[[#This Row],[Task Name]]="",Tasks[[#This Row],[_Level]]&lt;=1),0,IFERROR(LOOKUP(2,1/(Tasks[[#Headers],[_Level]]:Tasks[[#This Row],[_Level]]=Tasks[[#This Row],[_Level]]-1),ROW(Tasks[[#Headers],[_Level]]:Tasks[[#This Row],[_Level]])),0))</f>
        <v>0</v>
      </c>
      <c r="BW132" s="38" t="n">
        <f aca="false">IFERROR(N(INDEX(Tasks[_Level],Tasks[[#This Row],[_Row]]+1)),0)</f>
        <v>0</v>
      </c>
      <c r="BX132" s="114" t="b">
        <f aca="false">AND(Tasks[[#This Row],[Task Name]]&lt;&gt;"",Tasks[[#This Row],[_NextLevel]]&gt;Tasks[[#This Row],[_Level]])</f>
        <v>0</v>
      </c>
      <c r="BY132" s="38" t="n">
        <f aca="false">IF(Tasks[[#This Row],[_IsSummary]],COUNTIF(Tasks[WBS],Tasks[[#This Row],[WBS]]&amp;".*"),0)</f>
        <v>0</v>
      </c>
      <c r="BZ132" s="38" t="n">
        <f aca="false">IF(AND(Tasks[[#This Row],[Task Name]]&lt;&gt;"",NOT(Tasks[[#This Row],[_IsSummary]])),1,0)</f>
        <v>0</v>
      </c>
      <c r="CA132" s="38" t="n">
        <f aca="false">IF(N(Tasks[[#This Row],[Pred1 UID]])=0,0,IFERROR(MATCH(Tasks[[#This Row],[Pred1 UID]],Tasks[UID],0),-1))</f>
        <v>0</v>
      </c>
      <c r="CB132" s="38" t="n">
        <f aca="false">IF(N(Tasks[[#This Row],[Pred2 UID]])=0,0,IFERROR(MATCH(Tasks[[#This Row],[Pred2 UID]],Tasks[UID],0),-1))</f>
        <v>0</v>
      </c>
      <c r="CC132" s="38" t="n">
        <f aca="false">IF(N(Tasks[[#This Row],[Pred3 UID]])=0,0,IFERROR(MATCH(Tasks[[#This Row],[Pred3 UID]],Tasks[UID],0),-1))</f>
        <v>0</v>
      </c>
      <c r="CD132" s="38" t="n">
        <f aca="false">IF(N(Tasks[[#This Row],[Pred4 UID]])=0,0,IFERROR(MATCH(Tasks[[#This Row],[Pred4 UID]],Tasks[UID],0),-1))</f>
        <v>0</v>
      </c>
      <c r="CE13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2" s="115" t="n">
        <f aca="false">IF(OR(Tasks[[#This Row],[_ConstraintCode]]=2,Tasks[[#This Row],[_ConstraintCode]]=3,Tasks[[#This Row],[_ConstraintCode]]=4,Tasks[[#This Row],[_ConstraintCode]]=6),Tasks[[#This Row],[_ConstraintStart]],0)</f>
        <v>0</v>
      </c>
      <c r="CH132" s="115" t="n">
        <f aca="false">IF(OR(Tasks[[#This Row],[_ConstraintCode]]=2,Tasks[[#This Row],[_ConstraintCode]]=3,Tasks[[#This Row],[_ConstraintCode]]=5,Tasks[[#This Row],[_ConstraintCode]]=7),Tasks[[#This Row],[_ConstraintStart]],2958465)</f>
        <v>2958465</v>
      </c>
      <c r="CI13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2" s="115" t="str">
        <f aca="false">IF(NOT(Tasks[[#This Row],[_IsLeaf]]=1),"",IF(N(Tasks[[#This Row],[Duration]])&lt;=0,Tasks[[#This Row],[_LeafCalcStart]],WORKDAY.INTL(Tasks[[#This Row],[_LeafCalcStart]],Tasks[[#This Row],[Duration]]-1,WorkWeek,Holidays)))</f>
        <v/>
      </c>
      <c r="CK13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2" s="38" t="n">
        <f aca="false">IF(NOT(Tasks[[#This Row],[_IsLeaf]]=1),0,IF(N(Tasks[[#This Row],[Actual Finish]])&gt;0,1,MIN(1,N(Tasks[[#This Row],[% Complete]]))))</f>
        <v>0</v>
      </c>
      <c r="CN132" s="38" t="n">
        <f aca="false">IF(OR(NOT(Tasks[[#This Row],[_IsLeaf]]=1),Tasks[[#This Row],[Resource]]=""),0,N(Tasks[[#This Row],[Duration]])*HoursPerDay*IF(Tasks[[#This Row],[Units]]="",DefaultUnits,Tasks[[#This Row],[Units]]))</f>
        <v>0</v>
      </c>
      <c r="CO132" s="38" t="n">
        <f aca="false">IF(Tasks[[#This Row],[_LeafWork]]=0,0,Tasks[[#This Row],[_LeafWork]]*IFERROR(INDEX(res_Rate,MATCH(Tasks[[#This Row],[Resource]],res_Name,0)),0))</f>
        <v>0</v>
      </c>
      <c r="CP132" s="38" t="n">
        <f aca="false">Tasks[[#This Row],[_LeafWork]]+IF(Tasks[[#This Row],[_IsLeaf]]=1,SUMIFS(asg_Work,asg_TaskUID,Tasks[[#This Row],[UID]],asg_Valid,1),0)</f>
        <v>0</v>
      </c>
      <c r="CQ132" s="38" t="n">
        <f aca="false">Tasks[[#This Row],[_LeafCost]]+IF(Tasks[[#This Row],[_IsLeaf]]=1,SUMIFS(asg_Cost,asg_TaskUID,Tasks[[#This Row],[UID]],asg_Valid,1),0)</f>
        <v>0</v>
      </c>
      <c r="CR132" s="38" t="n">
        <f aca="false">IF(Tasks[[#This Row],[_LeafTotalCost]]=0,Tasks[[#This Row],[_LeafAC]],Tasks[[#This Row],[_LeafAC]]*Tasks[[#This Row],[_LeafCost]]/Tasks[[#This Row],[_LeafTotalCost]])</f>
        <v>0</v>
      </c>
      <c r="CS13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2" s="38" t="n">
        <f aca="false">IF(NOT(Tasks[[#This Row],[_IsLeaf]]=1),0,MAX(_xlfn.MAXIFS(Tasks[_Row],Tasks[Pred1 UID],Tasks[[#This Row],[UID]]),_xlfn.MAXIFS(Tasks[_Row],Tasks[Pred2 UID],Tasks[[#This Row],[UID]]),_xlfn.MAXIFS(Tasks[_Row],Tasks[Pred3 UID],Tasks[[#This Row],[UID]]),_xlfn.MAXIFS(Tasks[_Row],Tasks[Pred4 UID],Tasks[[#This Row],[UID]])))</f>
        <v>0</v>
      </c>
      <c r="DB13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2" s="115" t="str">
        <f aca="false">IF(NOT(Tasks[[#This Row],[_IsLeaf]]=1),"",IF(N(Tasks[[#This Row],[Duration]])&lt;=0,Tasks[[#This Row],[_LeafLateFinish]],WORKDAY.INTL(Tasks[[#This Row],[_LeafLateFinish]],-(Tasks[[#This Row],[Duration]]-1),WorkWeek,Holidays)))</f>
        <v/>
      </c>
      <c r="DE13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2" s="114" t="b">
        <f aca="false">AND(Tasks[[#This Row],[_IsLeaf]]=1,Tasks[[#This Row],[_LeafProgress]]&lt;1,N(Tasks[[#This Row],[_LeafTotalSlack]])&lt;=CriticalSlackDays)</f>
        <v>0</v>
      </c>
      <c r="DG132" s="38" t="n">
        <f aca="false">IF(AND(Tasks[[#This Row],[_IsLeaf]]=1,Tasks[[#This Row],[_ConstraintCode]]=1,Tasks[[#This Row],[Mode]]&lt;&gt;"Manual",N(Tasks[[#This Row],[Actual Start]])=0),MAX(0,N(Tasks[[#This Row],[Free Slack]])),0)</f>
        <v>0</v>
      </c>
      <c r="DH132" s="115" t="str">
        <f aca="false">IF(NOT(Tasks[[#This Row],[_IsLeaf]]=1),"",IF(Tasks[[#This Row],[_AlapShift]]=0,Tasks[[#This Row],[_LeafCalcStart]],WORKDAY.INTL(Tasks[[#This Row],[_LeafCalcStart]],Tasks[[#This Row],[_AlapShift]],WorkWeek,Holidays)))</f>
        <v/>
      </c>
      <c r="DI132" s="115" t="str">
        <f aca="false">IF(NOT(Tasks[[#This Row],[_IsLeaf]]=1),"",IF(Tasks[[#This Row],[_AlapShift]]=0,Tasks[[#This Row],[_LeafCalcFinish]],WORKDAY.INTL(Tasks[[#This Row],[_LeafCalcFinish]],Tasks[[#This Row],[_AlapShift]],WorkWeek,Holidays)))</f>
        <v/>
      </c>
      <c r="DJ132" s="115" t="str">
        <f aca="false">IF(NOT(Tasks[[#This Row],[_IsLeaf]]=1),"",IF(Tasks[[#This Row],[_AlapShift]]=0,Tasks[[#This Row],[_LeafFcstStart]],WORKDAY.INTL(Tasks[[#This Row],[_LeafFcstStart]],Tasks[[#This Row],[_AlapShift]],WorkWeek,Holidays)))</f>
        <v/>
      </c>
      <c r="DK132" s="115" t="str">
        <f aca="false">IF(NOT(Tasks[[#This Row],[_IsLeaf]]=1),"",IF(Tasks[[#This Row],[_AlapShift]]=0,Tasks[[#This Row],[_LeafFcstFinish]],WORKDAY.INTL(Tasks[[#This Row],[_LeafFcstFinish]],Tasks[[#This Row],[_AlapShift]],WorkWeek,Holidays)))</f>
        <v/>
      </c>
      <c r="DL132" s="115" t="str">
        <f aca="false">IF(Tasks[[#This Row],[Task Name]]="","",IF(Tasks[[#This Row],[_IsSummary]],MIN(INDEX(Tasks[_ShownCalcStart],Tasks[[#This Row],[_Row]]+1):INDEX(Tasks[_ShownCalcStart],Tasks[[#This Row],[_Row]]+Tasks[[#This Row],[_Descendants]])),Tasks[[#This Row],[_ShownCalcStart]]))</f>
        <v/>
      </c>
      <c r="DM132" s="115" t="str">
        <f aca="false">IF(Tasks[[#This Row],[Task Name]]="","",IF(Tasks[[#This Row],[_IsSummary]],MAX(INDEX(Tasks[_ShownCalcFinish],Tasks[[#This Row],[_Row]]+1):INDEX(Tasks[_ShownCalcFinish],Tasks[[#This Row],[_Row]]+Tasks[[#This Row],[_Descendants]])),Tasks[[#This Row],[_ShownCalcFinish]]))</f>
        <v/>
      </c>
      <c r="DN13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2" s="38" t="n">
        <f aca="false">IF(AND(Tasks[[#This Row],[_IsLeaf]]=1,Tasks[[#This Row],[_LeafTotalWork]]&gt;0),NETWORKDAYS.INTL(ProjectStart,Tasks[[#This Row],[_ShownFcstStart]],WorkWeek,Holidays),0)</f>
        <v>0</v>
      </c>
      <c r="EA132" s="38" t="n">
        <f aca="false">IF(AND(Tasks[[#This Row],[_IsLeaf]]=1,Tasks[[#This Row],[_LeafTotalWork]]&gt;0),MAX(Tasks[[#This Row],[_StartWorkday]],NETWORKDAYS.INTL(ProjectStart,Tasks[[#This Row],[_ShownFcstFinish]],WorkWeek,Holidays)),0)</f>
        <v>0</v>
      </c>
      <c r="EB132" s="38" t="n">
        <f aca="false">IF(AND(Tasks[[#This Row],[_IsLeaf]]=1,Tasks[[#This Row],[_LeafTotalWork]]&gt;0),Tasks[[#This Row],[_LeafWork]]/(Tasks[[#This Row],[_FinishWorkday]]-Tasks[[#This Row],[_StartWorkday]]+1),0)</f>
        <v>0</v>
      </c>
      <c r="EC132" s="38" t="n">
        <f aca="false">Tasks[[#This Row],[_WorkPerWorkday]]*(Tasks[[#This Row],[_StartWorkday]]-1)</f>
        <v>-0</v>
      </c>
      <c r="ED132" s="38" t="n">
        <f aca="false">IF(Tasks[[#This Row],[_IsLeaf]]=1,MAX(N(Tasks[[#This Row],[Duration]]),0.1),0)</f>
        <v>0</v>
      </c>
      <c r="EE132" s="38" t="n">
        <f aca="false">Tasks[[#This Row],[_WeightDur]]*Tasks[[#This Row],[_LeafProgress]]</f>
        <v>0</v>
      </c>
      <c r="EF13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2" s="38" t="str">
        <f aca="false">IF(AND(Tasks[[#This Row],[_IsLeaf]]=1,N(Tasks[[#This Row],[Duration]])=0,Tasks[[#This Row],[_LeafProgress]]&lt;1),Tasks[[#This Row],[_ShownFcstFinish]]+Tasks[[#This Row],[_Row]]/100000,"")</f>
        <v/>
      </c>
      <c r="EH13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2" s="38" t="n">
        <f aca="false">IF(NOT(Tasks[[#This Row],[_IsLeaf]]=1),0,IF(Tasks[[#This Row],[Baseline Cost]]="",Tasks[[#This Row],[_LeafTotalCost]],N(Tasks[[#This Row],[Baseline Cost]])))</f>
        <v>0</v>
      </c>
      <c r="EJ132" s="38" t="n">
        <f aca="false">Tasks[[#This Row],[_LeafBudget]]*Tasks[[#This Row],[_PlannedPct]]</f>
        <v>0</v>
      </c>
      <c r="EK132" s="38" t="n">
        <f aca="false">Tasks[[#This Row],[_LeafBudget]]*Tasks[[#This Row],[_LeafProgress]]</f>
        <v>0</v>
      </c>
      <c r="EL132" s="38" t="n">
        <f aca="false">IF(NOT(Tasks[[#This Row],[_IsLeaf]]=1),0,IF(Tasks[[#This Row],[Actual Cost]]="",Tasks[[#This Row],[_LeafTotalCost]]*Tasks[[#This Row],[_LeafProgress]],N(Tasks[[#This Row],[Actual Cost]])))</f>
        <v>0</v>
      </c>
      <c r="EM132" s="38" t="str">
        <f aca="false">IF(Tasks[[#This Row],[Task Name]]="","",LEFT(Tasks[[#This Row],[WBS]],FIND(".",Tasks[[#This Row],[WBS]]&amp;".")-1))</f>
        <v/>
      </c>
      <c r="EN132" s="38" t="str">
        <f aca="false">IF(AND(Tasks[[#This Row],[Task Name]]&lt;&gt;"",Tasks[[#This Row],[_Level]]=1),Tasks[[#This Row],[_Row]],"")</f>
        <v/>
      </c>
      <c r="EO132" s="38" t="str">
        <f aca="false">IF(AND(Tasks[[#This Row],[_IsLeaf]]=1,N(Tasks[[#This Row],[Duration]])=0),Tasks[[#This Row],[Planned Finish]]+Tasks[[#This Row],[_Row]]/100000,"")</f>
        <v/>
      </c>
      <c r="EP132" s="38" t="str">
        <f aca="false">IF(AND(Tasks[[#This Row],[_IsLeaf]]=1,Tasks[[#This Row],[_LeafProgress]]&lt;1,OR(N(Tasks[[#This Row],[Finish Var]])&gt;0,Tasks[[#This Row],[Status]]="Late Start")),MAX(0,Tasks[[#This Row],[Finish Var]])+1-Tasks[[#This Row],[_Row]]/1000000,"")</f>
        <v/>
      </c>
      <c r="EQ132" s="38" t="str">
        <f aca="false">IF(AND(Tasks[[#This Row],[_IsLeaf]]=1,N(Tasks[[#This Row],[Actual Start]])=0,Tasks[[#This Row],[_ShownFcstStart]]&gt;=StatusDate,Tasks[[#This Row],[_ShownFcstStart]]&lt;=LookaheadEnd),Tasks[[#This Row],[_ShownFcstStart]]+Tasks[[#This Row],[_Row]]/100000,"")</f>
        <v/>
      </c>
      <c r="ER132" s="38" t="str">
        <f aca="false">IF(AND(Tasks[[#This Row],[_IsLeaf]]=1,Tasks[[#This Row],[_LeafProgress]]&lt;1,Tasks[[#This Row],[_ShownFcstFinish]]&gt;=StatusDate,Tasks[[#This Row],[_ShownFcstFinish]]&lt;=LookaheadEnd),Tasks[[#This Row],[_ShownFcstFinish]]+Tasks[[#This Row],[_Row]]/100000,"")</f>
        <v/>
      </c>
      <c r="ES132" s="38" t="str">
        <f aca="false">IF(Tasks[[#This Row],[_LeafCritical]],Tasks[[#This Row],[_ShownFcstStart]]+Tasks[[#This Row],[_Row]]/100000,"")</f>
        <v/>
      </c>
      <c r="ET132" s="38" t="n">
        <f aca="false">Tasks[[#This Row],[_LeafWork]]*Tasks[[#This Row],[_LeafProgress]]</f>
        <v>0</v>
      </c>
      <c r="EU132" s="115" t="str">
        <f aca="false">IF(AND(Tasks[[#This Row],[_IsLeaf]]=1,Tasks[[#This Row],[_LeafProgress]]&gt;=1),IF(N(Tasks[[#This Row],[Actual Finish]])&gt;0,Tasks[[#This Row],[Actual Finish]],Tasks[[#This Row],[_ShownFcstFinish]]),"")</f>
        <v/>
      </c>
      <c r="EV132" s="38" t="n">
        <f aca="false">IF(Tasks[[#This Row],[_IsLeaf]]=1,N(Tasks[[#This Row],[Story Points]]),0)</f>
        <v>0</v>
      </c>
      <c r="EW132" s="38" t="str">
        <f aca="false">IF(AND(Tasks[[#This Row],[_IsLeaf]]=1,CurrentSprint&lt;&gt;"",Tasks[[#This Row],[Sprint]]=CurrentSprint),Tasks[[#This Row],[_Row]],"")</f>
        <v/>
      </c>
    </row>
    <row r="133" customFormat="false" ht="15" hidden="false" customHeight="false" outlineLevel="0" collapsed="false">
      <c r="A133" s="51" t="str">
        <f aca="false">IF(Tasks[[#This Row],[Task Name]]="","",COUNTA(Tasks[[#Headers],[Task Name]]:Tasks[[#This Row],[Task Name]])-1)</f>
        <v/>
      </c>
      <c r="B133" s="52" t="n">
        <v>128</v>
      </c>
      <c r="C13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52"/>
      <c r="E133" s="53"/>
      <c r="F133" s="52"/>
      <c r="G133" s="52"/>
      <c r="H133" s="52"/>
      <c r="I133" s="52"/>
      <c r="J133" s="52"/>
      <c r="K133" s="52"/>
      <c r="L133" s="52"/>
      <c r="M133" s="52"/>
      <c r="N133" s="52"/>
      <c r="O133" s="52"/>
      <c r="P133" s="52"/>
      <c r="Q133" s="52"/>
      <c r="R133" s="52"/>
      <c r="S133" s="53"/>
      <c r="T133" s="102"/>
      <c r="U133" s="102"/>
      <c r="V133" s="7"/>
      <c r="W133" s="7"/>
      <c r="X133" s="53"/>
      <c r="Y133" s="31" t="str">
        <f aca="false">IF(Tasks[[#This Row],[Task Name]]="","",IF(Tasks[[#This Row],[_IsSummary]],MIN(INDEX(Tasks[_ShownFcstStart],Tasks[[#This Row],[_Row]]+1):INDEX(Tasks[_ShownFcstStart],Tasks[[#This Row],[_Row]]+Tasks[[#This Row],[_Descendants]])),Tasks[[#This Row],[_ShownFcstStart]]))</f>
        <v/>
      </c>
      <c r="Z133" s="31" t="str">
        <f aca="false">IF(Tasks[[#This Row],[Task Name]]="","",IF(Tasks[[#This Row],[_IsSummary]],MAX(INDEX(Tasks[_ShownFcstFinish],Tasks[[#This Row],[_Row]]+1):INDEX(Tasks[_ShownFcstFinish],Tasks[[#This Row],[_Row]]+Tasks[[#This Row],[_Descendants]])),Tasks[[#This Row],[_ShownFcstFinish]]))</f>
        <v/>
      </c>
      <c r="AA133" s="51" t="str">
        <f aca="false">IF(Tasks[[#This Row],[Task Name]]="","",IF(Tasks[[#This Row],[Progress]]&gt;=1,"Complete",IF(OR(N(Tasks[[#This Row],[Actual Start]])&gt;0,Tasks[[#This Row],[Progress]]&gt;0),IF(Tasks[[#This Row],[Finish Var]]&gt;0,"Behind","In Progress"),IF(Tasks[[#This Row],[Planned Start]]&lt;StatusDate,"Late Start","Not Started"))))</f>
        <v/>
      </c>
      <c r="AB133" s="51" t="str">
        <f aca="false">IF(Tasks[[#This Row],[Task Name]]="","",IF(IF(Tasks[[#This Row],[_IsSummary]],COUNTIF(INDEX(Tasks[_LeafCritical],Tasks[[#This Row],[_Row]]+1):INDEX(Tasks[_LeafCritical],Tasks[[#This Row],[_Row]]+Tasks[[#This Row],[_Descendants]]),TRUE())&gt;0,Tasks[[#This Row],[_LeafCritical]]),"Yes",""))</f>
        <v/>
      </c>
      <c r="AC13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3" s="51" t="str">
        <f aca="false">IF(Tasks[[#This Row],[Task Name]]="","",IF(Tasks[[#This Row],[_Level]]&lt;=OutlineShowLevel,"Yes","No"))</f>
        <v/>
      </c>
      <c r="AE133" s="7"/>
      <c r="AF133" s="52"/>
      <c r="AG133" s="53"/>
      <c r="AH133" s="7"/>
      <c r="AI13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3" s="31" t="str">
        <f aca="false">IF(Tasks[[#This Row],[Task Name]]="","",IF(N(Tasks[[#This Row],[Baseline Start]])&gt;0,Tasks[[#This Row],[Baseline Start]],Tasks[[#This Row],[_CalcStart]]))</f>
        <v/>
      </c>
      <c r="AK133" s="31" t="str">
        <f aca="false">IF(Tasks[[#This Row],[Task Name]]="","",IF(N(Tasks[[#This Row],[Baseline Finish]])&gt;0,Tasks[[#This Row],[Baseline Finish]],Tasks[[#This Row],[_CalcFinish]]))</f>
        <v/>
      </c>
      <c r="AL13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3" s="31" t="str">
        <f aca="false">IF(Tasks[[#This Row],[Task Name]]="","",IF(Tasks[[#This Row],[_IsSummary]],MIN(INDEX(Tasks[_LeafLateStart],Tasks[[#This Row],[_Row]]+1):INDEX(Tasks[_LeafLateStart],Tasks[[#This Row],[_Row]]+Tasks[[#This Row],[_Descendants]])),Tasks[[#This Row],[_LeafLateStart]]))</f>
        <v/>
      </c>
      <c r="AN133" s="31" t="str">
        <f aca="false">IF(Tasks[[#This Row],[Task Name]]="","",IF(Tasks[[#This Row],[_IsSummary]],MAX(INDEX(Tasks[_LeafLateFinish],Tasks[[#This Row],[_Row]]+1):INDEX(Tasks[_LeafLateFinish],Tasks[[#This Row],[_Row]]+Tasks[[#This Row],[_Descendants]])),Tasks[[#This Row],[_LeafLateFinish]]))</f>
        <v/>
      </c>
      <c r="AO133" s="51" t="str">
        <f aca="false">IF(Tasks[[#This Row],[Task Name]]="","",IF(Tasks[[#This Row],[_IsSummary]],MIN(INDEX(Tasks[_LeafTotalSlack],Tasks[[#This Row],[_Row]]+1):INDEX(Tasks[_LeafTotalSlack],Tasks[[#This Row],[_Row]]+Tasks[[#This Row],[_Descendants]])),Tasks[[#This Row],[_LeafTotalSlack]]))</f>
        <v/>
      </c>
      <c r="AP13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3" s="110" t="str">
        <f aca="false">IF(Tasks[[#This Row],[Task Name]]="","",IF(Tasks[[#This Row],[_IsSummary]],SUM(INDEX(Tasks[_LeafTotalWork],Tasks[[#This Row],[_Row]]+1):INDEX(Tasks[_LeafTotalWork],Tasks[[#This Row],[_Row]]+Tasks[[#This Row],[_Descendants]])),Tasks[[#This Row],[_LeafTotalWork]]))</f>
        <v/>
      </c>
      <c r="AV13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3" s="111" t="str">
        <f aca="false">IF(Tasks[[#This Row],[Task Name]]="","",IF(Tasks[[#This Row],[_IsSummary]],SUM(INDEX(Tasks[_LeafTotalCost],Tasks[[#This Row],[_Row]]+1):INDEX(Tasks[_LeafTotalCost],Tasks[[#This Row],[_Row]]+Tasks[[#This Row],[_Descendants]])),Tasks[[#This Row],[_LeafTotalCost]]))</f>
        <v/>
      </c>
      <c r="AY133" s="112"/>
      <c r="AZ13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3" s="52"/>
      <c r="BB133" s="98"/>
      <c r="BC133" s="51" t="str">
        <f aca="false">IF(OR(Tasks[[#This Row],[Task Name]]="",Tasks[[#This Row],[Baseline Duration]]=""),"",Tasks[[#This Row],[BL Source Duration]]-N(Tasks[[#This Row],[Baseline Duration]]))</f>
        <v/>
      </c>
      <c r="BD133" s="110" t="str">
        <f aca="false">IF(OR(Tasks[[#This Row],[Task Name]]="",Tasks[[#This Row],[Baseline Work]]=""),"",Tasks[[#This Row],[Work]]-N(Tasks[[#This Row],[Baseline Work]]))</f>
        <v/>
      </c>
      <c r="BE133" s="111" t="str">
        <f aca="false">IF(OR(Tasks[[#This Row],[Task Name]]="",Tasks[[#This Row],[Baseline Cost]]=""),"",Tasks[[#This Row],[Cost]]-N(Tasks[[#This Row],[Baseline Cost]]))</f>
        <v/>
      </c>
      <c r="BF133" s="31" t="str">
        <f aca="false">IF(Tasks[[#This Row],[Task Name]]="","",Tasks[[#This Row],[Forecast Start]])</f>
        <v/>
      </c>
      <c r="BG133" s="31" t="str">
        <f aca="false">IF(Tasks[[#This Row],[Task Name]]="","",Tasks[[#This Row],[Forecast Finish]])</f>
        <v/>
      </c>
      <c r="BH133" s="51" t="str">
        <f aca="false">IF(Tasks[[#This Row],[Task Name]]="","",IF(Tasks[[#This Row],[_IsSummary]],NETWORKDAYS.INTL(Tasks[[#This Row],[Forecast Start]],Tasks[[#This Row],[Forecast Finish]],WorkWeek,Holidays),N(Tasks[[#This Row],[Duration]])))</f>
        <v/>
      </c>
      <c r="BI133" s="110" t="str">
        <f aca="false">IF(Tasks[[#This Row],[Task Name]]="","",Tasks[[#This Row],[Work]])</f>
        <v/>
      </c>
      <c r="BJ133" s="111" t="str">
        <f aca="false">IF(Tasks[[#This Row],[Task Name]]="","",Tasks[[#This Row],[Cost]])</f>
        <v/>
      </c>
      <c r="BK133" s="7"/>
      <c r="BL133" s="7"/>
      <c r="BM133" s="52"/>
      <c r="BN133" s="113"/>
      <c r="BO133" s="112"/>
      <c r="BP133" s="111" t="str">
        <f aca="false">IF(Tasks[[#This Row],[Task Name]]="","",IF(Tasks[[#This Row],[_IsSummary]],SUM(INDEX(Tasks[_LeafEV],Tasks[[#This Row],[_Row]]+1):INDEX(Tasks[_LeafEV],Tasks[[#This Row],[_Row]]+Tasks[[#This Row],[_Descendants]])),Tasks[[#This Row],[_LeafEV]]))</f>
        <v/>
      </c>
      <c r="BQ133" s="111" t="str">
        <f aca="false">IF(Tasks[[#This Row],[Task Name]]="","",IF(Tasks[[#This Row],[_IsSummary]],SUM(INDEX(Tasks[_LeafBudget],Tasks[[#This Row],[_Row]]+1):INDEX(Tasks[_LeafBudget],Tasks[[#This Row],[_Row]]+Tasks[[#This Row],[_Descendants]])),Tasks[[#This Row],[_LeafBudget]]))</f>
        <v/>
      </c>
      <c r="BR133" s="111" t="str">
        <f aca="false">IF(Tasks[[#This Row],[Task Name]]="","",IF(Tasks[[#This Row],[_IsSummary]],SUM(INDEX(Tasks[_LeafPV],Tasks[[#This Row],[_Row]]+1):INDEX(Tasks[_LeafPV],Tasks[[#This Row],[_Row]]+Tasks[[#This Row],[_Descendants]])),Tasks[[#This Row],[_LeafPV]]))</f>
        <v/>
      </c>
      <c r="BS133" s="111" t="str">
        <f aca="false">IF(Tasks[[#This Row],[Task Name]]="","",IF(Tasks[[#This Row],[_IsSummary]],SUM(INDEX(Tasks[_LeafAC],Tasks[[#This Row],[_Row]]+1):INDEX(Tasks[_LeafAC],Tasks[[#This Row],[_Row]]+Tasks[[#This Row],[_Descendants]])),Tasks[[#This Row],[_LeafAC]]))</f>
        <v/>
      </c>
      <c r="BT133" s="38" t="str">
        <f aca="false">IF(Tasks[[#This Row],[Task Name]]="","",MAX(1,N(Tasks[[#This Row],[Level]])))</f>
        <v/>
      </c>
      <c r="BU133" s="38" t="n">
        <f aca="false">ROW()-ROW(Tasks[[#Headers],[ID]])</f>
        <v>128</v>
      </c>
      <c r="BV133" s="38" t="n">
        <f aca="false">IF(OR(Tasks[[#This Row],[Task Name]]="",Tasks[[#This Row],[_Level]]&lt;=1),0,IFERROR(LOOKUP(2,1/(Tasks[[#Headers],[_Level]]:Tasks[[#This Row],[_Level]]=Tasks[[#This Row],[_Level]]-1),ROW(Tasks[[#Headers],[_Level]]:Tasks[[#This Row],[_Level]])),0))</f>
        <v>0</v>
      </c>
      <c r="BW133" s="38" t="n">
        <f aca="false">IFERROR(N(INDEX(Tasks[_Level],Tasks[[#This Row],[_Row]]+1)),0)</f>
        <v>0</v>
      </c>
      <c r="BX133" s="114" t="b">
        <f aca="false">AND(Tasks[[#This Row],[Task Name]]&lt;&gt;"",Tasks[[#This Row],[_NextLevel]]&gt;Tasks[[#This Row],[_Level]])</f>
        <v>0</v>
      </c>
      <c r="BY133" s="38" t="n">
        <f aca="false">IF(Tasks[[#This Row],[_IsSummary]],COUNTIF(Tasks[WBS],Tasks[[#This Row],[WBS]]&amp;".*"),0)</f>
        <v>0</v>
      </c>
      <c r="BZ133" s="38" t="n">
        <f aca="false">IF(AND(Tasks[[#This Row],[Task Name]]&lt;&gt;"",NOT(Tasks[[#This Row],[_IsSummary]])),1,0)</f>
        <v>0</v>
      </c>
      <c r="CA133" s="38" t="n">
        <f aca="false">IF(N(Tasks[[#This Row],[Pred1 UID]])=0,0,IFERROR(MATCH(Tasks[[#This Row],[Pred1 UID]],Tasks[UID],0),-1))</f>
        <v>0</v>
      </c>
      <c r="CB133" s="38" t="n">
        <f aca="false">IF(N(Tasks[[#This Row],[Pred2 UID]])=0,0,IFERROR(MATCH(Tasks[[#This Row],[Pred2 UID]],Tasks[UID],0),-1))</f>
        <v>0</v>
      </c>
      <c r="CC133" s="38" t="n">
        <f aca="false">IF(N(Tasks[[#This Row],[Pred3 UID]])=0,0,IFERROR(MATCH(Tasks[[#This Row],[Pred3 UID]],Tasks[UID],0),-1))</f>
        <v>0</v>
      </c>
      <c r="CD133" s="38" t="n">
        <f aca="false">IF(N(Tasks[[#This Row],[Pred4 UID]])=0,0,IFERROR(MATCH(Tasks[[#This Row],[Pred4 UID]],Tasks[UID],0),-1))</f>
        <v>0</v>
      </c>
      <c r="CE13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3" s="115" t="n">
        <f aca="false">IF(OR(Tasks[[#This Row],[_ConstraintCode]]=2,Tasks[[#This Row],[_ConstraintCode]]=3,Tasks[[#This Row],[_ConstraintCode]]=4,Tasks[[#This Row],[_ConstraintCode]]=6),Tasks[[#This Row],[_ConstraintStart]],0)</f>
        <v>0</v>
      </c>
      <c r="CH133" s="115" t="n">
        <f aca="false">IF(OR(Tasks[[#This Row],[_ConstraintCode]]=2,Tasks[[#This Row],[_ConstraintCode]]=3,Tasks[[#This Row],[_ConstraintCode]]=5,Tasks[[#This Row],[_ConstraintCode]]=7),Tasks[[#This Row],[_ConstraintStart]],2958465)</f>
        <v>2958465</v>
      </c>
      <c r="CI13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3" s="115" t="str">
        <f aca="false">IF(NOT(Tasks[[#This Row],[_IsLeaf]]=1),"",IF(N(Tasks[[#This Row],[Duration]])&lt;=0,Tasks[[#This Row],[_LeafCalcStart]],WORKDAY.INTL(Tasks[[#This Row],[_LeafCalcStart]],Tasks[[#This Row],[Duration]]-1,WorkWeek,Holidays)))</f>
        <v/>
      </c>
      <c r="CK13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3" s="38" t="n">
        <f aca="false">IF(NOT(Tasks[[#This Row],[_IsLeaf]]=1),0,IF(N(Tasks[[#This Row],[Actual Finish]])&gt;0,1,MIN(1,N(Tasks[[#This Row],[% Complete]]))))</f>
        <v>0</v>
      </c>
      <c r="CN133" s="38" t="n">
        <f aca="false">IF(OR(NOT(Tasks[[#This Row],[_IsLeaf]]=1),Tasks[[#This Row],[Resource]]=""),0,N(Tasks[[#This Row],[Duration]])*HoursPerDay*IF(Tasks[[#This Row],[Units]]="",DefaultUnits,Tasks[[#This Row],[Units]]))</f>
        <v>0</v>
      </c>
      <c r="CO133" s="38" t="n">
        <f aca="false">IF(Tasks[[#This Row],[_LeafWork]]=0,0,Tasks[[#This Row],[_LeafWork]]*IFERROR(INDEX(res_Rate,MATCH(Tasks[[#This Row],[Resource]],res_Name,0)),0))</f>
        <v>0</v>
      </c>
      <c r="CP133" s="38" t="n">
        <f aca="false">Tasks[[#This Row],[_LeafWork]]+IF(Tasks[[#This Row],[_IsLeaf]]=1,SUMIFS(asg_Work,asg_TaskUID,Tasks[[#This Row],[UID]],asg_Valid,1),0)</f>
        <v>0</v>
      </c>
      <c r="CQ133" s="38" t="n">
        <f aca="false">Tasks[[#This Row],[_LeafCost]]+IF(Tasks[[#This Row],[_IsLeaf]]=1,SUMIFS(asg_Cost,asg_TaskUID,Tasks[[#This Row],[UID]],asg_Valid,1),0)</f>
        <v>0</v>
      </c>
      <c r="CR133" s="38" t="n">
        <f aca="false">IF(Tasks[[#This Row],[_LeafTotalCost]]=0,Tasks[[#This Row],[_LeafAC]],Tasks[[#This Row],[_LeafAC]]*Tasks[[#This Row],[_LeafCost]]/Tasks[[#This Row],[_LeafTotalCost]])</f>
        <v>0</v>
      </c>
      <c r="CS13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3" s="38" t="n">
        <f aca="false">IF(NOT(Tasks[[#This Row],[_IsLeaf]]=1),0,MAX(_xlfn.MAXIFS(Tasks[_Row],Tasks[Pred1 UID],Tasks[[#This Row],[UID]]),_xlfn.MAXIFS(Tasks[_Row],Tasks[Pred2 UID],Tasks[[#This Row],[UID]]),_xlfn.MAXIFS(Tasks[_Row],Tasks[Pred3 UID],Tasks[[#This Row],[UID]]),_xlfn.MAXIFS(Tasks[_Row],Tasks[Pred4 UID],Tasks[[#This Row],[UID]])))</f>
        <v>0</v>
      </c>
      <c r="DB13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3" s="115" t="str">
        <f aca="false">IF(NOT(Tasks[[#This Row],[_IsLeaf]]=1),"",IF(N(Tasks[[#This Row],[Duration]])&lt;=0,Tasks[[#This Row],[_LeafLateFinish]],WORKDAY.INTL(Tasks[[#This Row],[_LeafLateFinish]],-(Tasks[[#This Row],[Duration]]-1),WorkWeek,Holidays)))</f>
        <v/>
      </c>
      <c r="DE13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3" s="114" t="b">
        <f aca="false">AND(Tasks[[#This Row],[_IsLeaf]]=1,Tasks[[#This Row],[_LeafProgress]]&lt;1,N(Tasks[[#This Row],[_LeafTotalSlack]])&lt;=CriticalSlackDays)</f>
        <v>0</v>
      </c>
      <c r="DG133" s="38" t="n">
        <f aca="false">IF(AND(Tasks[[#This Row],[_IsLeaf]]=1,Tasks[[#This Row],[_ConstraintCode]]=1,Tasks[[#This Row],[Mode]]&lt;&gt;"Manual",N(Tasks[[#This Row],[Actual Start]])=0),MAX(0,N(Tasks[[#This Row],[Free Slack]])),0)</f>
        <v>0</v>
      </c>
      <c r="DH133" s="115" t="str">
        <f aca="false">IF(NOT(Tasks[[#This Row],[_IsLeaf]]=1),"",IF(Tasks[[#This Row],[_AlapShift]]=0,Tasks[[#This Row],[_LeafCalcStart]],WORKDAY.INTL(Tasks[[#This Row],[_LeafCalcStart]],Tasks[[#This Row],[_AlapShift]],WorkWeek,Holidays)))</f>
        <v/>
      </c>
      <c r="DI133" s="115" t="str">
        <f aca="false">IF(NOT(Tasks[[#This Row],[_IsLeaf]]=1),"",IF(Tasks[[#This Row],[_AlapShift]]=0,Tasks[[#This Row],[_LeafCalcFinish]],WORKDAY.INTL(Tasks[[#This Row],[_LeafCalcFinish]],Tasks[[#This Row],[_AlapShift]],WorkWeek,Holidays)))</f>
        <v/>
      </c>
      <c r="DJ133" s="115" t="str">
        <f aca="false">IF(NOT(Tasks[[#This Row],[_IsLeaf]]=1),"",IF(Tasks[[#This Row],[_AlapShift]]=0,Tasks[[#This Row],[_LeafFcstStart]],WORKDAY.INTL(Tasks[[#This Row],[_LeafFcstStart]],Tasks[[#This Row],[_AlapShift]],WorkWeek,Holidays)))</f>
        <v/>
      </c>
      <c r="DK133" s="115" t="str">
        <f aca="false">IF(NOT(Tasks[[#This Row],[_IsLeaf]]=1),"",IF(Tasks[[#This Row],[_AlapShift]]=0,Tasks[[#This Row],[_LeafFcstFinish]],WORKDAY.INTL(Tasks[[#This Row],[_LeafFcstFinish]],Tasks[[#This Row],[_AlapShift]],WorkWeek,Holidays)))</f>
        <v/>
      </c>
      <c r="DL133" s="115" t="str">
        <f aca="false">IF(Tasks[[#This Row],[Task Name]]="","",IF(Tasks[[#This Row],[_IsSummary]],MIN(INDEX(Tasks[_ShownCalcStart],Tasks[[#This Row],[_Row]]+1):INDEX(Tasks[_ShownCalcStart],Tasks[[#This Row],[_Row]]+Tasks[[#This Row],[_Descendants]])),Tasks[[#This Row],[_ShownCalcStart]]))</f>
        <v/>
      </c>
      <c r="DM133" s="115" t="str">
        <f aca="false">IF(Tasks[[#This Row],[Task Name]]="","",IF(Tasks[[#This Row],[_IsSummary]],MAX(INDEX(Tasks[_ShownCalcFinish],Tasks[[#This Row],[_Row]]+1):INDEX(Tasks[_ShownCalcFinish],Tasks[[#This Row],[_Row]]+Tasks[[#This Row],[_Descendants]])),Tasks[[#This Row],[_ShownCalcFinish]]))</f>
        <v/>
      </c>
      <c r="DN13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3" s="38" t="n">
        <f aca="false">IF(AND(Tasks[[#This Row],[_IsLeaf]]=1,Tasks[[#This Row],[_LeafTotalWork]]&gt;0),NETWORKDAYS.INTL(ProjectStart,Tasks[[#This Row],[_ShownFcstStart]],WorkWeek,Holidays),0)</f>
        <v>0</v>
      </c>
      <c r="EA133" s="38" t="n">
        <f aca="false">IF(AND(Tasks[[#This Row],[_IsLeaf]]=1,Tasks[[#This Row],[_LeafTotalWork]]&gt;0),MAX(Tasks[[#This Row],[_StartWorkday]],NETWORKDAYS.INTL(ProjectStart,Tasks[[#This Row],[_ShownFcstFinish]],WorkWeek,Holidays)),0)</f>
        <v>0</v>
      </c>
      <c r="EB133" s="38" t="n">
        <f aca="false">IF(AND(Tasks[[#This Row],[_IsLeaf]]=1,Tasks[[#This Row],[_LeafTotalWork]]&gt;0),Tasks[[#This Row],[_LeafWork]]/(Tasks[[#This Row],[_FinishWorkday]]-Tasks[[#This Row],[_StartWorkday]]+1),0)</f>
        <v>0</v>
      </c>
      <c r="EC133" s="38" t="n">
        <f aca="false">Tasks[[#This Row],[_WorkPerWorkday]]*(Tasks[[#This Row],[_StartWorkday]]-1)</f>
        <v>-0</v>
      </c>
      <c r="ED133" s="38" t="n">
        <f aca="false">IF(Tasks[[#This Row],[_IsLeaf]]=1,MAX(N(Tasks[[#This Row],[Duration]]),0.1),0)</f>
        <v>0</v>
      </c>
      <c r="EE133" s="38" t="n">
        <f aca="false">Tasks[[#This Row],[_WeightDur]]*Tasks[[#This Row],[_LeafProgress]]</f>
        <v>0</v>
      </c>
      <c r="EF13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3" s="38" t="str">
        <f aca="false">IF(AND(Tasks[[#This Row],[_IsLeaf]]=1,N(Tasks[[#This Row],[Duration]])=0,Tasks[[#This Row],[_LeafProgress]]&lt;1),Tasks[[#This Row],[_ShownFcstFinish]]+Tasks[[#This Row],[_Row]]/100000,"")</f>
        <v/>
      </c>
      <c r="EH13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3" s="38" t="n">
        <f aca="false">IF(NOT(Tasks[[#This Row],[_IsLeaf]]=1),0,IF(Tasks[[#This Row],[Baseline Cost]]="",Tasks[[#This Row],[_LeafTotalCost]],N(Tasks[[#This Row],[Baseline Cost]])))</f>
        <v>0</v>
      </c>
      <c r="EJ133" s="38" t="n">
        <f aca="false">Tasks[[#This Row],[_LeafBudget]]*Tasks[[#This Row],[_PlannedPct]]</f>
        <v>0</v>
      </c>
      <c r="EK133" s="38" t="n">
        <f aca="false">Tasks[[#This Row],[_LeafBudget]]*Tasks[[#This Row],[_LeafProgress]]</f>
        <v>0</v>
      </c>
      <c r="EL133" s="38" t="n">
        <f aca="false">IF(NOT(Tasks[[#This Row],[_IsLeaf]]=1),0,IF(Tasks[[#This Row],[Actual Cost]]="",Tasks[[#This Row],[_LeafTotalCost]]*Tasks[[#This Row],[_LeafProgress]],N(Tasks[[#This Row],[Actual Cost]])))</f>
        <v>0</v>
      </c>
      <c r="EM133" s="38" t="str">
        <f aca="false">IF(Tasks[[#This Row],[Task Name]]="","",LEFT(Tasks[[#This Row],[WBS]],FIND(".",Tasks[[#This Row],[WBS]]&amp;".")-1))</f>
        <v/>
      </c>
      <c r="EN133" s="38" t="str">
        <f aca="false">IF(AND(Tasks[[#This Row],[Task Name]]&lt;&gt;"",Tasks[[#This Row],[_Level]]=1),Tasks[[#This Row],[_Row]],"")</f>
        <v/>
      </c>
      <c r="EO133" s="38" t="str">
        <f aca="false">IF(AND(Tasks[[#This Row],[_IsLeaf]]=1,N(Tasks[[#This Row],[Duration]])=0),Tasks[[#This Row],[Planned Finish]]+Tasks[[#This Row],[_Row]]/100000,"")</f>
        <v/>
      </c>
      <c r="EP133" s="38" t="str">
        <f aca="false">IF(AND(Tasks[[#This Row],[_IsLeaf]]=1,Tasks[[#This Row],[_LeafProgress]]&lt;1,OR(N(Tasks[[#This Row],[Finish Var]])&gt;0,Tasks[[#This Row],[Status]]="Late Start")),MAX(0,Tasks[[#This Row],[Finish Var]])+1-Tasks[[#This Row],[_Row]]/1000000,"")</f>
        <v/>
      </c>
      <c r="EQ133" s="38" t="str">
        <f aca="false">IF(AND(Tasks[[#This Row],[_IsLeaf]]=1,N(Tasks[[#This Row],[Actual Start]])=0,Tasks[[#This Row],[_ShownFcstStart]]&gt;=StatusDate,Tasks[[#This Row],[_ShownFcstStart]]&lt;=LookaheadEnd),Tasks[[#This Row],[_ShownFcstStart]]+Tasks[[#This Row],[_Row]]/100000,"")</f>
        <v/>
      </c>
      <c r="ER133" s="38" t="str">
        <f aca="false">IF(AND(Tasks[[#This Row],[_IsLeaf]]=1,Tasks[[#This Row],[_LeafProgress]]&lt;1,Tasks[[#This Row],[_ShownFcstFinish]]&gt;=StatusDate,Tasks[[#This Row],[_ShownFcstFinish]]&lt;=LookaheadEnd),Tasks[[#This Row],[_ShownFcstFinish]]+Tasks[[#This Row],[_Row]]/100000,"")</f>
        <v/>
      </c>
      <c r="ES133" s="38" t="str">
        <f aca="false">IF(Tasks[[#This Row],[_LeafCritical]],Tasks[[#This Row],[_ShownFcstStart]]+Tasks[[#This Row],[_Row]]/100000,"")</f>
        <v/>
      </c>
      <c r="ET133" s="38" t="n">
        <f aca="false">Tasks[[#This Row],[_LeafWork]]*Tasks[[#This Row],[_LeafProgress]]</f>
        <v>0</v>
      </c>
      <c r="EU133" s="115" t="str">
        <f aca="false">IF(AND(Tasks[[#This Row],[_IsLeaf]]=1,Tasks[[#This Row],[_LeafProgress]]&gt;=1),IF(N(Tasks[[#This Row],[Actual Finish]])&gt;0,Tasks[[#This Row],[Actual Finish]],Tasks[[#This Row],[_ShownFcstFinish]]),"")</f>
        <v/>
      </c>
      <c r="EV133" s="38" t="n">
        <f aca="false">IF(Tasks[[#This Row],[_IsLeaf]]=1,N(Tasks[[#This Row],[Story Points]]),0)</f>
        <v>0</v>
      </c>
      <c r="EW133" s="38" t="str">
        <f aca="false">IF(AND(Tasks[[#This Row],[_IsLeaf]]=1,CurrentSprint&lt;&gt;"",Tasks[[#This Row],[Sprint]]=CurrentSprint),Tasks[[#This Row],[_Row]],"")</f>
        <v/>
      </c>
    </row>
    <row r="134" customFormat="false" ht="15" hidden="false" customHeight="false" outlineLevel="0" collapsed="false">
      <c r="A134" s="51" t="str">
        <f aca="false">IF(Tasks[[#This Row],[Task Name]]="","",COUNTA(Tasks[[#Headers],[Task Name]]:Tasks[[#This Row],[Task Name]])-1)</f>
        <v/>
      </c>
      <c r="B134" s="52" t="n">
        <v>129</v>
      </c>
      <c r="C13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52"/>
      <c r="E134" s="53"/>
      <c r="F134" s="52"/>
      <c r="G134" s="52"/>
      <c r="H134" s="52"/>
      <c r="I134" s="52"/>
      <c r="J134" s="52"/>
      <c r="K134" s="52"/>
      <c r="L134" s="52"/>
      <c r="M134" s="52"/>
      <c r="N134" s="52"/>
      <c r="O134" s="52"/>
      <c r="P134" s="52"/>
      <c r="Q134" s="52"/>
      <c r="R134" s="52"/>
      <c r="S134" s="53"/>
      <c r="T134" s="102"/>
      <c r="U134" s="102"/>
      <c r="V134" s="7"/>
      <c r="W134" s="7"/>
      <c r="X134" s="53"/>
      <c r="Y134" s="31" t="str">
        <f aca="false">IF(Tasks[[#This Row],[Task Name]]="","",IF(Tasks[[#This Row],[_IsSummary]],MIN(INDEX(Tasks[_ShownFcstStart],Tasks[[#This Row],[_Row]]+1):INDEX(Tasks[_ShownFcstStart],Tasks[[#This Row],[_Row]]+Tasks[[#This Row],[_Descendants]])),Tasks[[#This Row],[_ShownFcstStart]]))</f>
        <v/>
      </c>
      <c r="Z134" s="31" t="str">
        <f aca="false">IF(Tasks[[#This Row],[Task Name]]="","",IF(Tasks[[#This Row],[_IsSummary]],MAX(INDEX(Tasks[_ShownFcstFinish],Tasks[[#This Row],[_Row]]+1):INDEX(Tasks[_ShownFcstFinish],Tasks[[#This Row],[_Row]]+Tasks[[#This Row],[_Descendants]])),Tasks[[#This Row],[_ShownFcstFinish]]))</f>
        <v/>
      </c>
      <c r="AA134" s="51" t="str">
        <f aca="false">IF(Tasks[[#This Row],[Task Name]]="","",IF(Tasks[[#This Row],[Progress]]&gt;=1,"Complete",IF(OR(N(Tasks[[#This Row],[Actual Start]])&gt;0,Tasks[[#This Row],[Progress]]&gt;0),IF(Tasks[[#This Row],[Finish Var]]&gt;0,"Behind","In Progress"),IF(Tasks[[#This Row],[Planned Start]]&lt;StatusDate,"Late Start","Not Started"))))</f>
        <v/>
      </c>
      <c r="AB134" s="51" t="str">
        <f aca="false">IF(Tasks[[#This Row],[Task Name]]="","",IF(IF(Tasks[[#This Row],[_IsSummary]],COUNTIF(INDEX(Tasks[_LeafCritical],Tasks[[#This Row],[_Row]]+1):INDEX(Tasks[_LeafCritical],Tasks[[#This Row],[_Row]]+Tasks[[#This Row],[_Descendants]]),TRUE())&gt;0,Tasks[[#This Row],[_LeafCritical]]),"Yes",""))</f>
        <v/>
      </c>
      <c r="AC13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4" s="51" t="str">
        <f aca="false">IF(Tasks[[#This Row],[Task Name]]="","",IF(Tasks[[#This Row],[_Level]]&lt;=OutlineShowLevel,"Yes","No"))</f>
        <v/>
      </c>
      <c r="AE134" s="7"/>
      <c r="AF134" s="52"/>
      <c r="AG134" s="53"/>
      <c r="AH134" s="7"/>
      <c r="AI13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4" s="31" t="str">
        <f aca="false">IF(Tasks[[#This Row],[Task Name]]="","",IF(N(Tasks[[#This Row],[Baseline Start]])&gt;0,Tasks[[#This Row],[Baseline Start]],Tasks[[#This Row],[_CalcStart]]))</f>
        <v/>
      </c>
      <c r="AK134" s="31" t="str">
        <f aca="false">IF(Tasks[[#This Row],[Task Name]]="","",IF(N(Tasks[[#This Row],[Baseline Finish]])&gt;0,Tasks[[#This Row],[Baseline Finish]],Tasks[[#This Row],[_CalcFinish]]))</f>
        <v/>
      </c>
      <c r="AL13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4" s="31" t="str">
        <f aca="false">IF(Tasks[[#This Row],[Task Name]]="","",IF(Tasks[[#This Row],[_IsSummary]],MIN(INDEX(Tasks[_LeafLateStart],Tasks[[#This Row],[_Row]]+1):INDEX(Tasks[_LeafLateStart],Tasks[[#This Row],[_Row]]+Tasks[[#This Row],[_Descendants]])),Tasks[[#This Row],[_LeafLateStart]]))</f>
        <v/>
      </c>
      <c r="AN134" s="31" t="str">
        <f aca="false">IF(Tasks[[#This Row],[Task Name]]="","",IF(Tasks[[#This Row],[_IsSummary]],MAX(INDEX(Tasks[_LeafLateFinish],Tasks[[#This Row],[_Row]]+1):INDEX(Tasks[_LeafLateFinish],Tasks[[#This Row],[_Row]]+Tasks[[#This Row],[_Descendants]])),Tasks[[#This Row],[_LeafLateFinish]]))</f>
        <v/>
      </c>
      <c r="AO134" s="51" t="str">
        <f aca="false">IF(Tasks[[#This Row],[Task Name]]="","",IF(Tasks[[#This Row],[_IsSummary]],MIN(INDEX(Tasks[_LeafTotalSlack],Tasks[[#This Row],[_Row]]+1):INDEX(Tasks[_LeafTotalSlack],Tasks[[#This Row],[_Row]]+Tasks[[#This Row],[_Descendants]])),Tasks[[#This Row],[_LeafTotalSlack]]))</f>
        <v/>
      </c>
      <c r="AP13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4" s="110" t="str">
        <f aca="false">IF(Tasks[[#This Row],[Task Name]]="","",IF(Tasks[[#This Row],[_IsSummary]],SUM(INDEX(Tasks[_LeafTotalWork],Tasks[[#This Row],[_Row]]+1):INDEX(Tasks[_LeafTotalWork],Tasks[[#This Row],[_Row]]+Tasks[[#This Row],[_Descendants]])),Tasks[[#This Row],[_LeafTotalWork]]))</f>
        <v/>
      </c>
      <c r="AV13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4" s="111" t="str">
        <f aca="false">IF(Tasks[[#This Row],[Task Name]]="","",IF(Tasks[[#This Row],[_IsSummary]],SUM(INDEX(Tasks[_LeafTotalCost],Tasks[[#This Row],[_Row]]+1):INDEX(Tasks[_LeafTotalCost],Tasks[[#This Row],[_Row]]+Tasks[[#This Row],[_Descendants]])),Tasks[[#This Row],[_LeafTotalCost]]))</f>
        <v/>
      </c>
      <c r="AY134" s="112"/>
      <c r="AZ13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4" s="52"/>
      <c r="BB134" s="98"/>
      <c r="BC134" s="51" t="str">
        <f aca="false">IF(OR(Tasks[[#This Row],[Task Name]]="",Tasks[[#This Row],[Baseline Duration]]=""),"",Tasks[[#This Row],[BL Source Duration]]-N(Tasks[[#This Row],[Baseline Duration]]))</f>
        <v/>
      </c>
      <c r="BD134" s="110" t="str">
        <f aca="false">IF(OR(Tasks[[#This Row],[Task Name]]="",Tasks[[#This Row],[Baseline Work]]=""),"",Tasks[[#This Row],[Work]]-N(Tasks[[#This Row],[Baseline Work]]))</f>
        <v/>
      </c>
      <c r="BE134" s="111" t="str">
        <f aca="false">IF(OR(Tasks[[#This Row],[Task Name]]="",Tasks[[#This Row],[Baseline Cost]]=""),"",Tasks[[#This Row],[Cost]]-N(Tasks[[#This Row],[Baseline Cost]]))</f>
        <v/>
      </c>
      <c r="BF134" s="31" t="str">
        <f aca="false">IF(Tasks[[#This Row],[Task Name]]="","",Tasks[[#This Row],[Forecast Start]])</f>
        <v/>
      </c>
      <c r="BG134" s="31" t="str">
        <f aca="false">IF(Tasks[[#This Row],[Task Name]]="","",Tasks[[#This Row],[Forecast Finish]])</f>
        <v/>
      </c>
      <c r="BH134" s="51" t="str">
        <f aca="false">IF(Tasks[[#This Row],[Task Name]]="","",IF(Tasks[[#This Row],[_IsSummary]],NETWORKDAYS.INTL(Tasks[[#This Row],[Forecast Start]],Tasks[[#This Row],[Forecast Finish]],WorkWeek,Holidays),N(Tasks[[#This Row],[Duration]])))</f>
        <v/>
      </c>
      <c r="BI134" s="110" t="str">
        <f aca="false">IF(Tasks[[#This Row],[Task Name]]="","",Tasks[[#This Row],[Work]])</f>
        <v/>
      </c>
      <c r="BJ134" s="111" t="str">
        <f aca="false">IF(Tasks[[#This Row],[Task Name]]="","",Tasks[[#This Row],[Cost]])</f>
        <v/>
      </c>
      <c r="BK134" s="7"/>
      <c r="BL134" s="7"/>
      <c r="BM134" s="52"/>
      <c r="BN134" s="113"/>
      <c r="BO134" s="112"/>
      <c r="BP134" s="111" t="str">
        <f aca="false">IF(Tasks[[#This Row],[Task Name]]="","",IF(Tasks[[#This Row],[_IsSummary]],SUM(INDEX(Tasks[_LeafEV],Tasks[[#This Row],[_Row]]+1):INDEX(Tasks[_LeafEV],Tasks[[#This Row],[_Row]]+Tasks[[#This Row],[_Descendants]])),Tasks[[#This Row],[_LeafEV]]))</f>
        <v/>
      </c>
      <c r="BQ134" s="111" t="str">
        <f aca="false">IF(Tasks[[#This Row],[Task Name]]="","",IF(Tasks[[#This Row],[_IsSummary]],SUM(INDEX(Tasks[_LeafBudget],Tasks[[#This Row],[_Row]]+1):INDEX(Tasks[_LeafBudget],Tasks[[#This Row],[_Row]]+Tasks[[#This Row],[_Descendants]])),Tasks[[#This Row],[_LeafBudget]]))</f>
        <v/>
      </c>
      <c r="BR134" s="111" t="str">
        <f aca="false">IF(Tasks[[#This Row],[Task Name]]="","",IF(Tasks[[#This Row],[_IsSummary]],SUM(INDEX(Tasks[_LeafPV],Tasks[[#This Row],[_Row]]+1):INDEX(Tasks[_LeafPV],Tasks[[#This Row],[_Row]]+Tasks[[#This Row],[_Descendants]])),Tasks[[#This Row],[_LeafPV]]))</f>
        <v/>
      </c>
      <c r="BS134" s="111" t="str">
        <f aca="false">IF(Tasks[[#This Row],[Task Name]]="","",IF(Tasks[[#This Row],[_IsSummary]],SUM(INDEX(Tasks[_LeafAC],Tasks[[#This Row],[_Row]]+1):INDEX(Tasks[_LeafAC],Tasks[[#This Row],[_Row]]+Tasks[[#This Row],[_Descendants]])),Tasks[[#This Row],[_LeafAC]]))</f>
        <v/>
      </c>
      <c r="BT134" s="38" t="str">
        <f aca="false">IF(Tasks[[#This Row],[Task Name]]="","",MAX(1,N(Tasks[[#This Row],[Level]])))</f>
        <v/>
      </c>
      <c r="BU134" s="38" t="n">
        <f aca="false">ROW()-ROW(Tasks[[#Headers],[ID]])</f>
        <v>129</v>
      </c>
      <c r="BV134" s="38" t="n">
        <f aca="false">IF(OR(Tasks[[#This Row],[Task Name]]="",Tasks[[#This Row],[_Level]]&lt;=1),0,IFERROR(LOOKUP(2,1/(Tasks[[#Headers],[_Level]]:Tasks[[#This Row],[_Level]]=Tasks[[#This Row],[_Level]]-1),ROW(Tasks[[#Headers],[_Level]]:Tasks[[#This Row],[_Level]])),0))</f>
        <v>0</v>
      </c>
      <c r="BW134" s="38" t="n">
        <f aca="false">IFERROR(N(INDEX(Tasks[_Level],Tasks[[#This Row],[_Row]]+1)),0)</f>
        <v>0</v>
      </c>
      <c r="BX134" s="114" t="b">
        <f aca="false">AND(Tasks[[#This Row],[Task Name]]&lt;&gt;"",Tasks[[#This Row],[_NextLevel]]&gt;Tasks[[#This Row],[_Level]])</f>
        <v>0</v>
      </c>
      <c r="BY134" s="38" t="n">
        <f aca="false">IF(Tasks[[#This Row],[_IsSummary]],COUNTIF(Tasks[WBS],Tasks[[#This Row],[WBS]]&amp;".*"),0)</f>
        <v>0</v>
      </c>
      <c r="BZ134" s="38" t="n">
        <f aca="false">IF(AND(Tasks[[#This Row],[Task Name]]&lt;&gt;"",NOT(Tasks[[#This Row],[_IsSummary]])),1,0)</f>
        <v>0</v>
      </c>
      <c r="CA134" s="38" t="n">
        <f aca="false">IF(N(Tasks[[#This Row],[Pred1 UID]])=0,0,IFERROR(MATCH(Tasks[[#This Row],[Pred1 UID]],Tasks[UID],0),-1))</f>
        <v>0</v>
      </c>
      <c r="CB134" s="38" t="n">
        <f aca="false">IF(N(Tasks[[#This Row],[Pred2 UID]])=0,0,IFERROR(MATCH(Tasks[[#This Row],[Pred2 UID]],Tasks[UID],0),-1))</f>
        <v>0</v>
      </c>
      <c r="CC134" s="38" t="n">
        <f aca="false">IF(N(Tasks[[#This Row],[Pred3 UID]])=0,0,IFERROR(MATCH(Tasks[[#This Row],[Pred3 UID]],Tasks[UID],0),-1))</f>
        <v>0</v>
      </c>
      <c r="CD134" s="38" t="n">
        <f aca="false">IF(N(Tasks[[#This Row],[Pred4 UID]])=0,0,IFERROR(MATCH(Tasks[[#This Row],[Pred4 UID]],Tasks[UID],0),-1))</f>
        <v>0</v>
      </c>
      <c r="CE13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4" s="115" t="n">
        <f aca="false">IF(OR(Tasks[[#This Row],[_ConstraintCode]]=2,Tasks[[#This Row],[_ConstraintCode]]=3,Tasks[[#This Row],[_ConstraintCode]]=4,Tasks[[#This Row],[_ConstraintCode]]=6),Tasks[[#This Row],[_ConstraintStart]],0)</f>
        <v>0</v>
      </c>
      <c r="CH134" s="115" t="n">
        <f aca="false">IF(OR(Tasks[[#This Row],[_ConstraintCode]]=2,Tasks[[#This Row],[_ConstraintCode]]=3,Tasks[[#This Row],[_ConstraintCode]]=5,Tasks[[#This Row],[_ConstraintCode]]=7),Tasks[[#This Row],[_ConstraintStart]],2958465)</f>
        <v>2958465</v>
      </c>
      <c r="CI13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4" s="115" t="str">
        <f aca="false">IF(NOT(Tasks[[#This Row],[_IsLeaf]]=1),"",IF(N(Tasks[[#This Row],[Duration]])&lt;=0,Tasks[[#This Row],[_LeafCalcStart]],WORKDAY.INTL(Tasks[[#This Row],[_LeafCalcStart]],Tasks[[#This Row],[Duration]]-1,WorkWeek,Holidays)))</f>
        <v/>
      </c>
      <c r="CK13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4" s="38" t="n">
        <f aca="false">IF(NOT(Tasks[[#This Row],[_IsLeaf]]=1),0,IF(N(Tasks[[#This Row],[Actual Finish]])&gt;0,1,MIN(1,N(Tasks[[#This Row],[% Complete]]))))</f>
        <v>0</v>
      </c>
      <c r="CN134" s="38" t="n">
        <f aca="false">IF(OR(NOT(Tasks[[#This Row],[_IsLeaf]]=1),Tasks[[#This Row],[Resource]]=""),0,N(Tasks[[#This Row],[Duration]])*HoursPerDay*IF(Tasks[[#This Row],[Units]]="",DefaultUnits,Tasks[[#This Row],[Units]]))</f>
        <v>0</v>
      </c>
      <c r="CO134" s="38" t="n">
        <f aca="false">IF(Tasks[[#This Row],[_LeafWork]]=0,0,Tasks[[#This Row],[_LeafWork]]*IFERROR(INDEX(res_Rate,MATCH(Tasks[[#This Row],[Resource]],res_Name,0)),0))</f>
        <v>0</v>
      </c>
      <c r="CP134" s="38" t="n">
        <f aca="false">Tasks[[#This Row],[_LeafWork]]+IF(Tasks[[#This Row],[_IsLeaf]]=1,SUMIFS(asg_Work,asg_TaskUID,Tasks[[#This Row],[UID]],asg_Valid,1),0)</f>
        <v>0</v>
      </c>
      <c r="CQ134" s="38" t="n">
        <f aca="false">Tasks[[#This Row],[_LeafCost]]+IF(Tasks[[#This Row],[_IsLeaf]]=1,SUMIFS(asg_Cost,asg_TaskUID,Tasks[[#This Row],[UID]],asg_Valid,1),0)</f>
        <v>0</v>
      </c>
      <c r="CR134" s="38" t="n">
        <f aca="false">IF(Tasks[[#This Row],[_LeafTotalCost]]=0,Tasks[[#This Row],[_LeafAC]],Tasks[[#This Row],[_LeafAC]]*Tasks[[#This Row],[_LeafCost]]/Tasks[[#This Row],[_LeafTotalCost]])</f>
        <v>0</v>
      </c>
      <c r="CS13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4" s="38" t="n">
        <f aca="false">IF(NOT(Tasks[[#This Row],[_IsLeaf]]=1),0,MAX(_xlfn.MAXIFS(Tasks[_Row],Tasks[Pred1 UID],Tasks[[#This Row],[UID]]),_xlfn.MAXIFS(Tasks[_Row],Tasks[Pred2 UID],Tasks[[#This Row],[UID]]),_xlfn.MAXIFS(Tasks[_Row],Tasks[Pred3 UID],Tasks[[#This Row],[UID]]),_xlfn.MAXIFS(Tasks[_Row],Tasks[Pred4 UID],Tasks[[#This Row],[UID]])))</f>
        <v>0</v>
      </c>
      <c r="DB13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4" s="115" t="str">
        <f aca="false">IF(NOT(Tasks[[#This Row],[_IsLeaf]]=1),"",IF(N(Tasks[[#This Row],[Duration]])&lt;=0,Tasks[[#This Row],[_LeafLateFinish]],WORKDAY.INTL(Tasks[[#This Row],[_LeafLateFinish]],-(Tasks[[#This Row],[Duration]]-1),WorkWeek,Holidays)))</f>
        <v/>
      </c>
      <c r="DE13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4" s="114" t="b">
        <f aca="false">AND(Tasks[[#This Row],[_IsLeaf]]=1,Tasks[[#This Row],[_LeafProgress]]&lt;1,N(Tasks[[#This Row],[_LeafTotalSlack]])&lt;=CriticalSlackDays)</f>
        <v>0</v>
      </c>
      <c r="DG134" s="38" t="n">
        <f aca="false">IF(AND(Tasks[[#This Row],[_IsLeaf]]=1,Tasks[[#This Row],[_ConstraintCode]]=1,Tasks[[#This Row],[Mode]]&lt;&gt;"Manual",N(Tasks[[#This Row],[Actual Start]])=0),MAX(0,N(Tasks[[#This Row],[Free Slack]])),0)</f>
        <v>0</v>
      </c>
      <c r="DH134" s="115" t="str">
        <f aca="false">IF(NOT(Tasks[[#This Row],[_IsLeaf]]=1),"",IF(Tasks[[#This Row],[_AlapShift]]=0,Tasks[[#This Row],[_LeafCalcStart]],WORKDAY.INTL(Tasks[[#This Row],[_LeafCalcStart]],Tasks[[#This Row],[_AlapShift]],WorkWeek,Holidays)))</f>
        <v/>
      </c>
      <c r="DI134" s="115" t="str">
        <f aca="false">IF(NOT(Tasks[[#This Row],[_IsLeaf]]=1),"",IF(Tasks[[#This Row],[_AlapShift]]=0,Tasks[[#This Row],[_LeafCalcFinish]],WORKDAY.INTL(Tasks[[#This Row],[_LeafCalcFinish]],Tasks[[#This Row],[_AlapShift]],WorkWeek,Holidays)))</f>
        <v/>
      </c>
      <c r="DJ134" s="115" t="str">
        <f aca="false">IF(NOT(Tasks[[#This Row],[_IsLeaf]]=1),"",IF(Tasks[[#This Row],[_AlapShift]]=0,Tasks[[#This Row],[_LeafFcstStart]],WORKDAY.INTL(Tasks[[#This Row],[_LeafFcstStart]],Tasks[[#This Row],[_AlapShift]],WorkWeek,Holidays)))</f>
        <v/>
      </c>
      <c r="DK134" s="115" t="str">
        <f aca="false">IF(NOT(Tasks[[#This Row],[_IsLeaf]]=1),"",IF(Tasks[[#This Row],[_AlapShift]]=0,Tasks[[#This Row],[_LeafFcstFinish]],WORKDAY.INTL(Tasks[[#This Row],[_LeafFcstFinish]],Tasks[[#This Row],[_AlapShift]],WorkWeek,Holidays)))</f>
        <v/>
      </c>
      <c r="DL134" s="115" t="str">
        <f aca="false">IF(Tasks[[#This Row],[Task Name]]="","",IF(Tasks[[#This Row],[_IsSummary]],MIN(INDEX(Tasks[_ShownCalcStart],Tasks[[#This Row],[_Row]]+1):INDEX(Tasks[_ShownCalcStart],Tasks[[#This Row],[_Row]]+Tasks[[#This Row],[_Descendants]])),Tasks[[#This Row],[_ShownCalcStart]]))</f>
        <v/>
      </c>
      <c r="DM134" s="115" t="str">
        <f aca="false">IF(Tasks[[#This Row],[Task Name]]="","",IF(Tasks[[#This Row],[_IsSummary]],MAX(INDEX(Tasks[_ShownCalcFinish],Tasks[[#This Row],[_Row]]+1):INDEX(Tasks[_ShownCalcFinish],Tasks[[#This Row],[_Row]]+Tasks[[#This Row],[_Descendants]])),Tasks[[#This Row],[_ShownCalcFinish]]))</f>
        <v/>
      </c>
      <c r="DN13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4" s="38" t="n">
        <f aca="false">IF(AND(Tasks[[#This Row],[_IsLeaf]]=1,Tasks[[#This Row],[_LeafTotalWork]]&gt;0),NETWORKDAYS.INTL(ProjectStart,Tasks[[#This Row],[_ShownFcstStart]],WorkWeek,Holidays),0)</f>
        <v>0</v>
      </c>
      <c r="EA134" s="38" t="n">
        <f aca="false">IF(AND(Tasks[[#This Row],[_IsLeaf]]=1,Tasks[[#This Row],[_LeafTotalWork]]&gt;0),MAX(Tasks[[#This Row],[_StartWorkday]],NETWORKDAYS.INTL(ProjectStart,Tasks[[#This Row],[_ShownFcstFinish]],WorkWeek,Holidays)),0)</f>
        <v>0</v>
      </c>
      <c r="EB134" s="38" t="n">
        <f aca="false">IF(AND(Tasks[[#This Row],[_IsLeaf]]=1,Tasks[[#This Row],[_LeafTotalWork]]&gt;0),Tasks[[#This Row],[_LeafWork]]/(Tasks[[#This Row],[_FinishWorkday]]-Tasks[[#This Row],[_StartWorkday]]+1),0)</f>
        <v>0</v>
      </c>
      <c r="EC134" s="38" t="n">
        <f aca="false">Tasks[[#This Row],[_WorkPerWorkday]]*(Tasks[[#This Row],[_StartWorkday]]-1)</f>
        <v>-0</v>
      </c>
      <c r="ED134" s="38" t="n">
        <f aca="false">IF(Tasks[[#This Row],[_IsLeaf]]=1,MAX(N(Tasks[[#This Row],[Duration]]),0.1),0)</f>
        <v>0</v>
      </c>
      <c r="EE134" s="38" t="n">
        <f aca="false">Tasks[[#This Row],[_WeightDur]]*Tasks[[#This Row],[_LeafProgress]]</f>
        <v>0</v>
      </c>
      <c r="EF13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4" s="38" t="str">
        <f aca="false">IF(AND(Tasks[[#This Row],[_IsLeaf]]=1,N(Tasks[[#This Row],[Duration]])=0,Tasks[[#This Row],[_LeafProgress]]&lt;1),Tasks[[#This Row],[_ShownFcstFinish]]+Tasks[[#This Row],[_Row]]/100000,"")</f>
        <v/>
      </c>
      <c r="EH13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4" s="38" t="n">
        <f aca="false">IF(NOT(Tasks[[#This Row],[_IsLeaf]]=1),0,IF(Tasks[[#This Row],[Baseline Cost]]="",Tasks[[#This Row],[_LeafTotalCost]],N(Tasks[[#This Row],[Baseline Cost]])))</f>
        <v>0</v>
      </c>
      <c r="EJ134" s="38" t="n">
        <f aca="false">Tasks[[#This Row],[_LeafBudget]]*Tasks[[#This Row],[_PlannedPct]]</f>
        <v>0</v>
      </c>
      <c r="EK134" s="38" t="n">
        <f aca="false">Tasks[[#This Row],[_LeafBudget]]*Tasks[[#This Row],[_LeafProgress]]</f>
        <v>0</v>
      </c>
      <c r="EL134" s="38" t="n">
        <f aca="false">IF(NOT(Tasks[[#This Row],[_IsLeaf]]=1),0,IF(Tasks[[#This Row],[Actual Cost]]="",Tasks[[#This Row],[_LeafTotalCost]]*Tasks[[#This Row],[_LeafProgress]],N(Tasks[[#This Row],[Actual Cost]])))</f>
        <v>0</v>
      </c>
      <c r="EM134" s="38" t="str">
        <f aca="false">IF(Tasks[[#This Row],[Task Name]]="","",LEFT(Tasks[[#This Row],[WBS]],FIND(".",Tasks[[#This Row],[WBS]]&amp;".")-1))</f>
        <v/>
      </c>
      <c r="EN134" s="38" t="str">
        <f aca="false">IF(AND(Tasks[[#This Row],[Task Name]]&lt;&gt;"",Tasks[[#This Row],[_Level]]=1),Tasks[[#This Row],[_Row]],"")</f>
        <v/>
      </c>
      <c r="EO134" s="38" t="str">
        <f aca="false">IF(AND(Tasks[[#This Row],[_IsLeaf]]=1,N(Tasks[[#This Row],[Duration]])=0),Tasks[[#This Row],[Planned Finish]]+Tasks[[#This Row],[_Row]]/100000,"")</f>
        <v/>
      </c>
      <c r="EP134" s="38" t="str">
        <f aca="false">IF(AND(Tasks[[#This Row],[_IsLeaf]]=1,Tasks[[#This Row],[_LeafProgress]]&lt;1,OR(N(Tasks[[#This Row],[Finish Var]])&gt;0,Tasks[[#This Row],[Status]]="Late Start")),MAX(0,Tasks[[#This Row],[Finish Var]])+1-Tasks[[#This Row],[_Row]]/1000000,"")</f>
        <v/>
      </c>
      <c r="EQ134" s="38" t="str">
        <f aca="false">IF(AND(Tasks[[#This Row],[_IsLeaf]]=1,N(Tasks[[#This Row],[Actual Start]])=0,Tasks[[#This Row],[_ShownFcstStart]]&gt;=StatusDate,Tasks[[#This Row],[_ShownFcstStart]]&lt;=LookaheadEnd),Tasks[[#This Row],[_ShownFcstStart]]+Tasks[[#This Row],[_Row]]/100000,"")</f>
        <v/>
      </c>
      <c r="ER134" s="38" t="str">
        <f aca="false">IF(AND(Tasks[[#This Row],[_IsLeaf]]=1,Tasks[[#This Row],[_LeafProgress]]&lt;1,Tasks[[#This Row],[_ShownFcstFinish]]&gt;=StatusDate,Tasks[[#This Row],[_ShownFcstFinish]]&lt;=LookaheadEnd),Tasks[[#This Row],[_ShownFcstFinish]]+Tasks[[#This Row],[_Row]]/100000,"")</f>
        <v/>
      </c>
      <c r="ES134" s="38" t="str">
        <f aca="false">IF(Tasks[[#This Row],[_LeafCritical]],Tasks[[#This Row],[_ShownFcstStart]]+Tasks[[#This Row],[_Row]]/100000,"")</f>
        <v/>
      </c>
      <c r="ET134" s="38" t="n">
        <f aca="false">Tasks[[#This Row],[_LeafWork]]*Tasks[[#This Row],[_LeafProgress]]</f>
        <v>0</v>
      </c>
      <c r="EU134" s="115" t="str">
        <f aca="false">IF(AND(Tasks[[#This Row],[_IsLeaf]]=1,Tasks[[#This Row],[_LeafProgress]]&gt;=1),IF(N(Tasks[[#This Row],[Actual Finish]])&gt;0,Tasks[[#This Row],[Actual Finish]],Tasks[[#This Row],[_ShownFcstFinish]]),"")</f>
        <v/>
      </c>
      <c r="EV134" s="38" t="n">
        <f aca="false">IF(Tasks[[#This Row],[_IsLeaf]]=1,N(Tasks[[#This Row],[Story Points]]),0)</f>
        <v>0</v>
      </c>
      <c r="EW134" s="38" t="str">
        <f aca="false">IF(AND(Tasks[[#This Row],[_IsLeaf]]=1,CurrentSprint&lt;&gt;"",Tasks[[#This Row],[Sprint]]=CurrentSprint),Tasks[[#This Row],[_Row]],"")</f>
        <v/>
      </c>
    </row>
    <row r="135" customFormat="false" ht="15" hidden="false" customHeight="false" outlineLevel="0" collapsed="false">
      <c r="A135" s="51" t="str">
        <f aca="false">IF(Tasks[[#This Row],[Task Name]]="","",COUNTA(Tasks[[#Headers],[Task Name]]:Tasks[[#This Row],[Task Name]])-1)</f>
        <v/>
      </c>
      <c r="B135" s="52" t="n">
        <v>130</v>
      </c>
      <c r="C13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52"/>
      <c r="E135" s="53"/>
      <c r="F135" s="52"/>
      <c r="G135" s="52"/>
      <c r="H135" s="52"/>
      <c r="I135" s="52"/>
      <c r="J135" s="52"/>
      <c r="K135" s="52"/>
      <c r="L135" s="52"/>
      <c r="M135" s="52"/>
      <c r="N135" s="52"/>
      <c r="O135" s="52"/>
      <c r="P135" s="52"/>
      <c r="Q135" s="52"/>
      <c r="R135" s="52"/>
      <c r="S135" s="53"/>
      <c r="T135" s="102"/>
      <c r="U135" s="102"/>
      <c r="V135" s="7"/>
      <c r="W135" s="7"/>
      <c r="X135" s="53"/>
      <c r="Y135" s="31" t="str">
        <f aca="false">IF(Tasks[[#This Row],[Task Name]]="","",IF(Tasks[[#This Row],[_IsSummary]],MIN(INDEX(Tasks[_ShownFcstStart],Tasks[[#This Row],[_Row]]+1):INDEX(Tasks[_ShownFcstStart],Tasks[[#This Row],[_Row]]+Tasks[[#This Row],[_Descendants]])),Tasks[[#This Row],[_ShownFcstStart]]))</f>
        <v/>
      </c>
      <c r="Z135" s="31" t="str">
        <f aca="false">IF(Tasks[[#This Row],[Task Name]]="","",IF(Tasks[[#This Row],[_IsSummary]],MAX(INDEX(Tasks[_ShownFcstFinish],Tasks[[#This Row],[_Row]]+1):INDEX(Tasks[_ShownFcstFinish],Tasks[[#This Row],[_Row]]+Tasks[[#This Row],[_Descendants]])),Tasks[[#This Row],[_ShownFcstFinish]]))</f>
        <v/>
      </c>
      <c r="AA135" s="51" t="str">
        <f aca="false">IF(Tasks[[#This Row],[Task Name]]="","",IF(Tasks[[#This Row],[Progress]]&gt;=1,"Complete",IF(OR(N(Tasks[[#This Row],[Actual Start]])&gt;0,Tasks[[#This Row],[Progress]]&gt;0),IF(Tasks[[#This Row],[Finish Var]]&gt;0,"Behind","In Progress"),IF(Tasks[[#This Row],[Planned Start]]&lt;StatusDate,"Late Start","Not Started"))))</f>
        <v/>
      </c>
      <c r="AB135" s="51" t="str">
        <f aca="false">IF(Tasks[[#This Row],[Task Name]]="","",IF(IF(Tasks[[#This Row],[_IsSummary]],COUNTIF(INDEX(Tasks[_LeafCritical],Tasks[[#This Row],[_Row]]+1):INDEX(Tasks[_LeafCritical],Tasks[[#This Row],[_Row]]+Tasks[[#This Row],[_Descendants]]),TRUE())&gt;0,Tasks[[#This Row],[_LeafCritical]]),"Yes",""))</f>
        <v/>
      </c>
      <c r="AC13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5" s="51" t="str">
        <f aca="false">IF(Tasks[[#This Row],[Task Name]]="","",IF(Tasks[[#This Row],[_Level]]&lt;=OutlineShowLevel,"Yes","No"))</f>
        <v/>
      </c>
      <c r="AE135" s="7"/>
      <c r="AF135" s="52"/>
      <c r="AG135" s="53"/>
      <c r="AH135" s="7"/>
      <c r="AI13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5" s="31" t="str">
        <f aca="false">IF(Tasks[[#This Row],[Task Name]]="","",IF(N(Tasks[[#This Row],[Baseline Start]])&gt;0,Tasks[[#This Row],[Baseline Start]],Tasks[[#This Row],[_CalcStart]]))</f>
        <v/>
      </c>
      <c r="AK135" s="31" t="str">
        <f aca="false">IF(Tasks[[#This Row],[Task Name]]="","",IF(N(Tasks[[#This Row],[Baseline Finish]])&gt;0,Tasks[[#This Row],[Baseline Finish]],Tasks[[#This Row],[_CalcFinish]]))</f>
        <v/>
      </c>
      <c r="AL13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5" s="31" t="str">
        <f aca="false">IF(Tasks[[#This Row],[Task Name]]="","",IF(Tasks[[#This Row],[_IsSummary]],MIN(INDEX(Tasks[_LeafLateStart],Tasks[[#This Row],[_Row]]+1):INDEX(Tasks[_LeafLateStart],Tasks[[#This Row],[_Row]]+Tasks[[#This Row],[_Descendants]])),Tasks[[#This Row],[_LeafLateStart]]))</f>
        <v/>
      </c>
      <c r="AN135" s="31" t="str">
        <f aca="false">IF(Tasks[[#This Row],[Task Name]]="","",IF(Tasks[[#This Row],[_IsSummary]],MAX(INDEX(Tasks[_LeafLateFinish],Tasks[[#This Row],[_Row]]+1):INDEX(Tasks[_LeafLateFinish],Tasks[[#This Row],[_Row]]+Tasks[[#This Row],[_Descendants]])),Tasks[[#This Row],[_LeafLateFinish]]))</f>
        <v/>
      </c>
      <c r="AO135" s="51" t="str">
        <f aca="false">IF(Tasks[[#This Row],[Task Name]]="","",IF(Tasks[[#This Row],[_IsSummary]],MIN(INDEX(Tasks[_LeafTotalSlack],Tasks[[#This Row],[_Row]]+1):INDEX(Tasks[_LeafTotalSlack],Tasks[[#This Row],[_Row]]+Tasks[[#This Row],[_Descendants]])),Tasks[[#This Row],[_LeafTotalSlack]]))</f>
        <v/>
      </c>
      <c r="AP13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5" s="110" t="str">
        <f aca="false">IF(Tasks[[#This Row],[Task Name]]="","",IF(Tasks[[#This Row],[_IsSummary]],SUM(INDEX(Tasks[_LeafTotalWork],Tasks[[#This Row],[_Row]]+1):INDEX(Tasks[_LeafTotalWork],Tasks[[#This Row],[_Row]]+Tasks[[#This Row],[_Descendants]])),Tasks[[#This Row],[_LeafTotalWork]]))</f>
        <v/>
      </c>
      <c r="AV13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5" s="111" t="str">
        <f aca="false">IF(Tasks[[#This Row],[Task Name]]="","",IF(Tasks[[#This Row],[_IsSummary]],SUM(INDEX(Tasks[_LeafTotalCost],Tasks[[#This Row],[_Row]]+1):INDEX(Tasks[_LeafTotalCost],Tasks[[#This Row],[_Row]]+Tasks[[#This Row],[_Descendants]])),Tasks[[#This Row],[_LeafTotalCost]]))</f>
        <v/>
      </c>
      <c r="AY135" s="112"/>
      <c r="AZ13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5" s="52"/>
      <c r="BB135" s="98"/>
      <c r="BC135" s="51" t="str">
        <f aca="false">IF(OR(Tasks[[#This Row],[Task Name]]="",Tasks[[#This Row],[Baseline Duration]]=""),"",Tasks[[#This Row],[BL Source Duration]]-N(Tasks[[#This Row],[Baseline Duration]]))</f>
        <v/>
      </c>
      <c r="BD135" s="110" t="str">
        <f aca="false">IF(OR(Tasks[[#This Row],[Task Name]]="",Tasks[[#This Row],[Baseline Work]]=""),"",Tasks[[#This Row],[Work]]-N(Tasks[[#This Row],[Baseline Work]]))</f>
        <v/>
      </c>
      <c r="BE135" s="111" t="str">
        <f aca="false">IF(OR(Tasks[[#This Row],[Task Name]]="",Tasks[[#This Row],[Baseline Cost]]=""),"",Tasks[[#This Row],[Cost]]-N(Tasks[[#This Row],[Baseline Cost]]))</f>
        <v/>
      </c>
      <c r="BF135" s="31" t="str">
        <f aca="false">IF(Tasks[[#This Row],[Task Name]]="","",Tasks[[#This Row],[Forecast Start]])</f>
        <v/>
      </c>
      <c r="BG135" s="31" t="str">
        <f aca="false">IF(Tasks[[#This Row],[Task Name]]="","",Tasks[[#This Row],[Forecast Finish]])</f>
        <v/>
      </c>
      <c r="BH135" s="51" t="str">
        <f aca="false">IF(Tasks[[#This Row],[Task Name]]="","",IF(Tasks[[#This Row],[_IsSummary]],NETWORKDAYS.INTL(Tasks[[#This Row],[Forecast Start]],Tasks[[#This Row],[Forecast Finish]],WorkWeek,Holidays),N(Tasks[[#This Row],[Duration]])))</f>
        <v/>
      </c>
      <c r="BI135" s="110" t="str">
        <f aca="false">IF(Tasks[[#This Row],[Task Name]]="","",Tasks[[#This Row],[Work]])</f>
        <v/>
      </c>
      <c r="BJ135" s="111" t="str">
        <f aca="false">IF(Tasks[[#This Row],[Task Name]]="","",Tasks[[#This Row],[Cost]])</f>
        <v/>
      </c>
      <c r="BK135" s="7"/>
      <c r="BL135" s="7"/>
      <c r="BM135" s="52"/>
      <c r="BN135" s="113"/>
      <c r="BO135" s="112"/>
      <c r="BP135" s="111" t="str">
        <f aca="false">IF(Tasks[[#This Row],[Task Name]]="","",IF(Tasks[[#This Row],[_IsSummary]],SUM(INDEX(Tasks[_LeafEV],Tasks[[#This Row],[_Row]]+1):INDEX(Tasks[_LeafEV],Tasks[[#This Row],[_Row]]+Tasks[[#This Row],[_Descendants]])),Tasks[[#This Row],[_LeafEV]]))</f>
        <v/>
      </c>
      <c r="BQ135" s="111" t="str">
        <f aca="false">IF(Tasks[[#This Row],[Task Name]]="","",IF(Tasks[[#This Row],[_IsSummary]],SUM(INDEX(Tasks[_LeafBudget],Tasks[[#This Row],[_Row]]+1):INDEX(Tasks[_LeafBudget],Tasks[[#This Row],[_Row]]+Tasks[[#This Row],[_Descendants]])),Tasks[[#This Row],[_LeafBudget]]))</f>
        <v/>
      </c>
      <c r="BR135" s="111" t="str">
        <f aca="false">IF(Tasks[[#This Row],[Task Name]]="","",IF(Tasks[[#This Row],[_IsSummary]],SUM(INDEX(Tasks[_LeafPV],Tasks[[#This Row],[_Row]]+1):INDEX(Tasks[_LeafPV],Tasks[[#This Row],[_Row]]+Tasks[[#This Row],[_Descendants]])),Tasks[[#This Row],[_LeafPV]]))</f>
        <v/>
      </c>
      <c r="BS135" s="111" t="str">
        <f aca="false">IF(Tasks[[#This Row],[Task Name]]="","",IF(Tasks[[#This Row],[_IsSummary]],SUM(INDEX(Tasks[_LeafAC],Tasks[[#This Row],[_Row]]+1):INDEX(Tasks[_LeafAC],Tasks[[#This Row],[_Row]]+Tasks[[#This Row],[_Descendants]])),Tasks[[#This Row],[_LeafAC]]))</f>
        <v/>
      </c>
      <c r="BT135" s="38" t="str">
        <f aca="false">IF(Tasks[[#This Row],[Task Name]]="","",MAX(1,N(Tasks[[#This Row],[Level]])))</f>
        <v/>
      </c>
      <c r="BU135" s="38" t="n">
        <f aca="false">ROW()-ROW(Tasks[[#Headers],[ID]])</f>
        <v>130</v>
      </c>
      <c r="BV135" s="38" t="n">
        <f aca="false">IF(OR(Tasks[[#This Row],[Task Name]]="",Tasks[[#This Row],[_Level]]&lt;=1),0,IFERROR(LOOKUP(2,1/(Tasks[[#Headers],[_Level]]:Tasks[[#This Row],[_Level]]=Tasks[[#This Row],[_Level]]-1),ROW(Tasks[[#Headers],[_Level]]:Tasks[[#This Row],[_Level]])),0))</f>
        <v>0</v>
      </c>
      <c r="BW135" s="38" t="n">
        <f aca="false">IFERROR(N(INDEX(Tasks[_Level],Tasks[[#This Row],[_Row]]+1)),0)</f>
        <v>0</v>
      </c>
      <c r="BX135" s="114" t="b">
        <f aca="false">AND(Tasks[[#This Row],[Task Name]]&lt;&gt;"",Tasks[[#This Row],[_NextLevel]]&gt;Tasks[[#This Row],[_Level]])</f>
        <v>0</v>
      </c>
      <c r="BY135" s="38" t="n">
        <f aca="false">IF(Tasks[[#This Row],[_IsSummary]],COUNTIF(Tasks[WBS],Tasks[[#This Row],[WBS]]&amp;".*"),0)</f>
        <v>0</v>
      </c>
      <c r="BZ135" s="38" t="n">
        <f aca="false">IF(AND(Tasks[[#This Row],[Task Name]]&lt;&gt;"",NOT(Tasks[[#This Row],[_IsSummary]])),1,0)</f>
        <v>0</v>
      </c>
      <c r="CA135" s="38" t="n">
        <f aca="false">IF(N(Tasks[[#This Row],[Pred1 UID]])=0,0,IFERROR(MATCH(Tasks[[#This Row],[Pred1 UID]],Tasks[UID],0),-1))</f>
        <v>0</v>
      </c>
      <c r="CB135" s="38" t="n">
        <f aca="false">IF(N(Tasks[[#This Row],[Pred2 UID]])=0,0,IFERROR(MATCH(Tasks[[#This Row],[Pred2 UID]],Tasks[UID],0),-1))</f>
        <v>0</v>
      </c>
      <c r="CC135" s="38" t="n">
        <f aca="false">IF(N(Tasks[[#This Row],[Pred3 UID]])=0,0,IFERROR(MATCH(Tasks[[#This Row],[Pred3 UID]],Tasks[UID],0),-1))</f>
        <v>0</v>
      </c>
      <c r="CD135" s="38" t="n">
        <f aca="false">IF(N(Tasks[[#This Row],[Pred4 UID]])=0,0,IFERROR(MATCH(Tasks[[#This Row],[Pred4 UID]],Tasks[UID],0),-1))</f>
        <v>0</v>
      </c>
      <c r="CE13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5" s="115" t="n">
        <f aca="false">IF(OR(Tasks[[#This Row],[_ConstraintCode]]=2,Tasks[[#This Row],[_ConstraintCode]]=3,Tasks[[#This Row],[_ConstraintCode]]=4,Tasks[[#This Row],[_ConstraintCode]]=6),Tasks[[#This Row],[_ConstraintStart]],0)</f>
        <v>0</v>
      </c>
      <c r="CH135" s="115" t="n">
        <f aca="false">IF(OR(Tasks[[#This Row],[_ConstraintCode]]=2,Tasks[[#This Row],[_ConstraintCode]]=3,Tasks[[#This Row],[_ConstraintCode]]=5,Tasks[[#This Row],[_ConstraintCode]]=7),Tasks[[#This Row],[_ConstraintStart]],2958465)</f>
        <v>2958465</v>
      </c>
      <c r="CI13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5" s="115" t="str">
        <f aca="false">IF(NOT(Tasks[[#This Row],[_IsLeaf]]=1),"",IF(N(Tasks[[#This Row],[Duration]])&lt;=0,Tasks[[#This Row],[_LeafCalcStart]],WORKDAY.INTL(Tasks[[#This Row],[_LeafCalcStart]],Tasks[[#This Row],[Duration]]-1,WorkWeek,Holidays)))</f>
        <v/>
      </c>
      <c r="CK13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5" s="38" t="n">
        <f aca="false">IF(NOT(Tasks[[#This Row],[_IsLeaf]]=1),0,IF(N(Tasks[[#This Row],[Actual Finish]])&gt;0,1,MIN(1,N(Tasks[[#This Row],[% Complete]]))))</f>
        <v>0</v>
      </c>
      <c r="CN135" s="38" t="n">
        <f aca="false">IF(OR(NOT(Tasks[[#This Row],[_IsLeaf]]=1),Tasks[[#This Row],[Resource]]=""),0,N(Tasks[[#This Row],[Duration]])*HoursPerDay*IF(Tasks[[#This Row],[Units]]="",DefaultUnits,Tasks[[#This Row],[Units]]))</f>
        <v>0</v>
      </c>
      <c r="CO135" s="38" t="n">
        <f aca="false">IF(Tasks[[#This Row],[_LeafWork]]=0,0,Tasks[[#This Row],[_LeafWork]]*IFERROR(INDEX(res_Rate,MATCH(Tasks[[#This Row],[Resource]],res_Name,0)),0))</f>
        <v>0</v>
      </c>
      <c r="CP135" s="38" t="n">
        <f aca="false">Tasks[[#This Row],[_LeafWork]]+IF(Tasks[[#This Row],[_IsLeaf]]=1,SUMIFS(asg_Work,asg_TaskUID,Tasks[[#This Row],[UID]],asg_Valid,1),0)</f>
        <v>0</v>
      </c>
      <c r="CQ135" s="38" t="n">
        <f aca="false">Tasks[[#This Row],[_LeafCost]]+IF(Tasks[[#This Row],[_IsLeaf]]=1,SUMIFS(asg_Cost,asg_TaskUID,Tasks[[#This Row],[UID]],asg_Valid,1),0)</f>
        <v>0</v>
      </c>
      <c r="CR135" s="38" t="n">
        <f aca="false">IF(Tasks[[#This Row],[_LeafTotalCost]]=0,Tasks[[#This Row],[_LeafAC]],Tasks[[#This Row],[_LeafAC]]*Tasks[[#This Row],[_LeafCost]]/Tasks[[#This Row],[_LeafTotalCost]])</f>
        <v>0</v>
      </c>
      <c r="CS13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5" s="38" t="n">
        <f aca="false">IF(NOT(Tasks[[#This Row],[_IsLeaf]]=1),0,MAX(_xlfn.MAXIFS(Tasks[_Row],Tasks[Pred1 UID],Tasks[[#This Row],[UID]]),_xlfn.MAXIFS(Tasks[_Row],Tasks[Pred2 UID],Tasks[[#This Row],[UID]]),_xlfn.MAXIFS(Tasks[_Row],Tasks[Pred3 UID],Tasks[[#This Row],[UID]]),_xlfn.MAXIFS(Tasks[_Row],Tasks[Pred4 UID],Tasks[[#This Row],[UID]])))</f>
        <v>0</v>
      </c>
      <c r="DB13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5" s="115" t="str">
        <f aca="false">IF(NOT(Tasks[[#This Row],[_IsLeaf]]=1),"",IF(N(Tasks[[#This Row],[Duration]])&lt;=0,Tasks[[#This Row],[_LeafLateFinish]],WORKDAY.INTL(Tasks[[#This Row],[_LeafLateFinish]],-(Tasks[[#This Row],[Duration]]-1),WorkWeek,Holidays)))</f>
        <v/>
      </c>
      <c r="DE13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5" s="114" t="b">
        <f aca="false">AND(Tasks[[#This Row],[_IsLeaf]]=1,Tasks[[#This Row],[_LeafProgress]]&lt;1,N(Tasks[[#This Row],[_LeafTotalSlack]])&lt;=CriticalSlackDays)</f>
        <v>0</v>
      </c>
      <c r="DG135" s="38" t="n">
        <f aca="false">IF(AND(Tasks[[#This Row],[_IsLeaf]]=1,Tasks[[#This Row],[_ConstraintCode]]=1,Tasks[[#This Row],[Mode]]&lt;&gt;"Manual",N(Tasks[[#This Row],[Actual Start]])=0),MAX(0,N(Tasks[[#This Row],[Free Slack]])),0)</f>
        <v>0</v>
      </c>
      <c r="DH135" s="115" t="str">
        <f aca="false">IF(NOT(Tasks[[#This Row],[_IsLeaf]]=1),"",IF(Tasks[[#This Row],[_AlapShift]]=0,Tasks[[#This Row],[_LeafCalcStart]],WORKDAY.INTL(Tasks[[#This Row],[_LeafCalcStart]],Tasks[[#This Row],[_AlapShift]],WorkWeek,Holidays)))</f>
        <v/>
      </c>
      <c r="DI135" s="115" t="str">
        <f aca="false">IF(NOT(Tasks[[#This Row],[_IsLeaf]]=1),"",IF(Tasks[[#This Row],[_AlapShift]]=0,Tasks[[#This Row],[_LeafCalcFinish]],WORKDAY.INTL(Tasks[[#This Row],[_LeafCalcFinish]],Tasks[[#This Row],[_AlapShift]],WorkWeek,Holidays)))</f>
        <v/>
      </c>
      <c r="DJ135" s="115" t="str">
        <f aca="false">IF(NOT(Tasks[[#This Row],[_IsLeaf]]=1),"",IF(Tasks[[#This Row],[_AlapShift]]=0,Tasks[[#This Row],[_LeafFcstStart]],WORKDAY.INTL(Tasks[[#This Row],[_LeafFcstStart]],Tasks[[#This Row],[_AlapShift]],WorkWeek,Holidays)))</f>
        <v/>
      </c>
      <c r="DK135" s="115" t="str">
        <f aca="false">IF(NOT(Tasks[[#This Row],[_IsLeaf]]=1),"",IF(Tasks[[#This Row],[_AlapShift]]=0,Tasks[[#This Row],[_LeafFcstFinish]],WORKDAY.INTL(Tasks[[#This Row],[_LeafFcstFinish]],Tasks[[#This Row],[_AlapShift]],WorkWeek,Holidays)))</f>
        <v/>
      </c>
      <c r="DL135" s="115" t="str">
        <f aca="false">IF(Tasks[[#This Row],[Task Name]]="","",IF(Tasks[[#This Row],[_IsSummary]],MIN(INDEX(Tasks[_ShownCalcStart],Tasks[[#This Row],[_Row]]+1):INDEX(Tasks[_ShownCalcStart],Tasks[[#This Row],[_Row]]+Tasks[[#This Row],[_Descendants]])),Tasks[[#This Row],[_ShownCalcStart]]))</f>
        <v/>
      </c>
      <c r="DM135" s="115" t="str">
        <f aca="false">IF(Tasks[[#This Row],[Task Name]]="","",IF(Tasks[[#This Row],[_IsSummary]],MAX(INDEX(Tasks[_ShownCalcFinish],Tasks[[#This Row],[_Row]]+1):INDEX(Tasks[_ShownCalcFinish],Tasks[[#This Row],[_Row]]+Tasks[[#This Row],[_Descendants]])),Tasks[[#This Row],[_ShownCalcFinish]]))</f>
        <v/>
      </c>
      <c r="DN13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5" s="38" t="n">
        <f aca="false">IF(AND(Tasks[[#This Row],[_IsLeaf]]=1,Tasks[[#This Row],[_LeafTotalWork]]&gt;0),NETWORKDAYS.INTL(ProjectStart,Tasks[[#This Row],[_ShownFcstStart]],WorkWeek,Holidays),0)</f>
        <v>0</v>
      </c>
      <c r="EA135" s="38" t="n">
        <f aca="false">IF(AND(Tasks[[#This Row],[_IsLeaf]]=1,Tasks[[#This Row],[_LeafTotalWork]]&gt;0),MAX(Tasks[[#This Row],[_StartWorkday]],NETWORKDAYS.INTL(ProjectStart,Tasks[[#This Row],[_ShownFcstFinish]],WorkWeek,Holidays)),0)</f>
        <v>0</v>
      </c>
      <c r="EB135" s="38" t="n">
        <f aca="false">IF(AND(Tasks[[#This Row],[_IsLeaf]]=1,Tasks[[#This Row],[_LeafTotalWork]]&gt;0),Tasks[[#This Row],[_LeafWork]]/(Tasks[[#This Row],[_FinishWorkday]]-Tasks[[#This Row],[_StartWorkday]]+1),0)</f>
        <v>0</v>
      </c>
      <c r="EC135" s="38" t="n">
        <f aca="false">Tasks[[#This Row],[_WorkPerWorkday]]*(Tasks[[#This Row],[_StartWorkday]]-1)</f>
        <v>-0</v>
      </c>
      <c r="ED135" s="38" t="n">
        <f aca="false">IF(Tasks[[#This Row],[_IsLeaf]]=1,MAX(N(Tasks[[#This Row],[Duration]]),0.1),0)</f>
        <v>0</v>
      </c>
      <c r="EE135" s="38" t="n">
        <f aca="false">Tasks[[#This Row],[_WeightDur]]*Tasks[[#This Row],[_LeafProgress]]</f>
        <v>0</v>
      </c>
      <c r="EF13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5" s="38" t="str">
        <f aca="false">IF(AND(Tasks[[#This Row],[_IsLeaf]]=1,N(Tasks[[#This Row],[Duration]])=0,Tasks[[#This Row],[_LeafProgress]]&lt;1),Tasks[[#This Row],[_ShownFcstFinish]]+Tasks[[#This Row],[_Row]]/100000,"")</f>
        <v/>
      </c>
      <c r="EH13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5" s="38" t="n">
        <f aca="false">IF(NOT(Tasks[[#This Row],[_IsLeaf]]=1),0,IF(Tasks[[#This Row],[Baseline Cost]]="",Tasks[[#This Row],[_LeafTotalCost]],N(Tasks[[#This Row],[Baseline Cost]])))</f>
        <v>0</v>
      </c>
      <c r="EJ135" s="38" t="n">
        <f aca="false">Tasks[[#This Row],[_LeafBudget]]*Tasks[[#This Row],[_PlannedPct]]</f>
        <v>0</v>
      </c>
      <c r="EK135" s="38" t="n">
        <f aca="false">Tasks[[#This Row],[_LeafBudget]]*Tasks[[#This Row],[_LeafProgress]]</f>
        <v>0</v>
      </c>
      <c r="EL135" s="38" t="n">
        <f aca="false">IF(NOT(Tasks[[#This Row],[_IsLeaf]]=1),0,IF(Tasks[[#This Row],[Actual Cost]]="",Tasks[[#This Row],[_LeafTotalCost]]*Tasks[[#This Row],[_LeafProgress]],N(Tasks[[#This Row],[Actual Cost]])))</f>
        <v>0</v>
      </c>
      <c r="EM135" s="38" t="str">
        <f aca="false">IF(Tasks[[#This Row],[Task Name]]="","",LEFT(Tasks[[#This Row],[WBS]],FIND(".",Tasks[[#This Row],[WBS]]&amp;".")-1))</f>
        <v/>
      </c>
      <c r="EN135" s="38" t="str">
        <f aca="false">IF(AND(Tasks[[#This Row],[Task Name]]&lt;&gt;"",Tasks[[#This Row],[_Level]]=1),Tasks[[#This Row],[_Row]],"")</f>
        <v/>
      </c>
      <c r="EO135" s="38" t="str">
        <f aca="false">IF(AND(Tasks[[#This Row],[_IsLeaf]]=1,N(Tasks[[#This Row],[Duration]])=0),Tasks[[#This Row],[Planned Finish]]+Tasks[[#This Row],[_Row]]/100000,"")</f>
        <v/>
      </c>
      <c r="EP135" s="38" t="str">
        <f aca="false">IF(AND(Tasks[[#This Row],[_IsLeaf]]=1,Tasks[[#This Row],[_LeafProgress]]&lt;1,OR(N(Tasks[[#This Row],[Finish Var]])&gt;0,Tasks[[#This Row],[Status]]="Late Start")),MAX(0,Tasks[[#This Row],[Finish Var]])+1-Tasks[[#This Row],[_Row]]/1000000,"")</f>
        <v/>
      </c>
      <c r="EQ135" s="38" t="str">
        <f aca="false">IF(AND(Tasks[[#This Row],[_IsLeaf]]=1,N(Tasks[[#This Row],[Actual Start]])=0,Tasks[[#This Row],[_ShownFcstStart]]&gt;=StatusDate,Tasks[[#This Row],[_ShownFcstStart]]&lt;=LookaheadEnd),Tasks[[#This Row],[_ShownFcstStart]]+Tasks[[#This Row],[_Row]]/100000,"")</f>
        <v/>
      </c>
      <c r="ER135" s="38" t="str">
        <f aca="false">IF(AND(Tasks[[#This Row],[_IsLeaf]]=1,Tasks[[#This Row],[_LeafProgress]]&lt;1,Tasks[[#This Row],[_ShownFcstFinish]]&gt;=StatusDate,Tasks[[#This Row],[_ShownFcstFinish]]&lt;=LookaheadEnd),Tasks[[#This Row],[_ShownFcstFinish]]+Tasks[[#This Row],[_Row]]/100000,"")</f>
        <v/>
      </c>
      <c r="ES135" s="38" t="str">
        <f aca="false">IF(Tasks[[#This Row],[_LeafCritical]],Tasks[[#This Row],[_ShownFcstStart]]+Tasks[[#This Row],[_Row]]/100000,"")</f>
        <v/>
      </c>
      <c r="ET135" s="38" t="n">
        <f aca="false">Tasks[[#This Row],[_LeafWork]]*Tasks[[#This Row],[_LeafProgress]]</f>
        <v>0</v>
      </c>
      <c r="EU135" s="115" t="str">
        <f aca="false">IF(AND(Tasks[[#This Row],[_IsLeaf]]=1,Tasks[[#This Row],[_LeafProgress]]&gt;=1),IF(N(Tasks[[#This Row],[Actual Finish]])&gt;0,Tasks[[#This Row],[Actual Finish]],Tasks[[#This Row],[_ShownFcstFinish]]),"")</f>
        <v/>
      </c>
      <c r="EV135" s="38" t="n">
        <f aca="false">IF(Tasks[[#This Row],[_IsLeaf]]=1,N(Tasks[[#This Row],[Story Points]]),0)</f>
        <v>0</v>
      </c>
      <c r="EW135" s="38" t="str">
        <f aca="false">IF(AND(Tasks[[#This Row],[_IsLeaf]]=1,CurrentSprint&lt;&gt;"",Tasks[[#This Row],[Sprint]]=CurrentSprint),Tasks[[#This Row],[_Row]],"")</f>
        <v/>
      </c>
    </row>
    <row r="136" customFormat="false" ht="15" hidden="false" customHeight="false" outlineLevel="0" collapsed="false">
      <c r="A136" s="51" t="str">
        <f aca="false">IF(Tasks[[#This Row],[Task Name]]="","",COUNTA(Tasks[[#Headers],[Task Name]]:Tasks[[#This Row],[Task Name]])-1)</f>
        <v/>
      </c>
      <c r="B136" s="52" t="n">
        <v>131</v>
      </c>
      <c r="C13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52"/>
      <c r="E136" s="53"/>
      <c r="F136" s="52"/>
      <c r="G136" s="52"/>
      <c r="H136" s="52"/>
      <c r="I136" s="52"/>
      <c r="J136" s="52"/>
      <c r="K136" s="52"/>
      <c r="L136" s="52"/>
      <c r="M136" s="52"/>
      <c r="N136" s="52"/>
      <c r="O136" s="52"/>
      <c r="P136" s="52"/>
      <c r="Q136" s="52"/>
      <c r="R136" s="52"/>
      <c r="S136" s="53"/>
      <c r="T136" s="102"/>
      <c r="U136" s="102"/>
      <c r="V136" s="7"/>
      <c r="W136" s="7"/>
      <c r="X136" s="53"/>
      <c r="Y136" s="31" t="str">
        <f aca="false">IF(Tasks[[#This Row],[Task Name]]="","",IF(Tasks[[#This Row],[_IsSummary]],MIN(INDEX(Tasks[_ShownFcstStart],Tasks[[#This Row],[_Row]]+1):INDEX(Tasks[_ShownFcstStart],Tasks[[#This Row],[_Row]]+Tasks[[#This Row],[_Descendants]])),Tasks[[#This Row],[_ShownFcstStart]]))</f>
        <v/>
      </c>
      <c r="Z136" s="31" t="str">
        <f aca="false">IF(Tasks[[#This Row],[Task Name]]="","",IF(Tasks[[#This Row],[_IsSummary]],MAX(INDEX(Tasks[_ShownFcstFinish],Tasks[[#This Row],[_Row]]+1):INDEX(Tasks[_ShownFcstFinish],Tasks[[#This Row],[_Row]]+Tasks[[#This Row],[_Descendants]])),Tasks[[#This Row],[_ShownFcstFinish]]))</f>
        <v/>
      </c>
      <c r="AA136" s="51" t="str">
        <f aca="false">IF(Tasks[[#This Row],[Task Name]]="","",IF(Tasks[[#This Row],[Progress]]&gt;=1,"Complete",IF(OR(N(Tasks[[#This Row],[Actual Start]])&gt;0,Tasks[[#This Row],[Progress]]&gt;0),IF(Tasks[[#This Row],[Finish Var]]&gt;0,"Behind","In Progress"),IF(Tasks[[#This Row],[Planned Start]]&lt;StatusDate,"Late Start","Not Started"))))</f>
        <v/>
      </c>
      <c r="AB136" s="51" t="str">
        <f aca="false">IF(Tasks[[#This Row],[Task Name]]="","",IF(IF(Tasks[[#This Row],[_IsSummary]],COUNTIF(INDEX(Tasks[_LeafCritical],Tasks[[#This Row],[_Row]]+1):INDEX(Tasks[_LeafCritical],Tasks[[#This Row],[_Row]]+Tasks[[#This Row],[_Descendants]]),TRUE())&gt;0,Tasks[[#This Row],[_LeafCritical]]),"Yes",""))</f>
        <v/>
      </c>
      <c r="AC13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6" s="51" t="str">
        <f aca="false">IF(Tasks[[#This Row],[Task Name]]="","",IF(Tasks[[#This Row],[_Level]]&lt;=OutlineShowLevel,"Yes","No"))</f>
        <v/>
      </c>
      <c r="AE136" s="7"/>
      <c r="AF136" s="52"/>
      <c r="AG136" s="53"/>
      <c r="AH136" s="7"/>
      <c r="AI13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6" s="31" t="str">
        <f aca="false">IF(Tasks[[#This Row],[Task Name]]="","",IF(N(Tasks[[#This Row],[Baseline Start]])&gt;0,Tasks[[#This Row],[Baseline Start]],Tasks[[#This Row],[_CalcStart]]))</f>
        <v/>
      </c>
      <c r="AK136" s="31" t="str">
        <f aca="false">IF(Tasks[[#This Row],[Task Name]]="","",IF(N(Tasks[[#This Row],[Baseline Finish]])&gt;0,Tasks[[#This Row],[Baseline Finish]],Tasks[[#This Row],[_CalcFinish]]))</f>
        <v/>
      </c>
      <c r="AL13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6" s="31" t="str">
        <f aca="false">IF(Tasks[[#This Row],[Task Name]]="","",IF(Tasks[[#This Row],[_IsSummary]],MIN(INDEX(Tasks[_LeafLateStart],Tasks[[#This Row],[_Row]]+1):INDEX(Tasks[_LeafLateStart],Tasks[[#This Row],[_Row]]+Tasks[[#This Row],[_Descendants]])),Tasks[[#This Row],[_LeafLateStart]]))</f>
        <v/>
      </c>
      <c r="AN136" s="31" t="str">
        <f aca="false">IF(Tasks[[#This Row],[Task Name]]="","",IF(Tasks[[#This Row],[_IsSummary]],MAX(INDEX(Tasks[_LeafLateFinish],Tasks[[#This Row],[_Row]]+1):INDEX(Tasks[_LeafLateFinish],Tasks[[#This Row],[_Row]]+Tasks[[#This Row],[_Descendants]])),Tasks[[#This Row],[_LeafLateFinish]]))</f>
        <v/>
      </c>
      <c r="AO136" s="51" t="str">
        <f aca="false">IF(Tasks[[#This Row],[Task Name]]="","",IF(Tasks[[#This Row],[_IsSummary]],MIN(INDEX(Tasks[_LeafTotalSlack],Tasks[[#This Row],[_Row]]+1):INDEX(Tasks[_LeafTotalSlack],Tasks[[#This Row],[_Row]]+Tasks[[#This Row],[_Descendants]])),Tasks[[#This Row],[_LeafTotalSlack]]))</f>
        <v/>
      </c>
      <c r="AP13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6" s="110" t="str">
        <f aca="false">IF(Tasks[[#This Row],[Task Name]]="","",IF(Tasks[[#This Row],[_IsSummary]],SUM(INDEX(Tasks[_LeafTotalWork],Tasks[[#This Row],[_Row]]+1):INDEX(Tasks[_LeafTotalWork],Tasks[[#This Row],[_Row]]+Tasks[[#This Row],[_Descendants]])),Tasks[[#This Row],[_LeafTotalWork]]))</f>
        <v/>
      </c>
      <c r="AV13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6" s="111" t="str">
        <f aca="false">IF(Tasks[[#This Row],[Task Name]]="","",IF(Tasks[[#This Row],[_IsSummary]],SUM(INDEX(Tasks[_LeafTotalCost],Tasks[[#This Row],[_Row]]+1):INDEX(Tasks[_LeafTotalCost],Tasks[[#This Row],[_Row]]+Tasks[[#This Row],[_Descendants]])),Tasks[[#This Row],[_LeafTotalCost]]))</f>
        <v/>
      </c>
      <c r="AY136" s="112"/>
      <c r="AZ13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6" s="52"/>
      <c r="BB136" s="98"/>
      <c r="BC136" s="51" t="str">
        <f aca="false">IF(OR(Tasks[[#This Row],[Task Name]]="",Tasks[[#This Row],[Baseline Duration]]=""),"",Tasks[[#This Row],[BL Source Duration]]-N(Tasks[[#This Row],[Baseline Duration]]))</f>
        <v/>
      </c>
      <c r="BD136" s="110" t="str">
        <f aca="false">IF(OR(Tasks[[#This Row],[Task Name]]="",Tasks[[#This Row],[Baseline Work]]=""),"",Tasks[[#This Row],[Work]]-N(Tasks[[#This Row],[Baseline Work]]))</f>
        <v/>
      </c>
      <c r="BE136" s="111" t="str">
        <f aca="false">IF(OR(Tasks[[#This Row],[Task Name]]="",Tasks[[#This Row],[Baseline Cost]]=""),"",Tasks[[#This Row],[Cost]]-N(Tasks[[#This Row],[Baseline Cost]]))</f>
        <v/>
      </c>
      <c r="BF136" s="31" t="str">
        <f aca="false">IF(Tasks[[#This Row],[Task Name]]="","",Tasks[[#This Row],[Forecast Start]])</f>
        <v/>
      </c>
      <c r="BG136" s="31" t="str">
        <f aca="false">IF(Tasks[[#This Row],[Task Name]]="","",Tasks[[#This Row],[Forecast Finish]])</f>
        <v/>
      </c>
      <c r="BH136" s="51" t="str">
        <f aca="false">IF(Tasks[[#This Row],[Task Name]]="","",IF(Tasks[[#This Row],[_IsSummary]],NETWORKDAYS.INTL(Tasks[[#This Row],[Forecast Start]],Tasks[[#This Row],[Forecast Finish]],WorkWeek,Holidays),N(Tasks[[#This Row],[Duration]])))</f>
        <v/>
      </c>
      <c r="BI136" s="110" t="str">
        <f aca="false">IF(Tasks[[#This Row],[Task Name]]="","",Tasks[[#This Row],[Work]])</f>
        <v/>
      </c>
      <c r="BJ136" s="111" t="str">
        <f aca="false">IF(Tasks[[#This Row],[Task Name]]="","",Tasks[[#This Row],[Cost]])</f>
        <v/>
      </c>
      <c r="BK136" s="7"/>
      <c r="BL136" s="7"/>
      <c r="BM136" s="52"/>
      <c r="BN136" s="113"/>
      <c r="BO136" s="112"/>
      <c r="BP136" s="111" t="str">
        <f aca="false">IF(Tasks[[#This Row],[Task Name]]="","",IF(Tasks[[#This Row],[_IsSummary]],SUM(INDEX(Tasks[_LeafEV],Tasks[[#This Row],[_Row]]+1):INDEX(Tasks[_LeafEV],Tasks[[#This Row],[_Row]]+Tasks[[#This Row],[_Descendants]])),Tasks[[#This Row],[_LeafEV]]))</f>
        <v/>
      </c>
      <c r="BQ136" s="111" t="str">
        <f aca="false">IF(Tasks[[#This Row],[Task Name]]="","",IF(Tasks[[#This Row],[_IsSummary]],SUM(INDEX(Tasks[_LeafBudget],Tasks[[#This Row],[_Row]]+1):INDEX(Tasks[_LeafBudget],Tasks[[#This Row],[_Row]]+Tasks[[#This Row],[_Descendants]])),Tasks[[#This Row],[_LeafBudget]]))</f>
        <v/>
      </c>
      <c r="BR136" s="111" t="str">
        <f aca="false">IF(Tasks[[#This Row],[Task Name]]="","",IF(Tasks[[#This Row],[_IsSummary]],SUM(INDEX(Tasks[_LeafPV],Tasks[[#This Row],[_Row]]+1):INDEX(Tasks[_LeafPV],Tasks[[#This Row],[_Row]]+Tasks[[#This Row],[_Descendants]])),Tasks[[#This Row],[_LeafPV]]))</f>
        <v/>
      </c>
      <c r="BS136" s="111" t="str">
        <f aca="false">IF(Tasks[[#This Row],[Task Name]]="","",IF(Tasks[[#This Row],[_IsSummary]],SUM(INDEX(Tasks[_LeafAC],Tasks[[#This Row],[_Row]]+1):INDEX(Tasks[_LeafAC],Tasks[[#This Row],[_Row]]+Tasks[[#This Row],[_Descendants]])),Tasks[[#This Row],[_LeafAC]]))</f>
        <v/>
      </c>
      <c r="BT136" s="38" t="str">
        <f aca="false">IF(Tasks[[#This Row],[Task Name]]="","",MAX(1,N(Tasks[[#This Row],[Level]])))</f>
        <v/>
      </c>
      <c r="BU136" s="38" t="n">
        <f aca="false">ROW()-ROW(Tasks[[#Headers],[ID]])</f>
        <v>131</v>
      </c>
      <c r="BV136" s="38" t="n">
        <f aca="false">IF(OR(Tasks[[#This Row],[Task Name]]="",Tasks[[#This Row],[_Level]]&lt;=1),0,IFERROR(LOOKUP(2,1/(Tasks[[#Headers],[_Level]]:Tasks[[#This Row],[_Level]]=Tasks[[#This Row],[_Level]]-1),ROW(Tasks[[#Headers],[_Level]]:Tasks[[#This Row],[_Level]])),0))</f>
        <v>0</v>
      </c>
      <c r="BW136" s="38" t="n">
        <f aca="false">IFERROR(N(INDEX(Tasks[_Level],Tasks[[#This Row],[_Row]]+1)),0)</f>
        <v>0</v>
      </c>
      <c r="BX136" s="114" t="b">
        <f aca="false">AND(Tasks[[#This Row],[Task Name]]&lt;&gt;"",Tasks[[#This Row],[_NextLevel]]&gt;Tasks[[#This Row],[_Level]])</f>
        <v>0</v>
      </c>
      <c r="BY136" s="38" t="n">
        <f aca="false">IF(Tasks[[#This Row],[_IsSummary]],COUNTIF(Tasks[WBS],Tasks[[#This Row],[WBS]]&amp;".*"),0)</f>
        <v>0</v>
      </c>
      <c r="BZ136" s="38" t="n">
        <f aca="false">IF(AND(Tasks[[#This Row],[Task Name]]&lt;&gt;"",NOT(Tasks[[#This Row],[_IsSummary]])),1,0)</f>
        <v>0</v>
      </c>
      <c r="CA136" s="38" t="n">
        <f aca="false">IF(N(Tasks[[#This Row],[Pred1 UID]])=0,0,IFERROR(MATCH(Tasks[[#This Row],[Pred1 UID]],Tasks[UID],0),-1))</f>
        <v>0</v>
      </c>
      <c r="CB136" s="38" t="n">
        <f aca="false">IF(N(Tasks[[#This Row],[Pred2 UID]])=0,0,IFERROR(MATCH(Tasks[[#This Row],[Pred2 UID]],Tasks[UID],0),-1))</f>
        <v>0</v>
      </c>
      <c r="CC136" s="38" t="n">
        <f aca="false">IF(N(Tasks[[#This Row],[Pred3 UID]])=0,0,IFERROR(MATCH(Tasks[[#This Row],[Pred3 UID]],Tasks[UID],0),-1))</f>
        <v>0</v>
      </c>
      <c r="CD136" s="38" t="n">
        <f aca="false">IF(N(Tasks[[#This Row],[Pred4 UID]])=0,0,IFERROR(MATCH(Tasks[[#This Row],[Pred4 UID]],Tasks[UID],0),-1))</f>
        <v>0</v>
      </c>
      <c r="CE13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6" s="115" t="n">
        <f aca="false">IF(OR(Tasks[[#This Row],[_ConstraintCode]]=2,Tasks[[#This Row],[_ConstraintCode]]=3,Tasks[[#This Row],[_ConstraintCode]]=4,Tasks[[#This Row],[_ConstraintCode]]=6),Tasks[[#This Row],[_ConstraintStart]],0)</f>
        <v>0</v>
      </c>
      <c r="CH136" s="115" t="n">
        <f aca="false">IF(OR(Tasks[[#This Row],[_ConstraintCode]]=2,Tasks[[#This Row],[_ConstraintCode]]=3,Tasks[[#This Row],[_ConstraintCode]]=5,Tasks[[#This Row],[_ConstraintCode]]=7),Tasks[[#This Row],[_ConstraintStart]],2958465)</f>
        <v>2958465</v>
      </c>
      <c r="CI13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6" s="115" t="str">
        <f aca="false">IF(NOT(Tasks[[#This Row],[_IsLeaf]]=1),"",IF(N(Tasks[[#This Row],[Duration]])&lt;=0,Tasks[[#This Row],[_LeafCalcStart]],WORKDAY.INTL(Tasks[[#This Row],[_LeafCalcStart]],Tasks[[#This Row],[Duration]]-1,WorkWeek,Holidays)))</f>
        <v/>
      </c>
      <c r="CK13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6" s="38" t="n">
        <f aca="false">IF(NOT(Tasks[[#This Row],[_IsLeaf]]=1),0,IF(N(Tasks[[#This Row],[Actual Finish]])&gt;0,1,MIN(1,N(Tasks[[#This Row],[% Complete]]))))</f>
        <v>0</v>
      </c>
      <c r="CN136" s="38" t="n">
        <f aca="false">IF(OR(NOT(Tasks[[#This Row],[_IsLeaf]]=1),Tasks[[#This Row],[Resource]]=""),0,N(Tasks[[#This Row],[Duration]])*HoursPerDay*IF(Tasks[[#This Row],[Units]]="",DefaultUnits,Tasks[[#This Row],[Units]]))</f>
        <v>0</v>
      </c>
      <c r="CO136" s="38" t="n">
        <f aca="false">IF(Tasks[[#This Row],[_LeafWork]]=0,0,Tasks[[#This Row],[_LeafWork]]*IFERROR(INDEX(res_Rate,MATCH(Tasks[[#This Row],[Resource]],res_Name,0)),0))</f>
        <v>0</v>
      </c>
      <c r="CP136" s="38" t="n">
        <f aca="false">Tasks[[#This Row],[_LeafWork]]+IF(Tasks[[#This Row],[_IsLeaf]]=1,SUMIFS(asg_Work,asg_TaskUID,Tasks[[#This Row],[UID]],asg_Valid,1),0)</f>
        <v>0</v>
      </c>
      <c r="CQ136" s="38" t="n">
        <f aca="false">Tasks[[#This Row],[_LeafCost]]+IF(Tasks[[#This Row],[_IsLeaf]]=1,SUMIFS(asg_Cost,asg_TaskUID,Tasks[[#This Row],[UID]],asg_Valid,1),0)</f>
        <v>0</v>
      </c>
      <c r="CR136" s="38" t="n">
        <f aca="false">IF(Tasks[[#This Row],[_LeafTotalCost]]=0,Tasks[[#This Row],[_LeafAC]],Tasks[[#This Row],[_LeafAC]]*Tasks[[#This Row],[_LeafCost]]/Tasks[[#This Row],[_LeafTotalCost]])</f>
        <v>0</v>
      </c>
      <c r="CS13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6" s="38" t="n">
        <f aca="false">IF(NOT(Tasks[[#This Row],[_IsLeaf]]=1),0,MAX(_xlfn.MAXIFS(Tasks[_Row],Tasks[Pred1 UID],Tasks[[#This Row],[UID]]),_xlfn.MAXIFS(Tasks[_Row],Tasks[Pred2 UID],Tasks[[#This Row],[UID]]),_xlfn.MAXIFS(Tasks[_Row],Tasks[Pred3 UID],Tasks[[#This Row],[UID]]),_xlfn.MAXIFS(Tasks[_Row],Tasks[Pred4 UID],Tasks[[#This Row],[UID]])))</f>
        <v>0</v>
      </c>
      <c r="DB13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6" s="115" t="str">
        <f aca="false">IF(NOT(Tasks[[#This Row],[_IsLeaf]]=1),"",IF(N(Tasks[[#This Row],[Duration]])&lt;=0,Tasks[[#This Row],[_LeafLateFinish]],WORKDAY.INTL(Tasks[[#This Row],[_LeafLateFinish]],-(Tasks[[#This Row],[Duration]]-1),WorkWeek,Holidays)))</f>
        <v/>
      </c>
      <c r="DE13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6" s="114" t="b">
        <f aca="false">AND(Tasks[[#This Row],[_IsLeaf]]=1,Tasks[[#This Row],[_LeafProgress]]&lt;1,N(Tasks[[#This Row],[_LeafTotalSlack]])&lt;=CriticalSlackDays)</f>
        <v>0</v>
      </c>
      <c r="DG136" s="38" t="n">
        <f aca="false">IF(AND(Tasks[[#This Row],[_IsLeaf]]=1,Tasks[[#This Row],[_ConstraintCode]]=1,Tasks[[#This Row],[Mode]]&lt;&gt;"Manual",N(Tasks[[#This Row],[Actual Start]])=0),MAX(0,N(Tasks[[#This Row],[Free Slack]])),0)</f>
        <v>0</v>
      </c>
      <c r="DH136" s="115" t="str">
        <f aca="false">IF(NOT(Tasks[[#This Row],[_IsLeaf]]=1),"",IF(Tasks[[#This Row],[_AlapShift]]=0,Tasks[[#This Row],[_LeafCalcStart]],WORKDAY.INTL(Tasks[[#This Row],[_LeafCalcStart]],Tasks[[#This Row],[_AlapShift]],WorkWeek,Holidays)))</f>
        <v/>
      </c>
      <c r="DI136" s="115" t="str">
        <f aca="false">IF(NOT(Tasks[[#This Row],[_IsLeaf]]=1),"",IF(Tasks[[#This Row],[_AlapShift]]=0,Tasks[[#This Row],[_LeafCalcFinish]],WORKDAY.INTL(Tasks[[#This Row],[_LeafCalcFinish]],Tasks[[#This Row],[_AlapShift]],WorkWeek,Holidays)))</f>
        <v/>
      </c>
      <c r="DJ136" s="115" t="str">
        <f aca="false">IF(NOT(Tasks[[#This Row],[_IsLeaf]]=1),"",IF(Tasks[[#This Row],[_AlapShift]]=0,Tasks[[#This Row],[_LeafFcstStart]],WORKDAY.INTL(Tasks[[#This Row],[_LeafFcstStart]],Tasks[[#This Row],[_AlapShift]],WorkWeek,Holidays)))</f>
        <v/>
      </c>
      <c r="DK136" s="115" t="str">
        <f aca="false">IF(NOT(Tasks[[#This Row],[_IsLeaf]]=1),"",IF(Tasks[[#This Row],[_AlapShift]]=0,Tasks[[#This Row],[_LeafFcstFinish]],WORKDAY.INTL(Tasks[[#This Row],[_LeafFcstFinish]],Tasks[[#This Row],[_AlapShift]],WorkWeek,Holidays)))</f>
        <v/>
      </c>
      <c r="DL136" s="115" t="str">
        <f aca="false">IF(Tasks[[#This Row],[Task Name]]="","",IF(Tasks[[#This Row],[_IsSummary]],MIN(INDEX(Tasks[_ShownCalcStart],Tasks[[#This Row],[_Row]]+1):INDEX(Tasks[_ShownCalcStart],Tasks[[#This Row],[_Row]]+Tasks[[#This Row],[_Descendants]])),Tasks[[#This Row],[_ShownCalcStart]]))</f>
        <v/>
      </c>
      <c r="DM136" s="115" t="str">
        <f aca="false">IF(Tasks[[#This Row],[Task Name]]="","",IF(Tasks[[#This Row],[_IsSummary]],MAX(INDEX(Tasks[_ShownCalcFinish],Tasks[[#This Row],[_Row]]+1):INDEX(Tasks[_ShownCalcFinish],Tasks[[#This Row],[_Row]]+Tasks[[#This Row],[_Descendants]])),Tasks[[#This Row],[_ShownCalcFinish]]))</f>
        <v/>
      </c>
      <c r="DN13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6" s="38" t="n">
        <f aca="false">IF(AND(Tasks[[#This Row],[_IsLeaf]]=1,Tasks[[#This Row],[_LeafTotalWork]]&gt;0),NETWORKDAYS.INTL(ProjectStart,Tasks[[#This Row],[_ShownFcstStart]],WorkWeek,Holidays),0)</f>
        <v>0</v>
      </c>
      <c r="EA136" s="38" t="n">
        <f aca="false">IF(AND(Tasks[[#This Row],[_IsLeaf]]=1,Tasks[[#This Row],[_LeafTotalWork]]&gt;0),MAX(Tasks[[#This Row],[_StartWorkday]],NETWORKDAYS.INTL(ProjectStart,Tasks[[#This Row],[_ShownFcstFinish]],WorkWeek,Holidays)),0)</f>
        <v>0</v>
      </c>
      <c r="EB136" s="38" t="n">
        <f aca="false">IF(AND(Tasks[[#This Row],[_IsLeaf]]=1,Tasks[[#This Row],[_LeafTotalWork]]&gt;0),Tasks[[#This Row],[_LeafWork]]/(Tasks[[#This Row],[_FinishWorkday]]-Tasks[[#This Row],[_StartWorkday]]+1),0)</f>
        <v>0</v>
      </c>
      <c r="EC136" s="38" t="n">
        <f aca="false">Tasks[[#This Row],[_WorkPerWorkday]]*(Tasks[[#This Row],[_StartWorkday]]-1)</f>
        <v>-0</v>
      </c>
      <c r="ED136" s="38" t="n">
        <f aca="false">IF(Tasks[[#This Row],[_IsLeaf]]=1,MAX(N(Tasks[[#This Row],[Duration]]),0.1),0)</f>
        <v>0</v>
      </c>
      <c r="EE136" s="38" t="n">
        <f aca="false">Tasks[[#This Row],[_WeightDur]]*Tasks[[#This Row],[_LeafProgress]]</f>
        <v>0</v>
      </c>
      <c r="EF13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6" s="38" t="str">
        <f aca="false">IF(AND(Tasks[[#This Row],[_IsLeaf]]=1,N(Tasks[[#This Row],[Duration]])=0,Tasks[[#This Row],[_LeafProgress]]&lt;1),Tasks[[#This Row],[_ShownFcstFinish]]+Tasks[[#This Row],[_Row]]/100000,"")</f>
        <v/>
      </c>
      <c r="EH13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6" s="38" t="n">
        <f aca="false">IF(NOT(Tasks[[#This Row],[_IsLeaf]]=1),0,IF(Tasks[[#This Row],[Baseline Cost]]="",Tasks[[#This Row],[_LeafTotalCost]],N(Tasks[[#This Row],[Baseline Cost]])))</f>
        <v>0</v>
      </c>
      <c r="EJ136" s="38" t="n">
        <f aca="false">Tasks[[#This Row],[_LeafBudget]]*Tasks[[#This Row],[_PlannedPct]]</f>
        <v>0</v>
      </c>
      <c r="EK136" s="38" t="n">
        <f aca="false">Tasks[[#This Row],[_LeafBudget]]*Tasks[[#This Row],[_LeafProgress]]</f>
        <v>0</v>
      </c>
      <c r="EL136" s="38" t="n">
        <f aca="false">IF(NOT(Tasks[[#This Row],[_IsLeaf]]=1),0,IF(Tasks[[#This Row],[Actual Cost]]="",Tasks[[#This Row],[_LeafTotalCost]]*Tasks[[#This Row],[_LeafProgress]],N(Tasks[[#This Row],[Actual Cost]])))</f>
        <v>0</v>
      </c>
      <c r="EM136" s="38" t="str">
        <f aca="false">IF(Tasks[[#This Row],[Task Name]]="","",LEFT(Tasks[[#This Row],[WBS]],FIND(".",Tasks[[#This Row],[WBS]]&amp;".")-1))</f>
        <v/>
      </c>
      <c r="EN136" s="38" t="str">
        <f aca="false">IF(AND(Tasks[[#This Row],[Task Name]]&lt;&gt;"",Tasks[[#This Row],[_Level]]=1),Tasks[[#This Row],[_Row]],"")</f>
        <v/>
      </c>
      <c r="EO136" s="38" t="str">
        <f aca="false">IF(AND(Tasks[[#This Row],[_IsLeaf]]=1,N(Tasks[[#This Row],[Duration]])=0),Tasks[[#This Row],[Planned Finish]]+Tasks[[#This Row],[_Row]]/100000,"")</f>
        <v/>
      </c>
      <c r="EP136" s="38" t="str">
        <f aca="false">IF(AND(Tasks[[#This Row],[_IsLeaf]]=1,Tasks[[#This Row],[_LeafProgress]]&lt;1,OR(N(Tasks[[#This Row],[Finish Var]])&gt;0,Tasks[[#This Row],[Status]]="Late Start")),MAX(0,Tasks[[#This Row],[Finish Var]])+1-Tasks[[#This Row],[_Row]]/1000000,"")</f>
        <v/>
      </c>
      <c r="EQ136" s="38" t="str">
        <f aca="false">IF(AND(Tasks[[#This Row],[_IsLeaf]]=1,N(Tasks[[#This Row],[Actual Start]])=0,Tasks[[#This Row],[_ShownFcstStart]]&gt;=StatusDate,Tasks[[#This Row],[_ShownFcstStart]]&lt;=LookaheadEnd),Tasks[[#This Row],[_ShownFcstStart]]+Tasks[[#This Row],[_Row]]/100000,"")</f>
        <v/>
      </c>
      <c r="ER136" s="38" t="str">
        <f aca="false">IF(AND(Tasks[[#This Row],[_IsLeaf]]=1,Tasks[[#This Row],[_LeafProgress]]&lt;1,Tasks[[#This Row],[_ShownFcstFinish]]&gt;=StatusDate,Tasks[[#This Row],[_ShownFcstFinish]]&lt;=LookaheadEnd),Tasks[[#This Row],[_ShownFcstFinish]]+Tasks[[#This Row],[_Row]]/100000,"")</f>
        <v/>
      </c>
      <c r="ES136" s="38" t="str">
        <f aca="false">IF(Tasks[[#This Row],[_LeafCritical]],Tasks[[#This Row],[_ShownFcstStart]]+Tasks[[#This Row],[_Row]]/100000,"")</f>
        <v/>
      </c>
      <c r="ET136" s="38" t="n">
        <f aca="false">Tasks[[#This Row],[_LeafWork]]*Tasks[[#This Row],[_LeafProgress]]</f>
        <v>0</v>
      </c>
      <c r="EU136" s="115" t="str">
        <f aca="false">IF(AND(Tasks[[#This Row],[_IsLeaf]]=1,Tasks[[#This Row],[_LeafProgress]]&gt;=1),IF(N(Tasks[[#This Row],[Actual Finish]])&gt;0,Tasks[[#This Row],[Actual Finish]],Tasks[[#This Row],[_ShownFcstFinish]]),"")</f>
        <v/>
      </c>
      <c r="EV136" s="38" t="n">
        <f aca="false">IF(Tasks[[#This Row],[_IsLeaf]]=1,N(Tasks[[#This Row],[Story Points]]),0)</f>
        <v>0</v>
      </c>
      <c r="EW136" s="38" t="str">
        <f aca="false">IF(AND(Tasks[[#This Row],[_IsLeaf]]=1,CurrentSprint&lt;&gt;"",Tasks[[#This Row],[Sprint]]=CurrentSprint),Tasks[[#This Row],[_Row]],"")</f>
        <v/>
      </c>
    </row>
    <row r="137" customFormat="false" ht="15" hidden="false" customHeight="false" outlineLevel="0" collapsed="false">
      <c r="A137" s="51" t="str">
        <f aca="false">IF(Tasks[[#This Row],[Task Name]]="","",COUNTA(Tasks[[#Headers],[Task Name]]:Tasks[[#This Row],[Task Name]])-1)</f>
        <v/>
      </c>
      <c r="B137" s="52" t="n">
        <v>132</v>
      </c>
      <c r="C13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52"/>
      <c r="E137" s="53"/>
      <c r="F137" s="52"/>
      <c r="G137" s="52"/>
      <c r="H137" s="52"/>
      <c r="I137" s="52"/>
      <c r="J137" s="52"/>
      <c r="K137" s="52"/>
      <c r="L137" s="52"/>
      <c r="M137" s="52"/>
      <c r="N137" s="52"/>
      <c r="O137" s="52"/>
      <c r="P137" s="52"/>
      <c r="Q137" s="52"/>
      <c r="R137" s="52"/>
      <c r="S137" s="53"/>
      <c r="T137" s="102"/>
      <c r="U137" s="102"/>
      <c r="V137" s="7"/>
      <c r="W137" s="7"/>
      <c r="X137" s="53"/>
      <c r="Y137" s="31" t="str">
        <f aca="false">IF(Tasks[[#This Row],[Task Name]]="","",IF(Tasks[[#This Row],[_IsSummary]],MIN(INDEX(Tasks[_ShownFcstStart],Tasks[[#This Row],[_Row]]+1):INDEX(Tasks[_ShownFcstStart],Tasks[[#This Row],[_Row]]+Tasks[[#This Row],[_Descendants]])),Tasks[[#This Row],[_ShownFcstStart]]))</f>
        <v/>
      </c>
      <c r="Z137" s="31" t="str">
        <f aca="false">IF(Tasks[[#This Row],[Task Name]]="","",IF(Tasks[[#This Row],[_IsSummary]],MAX(INDEX(Tasks[_ShownFcstFinish],Tasks[[#This Row],[_Row]]+1):INDEX(Tasks[_ShownFcstFinish],Tasks[[#This Row],[_Row]]+Tasks[[#This Row],[_Descendants]])),Tasks[[#This Row],[_ShownFcstFinish]]))</f>
        <v/>
      </c>
      <c r="AA137" s="51" t="str">
        <f aca="false">IF(Tasks[[#This Row],[Task Name]]="","",IF(Tasks[[#This Row],[Progress]]&gt;=1,"Complete",IF(OR(N(Tasks[[#This Row],[Actual Start]])&gt;0,Tasks[[#This Row],[Progress]]&gt;0),IF(Tasks[[#This Row],[Finish Var]]&gt;0,"Behind","In Progress"),IF(Tasks[[#This Row],[Planned Start]]&lt;StatusDate,"Late Start","Not Started"))))</f>
        <v/>
      </c>
      <c r="AB137" s="51" t="str">
        <f aca="false">IF(Tasks[[#This Row],[Task Name]]="","",IF(IF(Tasks[[#This Row],[_IsSummary]],COUNTIF(INDEX(Tasks[_LeafCritical],Tasks[[#This Row],[_Row]]+1):INDEX(Tasks[_LeafCritical],Tasks[[#This Row],[_Row]]+Tasks[[#This Row],[_Descendants]]),TRUE())&gt;0,Tasks[[#This Row],[_LeafCritical]]),"Yes",""))</f>
        <v/>
      </c>
      <c r="AC13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7" s="51" t="str">
        <f aca="false">IF(Tasks[[#This Row],[Task Name]]="","",IF(Tasks[[#This Row],[_Level]]&lt;=OutlineShowLevel,"Yes","No"))</f>
        <v/>
      </c>
      <c r="AE137" s="7"/>
      <c r="AF137" s="52"/>
      <c r="AG137" s="53"/>
      <c r="AH137" s="7"/>
      <c r="AI13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7" s="31" t="str">
        <f aca="false">IF(Tasks[[#This Row],[Task Name]]="","",IF(N(Tasks[[#This Row],[Baseline Start]])&gt;0,Tasks[[#This Row],[Baseline Start]],Tasks[[#This Row],[_CalcStart]]))</f>
        <v/>
      </c>
      <c r="AK137" s="31" t="str">
        <f aca="false">IF(Tasks[[#This Row],[Task Name]]="","",IF(N(Tasks[[#This Row],[Baseline Finish]])&gt;0,Tasks[[#This Row],[Baseline Finish]],Tasks[[#This Row],[_CalcFinish]]))</f>
        <v/>
      </c>
      <c r="AL13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7" s="31" t="str">
        <f aca="false">IF(Tasks[[#This Row],[Task Name]]="","",IF(Tasks[[#This Row],[_IsSummary]],MIN(INDEX(Tasks[_LeafLateStart],Tasks[[#This Row],[_Row]]+1):INDEX(Tasks[_LeafLateStart],Tasks[[#This Row],[_Row]]+Tasks[[#This Row],[_Descendants]])),Tasks[[#This Row],[_LeafLateStart]]))</f>
        <v/>
      </c>
      <c r="AN137" s="31" t="str">
        <f aca="false">IF(Tasks[[#This Row],[Task Name]]="","",IF(Tasks[[#This Row],[_IsSummary]],MAX(INDEX(Tasks[_LeafLateFinish],Tasks[[#This Row],[_Row]]+1):INDEX(Tasks[_LeafLateFinish],Tasks[[#This Row],[_Row]]+Tasks[[#This Row],[_Descendants]])),Tasks[[#This Row],[_LeafLateFinish]]))</f>
        <v/>
      </c>
      <c r="AO137" s="51" t="str">
        <f aca="false">IF(Tasks[[#This Row],[Task Name]]="","",IF(Tasks[[#This Row],[_IsSummary]],MIN(INDEX(Tasks[_LeafTotalSlack],Tasks[[#This Row],[_Row]]+1):INDEX(Tasks[_LeafTotalSlack],Tasks[[#This Row],[_Row]]+Tasks[[#This Row],[_Descendants]])),Tasks[[#This Row],[_LeafTotalSlack]]))</f>
        <v/>
      </c>
      <c r="AP13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7" s="110" t="str">
        <f aca="false">IF(Tasks[[#This Row],[Task Name]]="","",IF(Tasks[[#This Row],[_IsSummary]],SUM(INDEX(Tasks[_LeafTotalWork],Tasks[[#This Row],[_Row]]+1):INDEX(Tasks[_LeafTotalWork],Tasks[[#This Row],[_Row]]+Tasks[[#This Row],[_Descendants]])),Tasks[[#This Row],[_LeafTotalWork]]))</f>
        <v/>
      </c>
      <c r="AV13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7" s="111" t="str">
        <f aca="false">IF(Tasks[[#This Row],[Task Name]]="","",IF(Tasks[[#This Row],[_IsSummary]],SUM(INDEX(Tasks[_LeafTotalCost],Tasks[[#This Row],[_Row]]+1):INDEX(Tasks[_LeafTotalCost],Tasks[[#This Row],[_Row]]+Tasks[[#This Row],[_Descendants]])),Tasks[[#This Row],[_LeafTotalCost]]))</f>
        <v/>
      </c>
      <c r="AY137" s="112"/>
      <c r="AZ13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7" s="52"/>
      <c r="BB137" s="98"/>
      <c r="BC137" s="51" t="str">
        <f aca="false">IF(OR(Tasks[[#This Row],[Task Name]]="",Tasks[[#This Row],[Baseline Duration]]=""),"",Tasks[[#This Row],[BL Source Duration]]-N(Tasks[[#This Row],[Baseline Duration]]))</f>
        <v/>
      </c>
      <c r="BD137" s="110" t="str">
        <f aca="false">IF(OR(Tasks[[#This Row],[Task Name]]="",Tasks[[#This Row],[Baseline Work]]=""),"",Tasks[[#This Row],[Work]]-N(Tasks[[#This Row],[Baseline Work]]))</f>
        <v/>
      </c>
      <c r="BE137" s="111" t="str">
        <f aca="false">IF(OR(Tasks[[#This Row],[Task Name]]="",Tasks[[#This Row],[Baseline Cost]]=""),"",Tasks[[#This Row],[Cost]]-N(Tasks[[#This Row],[Baseline Cost]]))</f>
        <v/>
      </c>
      <c r="BF137" s="31" t="str">
        <f aca="false">IF(Tasks[[#This Row],[Task Name]]="","",Tasks[[#This Row],[Forecast Start]])</f>
        <v/>
      </c>
      <c r="BG137" s="31" t="str">
        <f aca="false">IF(Tasks[[#This Row],[Task Name]]="","",Tasks[[#This Row],[Forecast Finish]])</f>
        <v/>
      </c>
      <c r="BH137" s="51" t="str">
        <f aca="false">IF(Tasks[[#This Row],[Task Name]]="","",IF(Tasks[[#This Row],[_IsSummary]],NETWORKDAYS.INTL(Tasks[[#This Row],[Forecast Start]],Tasks[[#This Row],[Forecast Finish]],WorkWeek,Holidays),N(Tasks[[#This Row],[Duration]])))</f>
        <v/>
      </c>
      <c r="BI137" s="110" t="str">
        <f aca="false">IF(Tasks[[#This Row],[Task Name]]="","",Tasks[[#This Row],[Work]])</f>
        <v/>
      </c>
      <c r="BJ137" s="111" t="str">
        <f aca="false">IF(Tasks[[#This Row],[Task Name]]="","",Tasks[[#This Row],[Cost]])</f>
        <v/>
      </c>
      <c r="BK137" s="7"/>
      <c r="BL137" s="7"/>
      <c r="BM137" s="52"/>
      <c r="BN137" s="113"/>
      <c r="BO137" s="112"/>
      <c r="BP137" s="111" t="str">
        <f aca="false">IF(Tasks[[#This Row],[Task Name]]="","",IF(Tasks[[#This Row],[_IsSummary]],SUM(INDEX(Tasks[_LeafEV],Tasks[[#This Row],[_Row]]+1):INDEX(Tasks[_LeafEV],Tasks[[#This Row],[_Row]]+Tasks[[#This Row],[_Descendants]])),Tasks[[#This Row],[_LeafEV]]))</f>
        <v/>
      </c>
      <c r="BQ137" s="111" t="str">
        <f aca="false">IF(Tasks[[#This Row],[Task Name]]="","",IF(Tasks[[#This Row],[_IsSummary]],SUM(INDEX(Tasks[_LeafBudget],Tasks[[#This Row],[_Row]]+1):INDEX(Tasks[_LeafBudget],Tasks[[#This Row],[_Row]]+Tasks[[#This Row],[_Descendants]])),Tasks[[#This Row],[_LeafBudget]]))</f>
        <v/>
      </c>
      <c r="BR137" s="111" t="str">
        <f aca="false">IF(Tasks[[#This Row],[Task Name]]="","",IF(Tasks[[#This Row],[_IsSummary]],SUM(INDEX(Tasks[_LeafPV],Tasks[[#This Row],[_Row]]+1):INDEX(Tasks[_LeafPV],Tasks[[#This Row],[_Row]]+Tasks[[#This Row],[_Descendants]])),Tasks[[#This Row],[_LeafPV]]))</f>
        <v/>
      </c>
      <c r="BS137" s="111" t="str">
        <f aca="false">IF(Tasks[[#This Row],[Task Name]]="","",IF(Tasks[[#This Row],[_IsSummary]],SUM(INDEX(Tasks[_LeafAC],Tasks[[#This Row],[_Row]]+1):INDEX(Tasks[_LeafAC],Tasks[[#This Row],[_Row]]+Tasks[[#This Row],[_Descendants]])),Tasks[[#This Row],[_LeafAC]]))</f>
        <v/>
      </c>
      <c r="BT137" s="38" t="str">
        <f aca="false">IF(Tasks[[#This Row],[Task Name]]="","",MAX(1,N(Tasks[[#This Row],[Level]])))</f>
        <v/>
      </c>
      <c r="BU137" s="38" t="n">
        <f aca="false">ROW()-ROW(Tasks[[#Headers],[ID]])</f>
        <v>132</v>
      </c>
      <c r="BV137" s="38" t="n">
        <f aca="false">IF(OR(Tasks[[#This Row],[Task Name]]="",Tasks[[#This Row],[_Level]]&lt;=1),0,IFERROR(LOOKUP(2,1/(Tasks[[#Headers],[_Level]]:Tasks[[#This Row],[_Level]]=Tasks[[#This Row],[_Level]]-1),ROW(Tasks[[#Headers],[_Level]]:Tasks[[#This Row],[_Level]])),0))</f>
        <v>0</v>
      </c>
      <c r="BW137" s="38" t="n">
        <f aca="false">IFERROR(N(INDEX(Tasks[_Level],Tasks[[#This Row],[_Row]]+1)),0)</f>
        <v>0</v>
      </c>
      <c r="BX137" s="114" t="b">
        <f aca="false">AND(Tasks[[#This Row],[Task Name]]&lt;&gt;"",Tasks[[#This Row],[_NextLevel]]&gt;Tasks[[#This Row],[_Level]])</f>
        <v>0</v>
      </c>
      <c r="BY137" s="38" t="n">
        <f aca="false">IF(Tasks[[#This Row],[_IsSummary]],COUNTIF(Tasks[WBS],Tasks[[#This Row],[WBS]]&amp;".*"),0)</f>
        <v>0</v>
      </c>
      <c r="BZ137" s="38" t="n">
        <f aca="false">IF(AND(Tasks[[#This Row],[Task Name]]&lt;&gt;"",NOT(Tasks[[#This Row],[_IsSummary]])),1,0)</f>
        <v>0</v>
      </c>
      <c r="CA137" s="38" t="n">
        <f aca="false">IF(N(Tasks[[#This Row],[Pred1 UID]])=0,0,IFERROR(MATCH(Tasks[[#This Row],[Pred1 UID]],Tasks[UID],0),-1))</f>
        <v>0</v>
      </c>
      <c r="CB137" s="38" t="n">
        <f aca="false">IF(N(Tasks[[#This Row],[Pred2 UID]])=0,0,IFERROR(MATCH(Tasks[[#This Row],[Pred2 UID]],Tasks[UID],0),-1))</f>
        <v>0</v>
      </c>
      <c r="CC137" s="38" t="n">
        <f aca="false">IF(N(Tasks[[#This Row],[Pred3 UID]])=0,0,IFERROR(MATCH(Tasks[[#This Row],[Pred3 UID]],Tasks[UID],0),-1))</f>
        <v>0</v>
      </c>
      <c r="CD137" s="38" t="n">
        <f aca="false">IF(N(Tasks[[#This Row],[Pred4 UID]])=0,0,IFERROR(MATCH(Tasks[[#This Row],[Pred4 UID]],Tasks[UID],0),-1))</f>
        <v>0</v>
      </c>
      <c r="CE13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7" s="115" t="n">
        <f aca="false">IF(OR(Tasks[[#This Row],[_ConstraintCode]]=2,Tasks[[#This Row],[_ConstraintCode]]=3,Tasks[[#This Row],[_ConstraintCode]]=4,Tasks[[#This Row],[_ConstraintCode]]=6),Tasks[[#This Row],[_ConstraintStart]],0)</f>
        <v>0</v>
      </c>
      <c r="CH137" s="115" t="n">
        <f aca="false">IF(OR(Tasks[[#This Row],[_ConstraintCode]]=2,Tasks[[#This Row],[_ConstraintCode]]=3,Tasks[[#This Row],[_ConstraintCode]]=5,Tasks[[#This Row],[_ConstraintCode]]=7),Tasks[[#This Row],[_ConstraintStart]],2958465)</f>
        <v>2958465</v>
      </c>
      <c r="CI13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7" s="115" t="str">
        <f aca="false">IF(NOT(Tasks[[#This Row],[_IsLeaf]]=1),"",IF(N(Tasks[[#This Row],[Duration]])&lt;=0,Tasks[[#This Row],[_LeafCalcStart]],WORKDAY.INTL(Tasks[[#This Row],[_LeafCalcStart]],Tasks[[#This Row],[Duration]]-1,WorkWeek,Holidays)))</f>
        <v/>
      </c>
      <c r="CK13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7" s="38" t="n">
        <f aca="false">IF(NOT(Tasks[[#This Row],[_IsLeaf]]=1),0,IF(N(Tasks[[#This Row],[Actual Finish]])&gt;0,1,MIN(1,N(Tasks[[#This Row],[% Complete]]))))</f>
        <v>0</v>
      </c>
      <c r="CN137" s="38" t="n">
        <f aca="false">IF(OR(NOT(Tasks[[#This Row],[_IsLeaf]]=1),Tasks[[#This Row],[Resource]]=""),0,N(Tasks[[#This Row],[Duration]])*HoursPerDay*IF(Tasks[[#This Row],[Units]]="",DefaultUnits,Tasks[[#This Row],[Units]]))</f>
        <v>0</v>
      </c>
      <c r="CO137" s="38" t="n">
        <f aca="false">IF(Tasks[[#This Row],[_LeafWork]]=0,0,Tasks[[#This Row],[_LeafWork]]*IFERROR(INDEX(res_Rate,MATCH(Tasks[[#This Row],[Resource]],res_Name,0)),0))</f>
        <v>0</v>
      </c>
      <c r="CP137" s="38" t="n">
        <f aca="false">Tasks[[#This Row],[_LeafWork]]+IF(Tasks[[#This Row],[_IsLeaf]]=1,SUMIFS(asg_Work,asg_TaskUID,Tasks[[#This Row],[UID]],asg_Valid,1),0)</f>
        <v>0</v>
      </c>
      <c r="CQ137" s="38" t="n">
        <f aca="false">Tasks[[#This Row],[_LeafCost]]+IF(Tasks[[#This Row],[_IsLeaf]]=1,SUMIFS(asg_Cost,asg_TaskUID,Tasks[[#This Row],[UID]],asg_Valid,1),0)</f>
        <v>0</v>
      </c>
      <c r="CR137" s="38" t="n">
        <f aca="false">IF(Tasks[[#This Row],[_LeafTotalCost]]=0,Tasks[[#This Row],[_LeafAC]],Tasks[[#This Row],[_LeafAC]]*Tasks[[#This Row],[_LeafCost]]/Tasks[[#This Row],[_LeafTotalCost]])</f>
        <v>0</v>
      </c>
      <c r="CS13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7" s="38" t="n">
        <f aca="false">IF(NOT(Tasks[[#This Row],[_IsLeaf]]=1),0,MAX(_xlfn.MAXIFS(Tasks[_Row],Tasks[Pred1 UID],Tasks[[#This Row],[UID]]),_xlfn.MAXIFS(Tasks[_Row],Tasks[Pred2 UID],Tasks[[#This Row],[UID]]),_xlfn.MAXIFS(Tasks[_Row],Tasks[Pred3 UID],Tasks[[#This Row],[UID]]),_xlfn.MAXIFS(Tasks[_Row],Tasks[Pred4 UID],Tasks[[#This Row],[UID]])))</f>
        <v>0</v>
      </c>
      <c r="DB13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7" s="115" t="str">
        <f aca="false">IF(NOT(Tasks[[#This Row],[_IsLeaf]]=1),"",IF(N(Tasks[[#This Row],[Duration]])&lt;=0,Tasks[[#This Row],[_LeafLateFinish]],WORKDAY.INTL(Tasks[[#This Row],[_LeafLateFinish]],-(Tasks[[#This Row],[Duration]]-1),WorkWeek,Holidays)))</f>
        <v/>
      </c>
      <c r="DE13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7" s="114" t="b">
        <f aca="false">AND(Tasks[[#This Row],[_IsLeaf]]=1,Tasks[[#This Row],[_LeafProgress]]&lt;1,N(Tasks[[#This Row],[_LeafTotalSlack]])&lt;=CriticalSlackDays)</f>
        <v>0</v>
      </c>
      <c r="DG137" s="38" t="n">
        <f aca="false">IF(AND(Tasks[[#This Row],[_IsLeaf]]=1,Tasks[[#This Row],[_ConstraintCode]]=1,Tasks[[#This Row],[Mode]]&lt;&gt;"Manual",N(Tasks[[#This Row],[Actual Start]])=0),MAX(0,N(Tasks[[#This Row],[Free Slack]])),0)</f>
        <v>0</v>
      </c>
      <c r="DH137" s="115" t="str">
        <f aca="false">IF(NOT(Tasks[[#This Row],[_IsLeaf]]=1),"",IF(Tasks[[#This Row],[_AlapShift]]=0,Tasks[[#This Row],[_LeafCalcStart]],WORKDAY.INTL(Tasks[[#This Row],[_LeafCalcStart]],Tasks[[#This Row],[_AlapShift]],WorkWeek,Holidays)))</f>
        <v/>
      </c>
      <c r="DI137" s="115" t="str">
        <f aca="false">IF(NOT(Tasks[[#This Row],[_IsLeaf]]=1),"",IF(Tasks[[#This Row],[_AlapShift]]=0,Tasks[[#This Row],[_LeafCalcFinish]],WORKDAY.INTL(Tasks[[#This Row],[_LeafCalcFinish]],Tasks[[#This Row],[_AlapShift]],WorkWeek,Holidays)))</f>
        <v/>
      </c>
      <c r="DJ137" s="115" t="str">
        <f aca="false">IF(NOT(Tasks[[#This Row],[_IsLeaf]]=1),"",IF(Tasks[[#This Row],[_AlapShift]]=0,Tasks[[#This Row],[_LeafFcstStart]],WORKDAY.INTL(Tasks[[#This Row],[_LeafFcstStart]],Tasks[[#This Row],[_AlapShift]],WorkWeek,Holidays)))</f>
        <v/>
      </c>
      <c r="DK137" s="115" t="str">
        <f aca="false">IF(NOT(Tasks[[#This Row],[_IsLeaf]]=1),"",IF(Tasks[[#This Row],[_AlapShift]]=0,Tasks[[#This Row],[_LeafFcstFinish]],WORKDAY.INTL(Tasks[[#This Row],[_LeafFcstFinish]],Tasks[[#This Row],[_AlapShift]],WorkWeek,Holidays)))</f>
        <v/>
      </c>
      <c r="DL137" s="115" t="str">
        <f aca="false">IF(Tasks[[#This Row],[Task Name]]="","",IF(Tasks[[#This Row],[_IsSummary]],MIN(INDEX(Tasks[_ShownCalcStart],Tasks[[#This Row],[_Row]]+1):INDEX(Tasks[_ShownCalcStart],Tasks[[#This Row],[_Row]]+Tasks[[#This Row],[_Descendants]])),Tasks[[#This Row],[_ShownCalcStart]]))</f>
        <v/>
      </c>
      <c r="DM137" s="115" t="str">
        <f aca="false">IF(Tasks[[#This Row],[Task Name]]="","",IF(Tasks[[#This Row],[_IsSummary]],MAX(INDEX(Tasks[_ShownCalcFinish],Tasks[[#This Row],[_Row]]+1):INDEX(Tasks[_ShownCalcFinish],Tasks[[#This Row],[_Row]]+Tasks[[#This Row],[_Descendants]])),Tasks[[#This Row],[_ShownCalcFinish]]))</f>
        <v/>
      </c>
      <c r="DN13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7" s="38" t="n">
        <f aca="false">IF(AND(Tasks[[#This Row],[_IsLeaf]]=1,Tasks[[#This Row],[_LeafTotalWork]]&gt;0),NETWORKDAYS.INTL(ProjectStart,Tasks[[#This Row],[_ShownFcstStart]],WorkWeek,Holidays),0)</f>
        <v>0</v>
      </c>
      <c r="EA137" s="38" t="n">
        <f aca="false">IF(AND(Tasks[[#This Row],[_IsLeaf]]=1,Tasks[[#This Row],[_LeafTotalWork]]&gt;0),MAX(Tasks[[#This Row],[_StartWorkday]],NETWORKDAYS.INTL(ProjectStart,Tasks[[#This Row],[_ShownFcstFinish]],WorkWeek,Holidays)),0)</f>
        <v>0</v>
      </c>
      <c r="EB137" s="38" t="n">
        <f aca="false">IF(AND(Tasks[[#This Row],[_IsLeaf]]=1,Tasks[[#This Row],[_LeafTotalWork]]&gt;0),Tasks[[#This Row],[_LeafWork]]/(Tasks[[#This Row],[_FinishWorkday]]-Tasks[[#This Row],[_StartWorkday]]+1),0)</f>
        <v>0</v>
      </c>
      <c r="EC137" s="38" t="n">
        <f aca="false">Tasks[[#This Row],[_WorkPerWorkday]]*(Tasks[[#This Row],[_StartWorkday]]-1)</f>
        <v>-0</v>
      </c>
      <c r="ED137" s="38" t="n">
        <f aca="false">IF(Tasks[[#This Row],[_IsLeaf]]=1,MAX(N(Tasks[[#This Row],[Duration]]),0.1),0)</f>
        <v>0</v>
      </c>
      <c r="EE137" s="38" t="n">
        <f aca="false">Tasks[[#This Row],[_WeightDur]]*Tasks[[#This Row],[_LeafProgress]]</f>
        <v>0</v>
      </c>
      <c r="EF13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7" s="38" t="str">
        <f aca="false">IF(AND(Tasks[[#This Row],[_IsLeaf]]=1,N(Tasks[[#This Row],[Duration]])=0,Tasks[[#This Row],[_LeafProgress]]&lt;1),Tasks[[#This Row],[_ShownFcstFinish]]+Tasks[[#This Row],[_Row]]/100000,"")</f>
        <v/>
      </c>
      <c r="EH13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7" s="38" t="n">
        <f aca="false">IF(NOT(Tasks[[#This Row],[_IsLeaf]]=1),0,IF(Tasks[[#This Row],[Baseline Cost]]="",Tasks[[#This Row],[_LeafTotalCost]],N(Tasks[[#This Row],[Baseline Cost]])))</f>
        <v>0</v>
      </c>
      <c r="EJ137" s="38" t="n">
        <f aca="false">Tasks[[#This Row],[_LeafBudget]]*Tasks[[#This Row],[_PlannedPct]]</f>
        <v>0</v>
      </c>
      <c r="EK137" s="38" t="n">
        <f aca="false">Tasks[[#This Row],[_LeafBudget]]*Tasks[[#This Row],[_LeafProgress]]</f>
        <v>0</v>
      </c>
      <c r="EL137" s="38" t="n">
        <f aca="false">IF(NOT(Tasks[[#This Row],[_IsLeaf]]=1),0,IF(Tasks[[#This Row],[Actual Cost]]="",Tasks[[#This Row],[_LeafTotalCost]]*Tasks[[#This Row],[_LeafProgress]],N(Tasks[[#This Row],[Actual Cost]])))</f>
        <v>0</v>
      </c>
      <c r="EM137" s="38" t="str">
        <f aca="false">IF(Tasks[[#This Row],[Task Name]]="","",LEFT(Tasks[[#This Row],[WBS]],FIND(".",Tasks[[#This Row],[WBS]]&amp;".")-1))</f>
        <v/>
      </c>
      <c r="EN137" s="38" t="str">
        <f aca="false">IF(AND(Tasks[[#This Row],[Task Name]]&lt;&gt;"",Tasks[[#This Row],[_Level]]=1),Tasks[[#This Row],[_Row]],"")</f>
        <v/>
      </c>
      <c r="EO137" s="38" t="str">
        <f aca="false">IF(AND(Tasks[[#This Row],[_IsLeaf]]=1,N(Tasks[[#This Row],[Duration]])=0),Tasks[[#This Row],[Planned Finish]]+Tasks[[#This Row],[_Row]]/100000,"")</f>
        <v/>
      </c>
      <c r="EP137" s="38" t="str">
        <f aca="false">IF(AND(Tasks[[#This Row],[_IsLeaf]]=1,Tasks[[#This Row],[_LeafProgress]]&lt;1,OR(N(Tasks[[#This Row],[Finish Var]])&gt;0,Tasks[[#This Row],[Status]]="Late Start")),MAX(0,Tasks[[#This Row],[Finish Var]])+1-Tasks[[#This Row],[_Row]]/1000000,"")</f>
        <v/>
      </c>
      <c r="EQ137" s="38" t="str">
        <f aca="false">IF(AND(Tasks[[#This Row],[_IsLeaf]]=1,N(Tasks[[#This Row],[Actual Start]])=0,Tasks[[#This Row],[_ShownFcstStart]]&gt;=StatusDate,Tasks[[#This Row],[_ShownFcstStart]]&lt;=LookaheadEnd),Tasks[[#This Row],[_ShownFcstStart]]+Tasks[[#This Row],[_Row]]/100000,"")</f>
        <v/>
      </c>
      <c r="ER137" s="38" t="str">
        <f aca="false">IF(AND(Tasks[[#This Row],[_IsLeaf]]=1,Tasks[[#This Row],[_LeafProgress]]&lt;1,Tasks[[#This Row],[_ShownFcstFinish]]&gt;=StatusDate,Tasks[[#This Row],[_ShownFcstFinish]]&lt;=LookaheadEnd),Tasks[[#This Row],[_ShownFcstFinish]]+Tasks[[#This Row],[_Row]]/100000,"")</f>
        <v/>
      </c>
      <c r="ES137" s="38" t="str">
        <f aca="false">IF(Tasks[[#This Row],[_LeafCritical]],Tasks[[#This Row],[_ShownFcstStart]]+Tasks[[#This Row],[_Row]]/100000,"")</f>
        <v/>
      </c>
      <c r="ET137" s="38" t="n">
        <f aca="false">Tasks[[#This Row],[_LeafWork]]*Tasks[[#This Row],[_LeafProgress]]</f>
        <v>0</v>
      </c>
      <c r="EU137" s="115" t="str">
        <f aca="false">IF(AND(Tasks[[#This Row],[_IsLeaf]]=1,Tasks[[#This Row],[_LeafProgress]]&gt;=1),IF(N(Tasks[[#This Row],[Actual Finish]])&gt;0,Tasks[[#This Row],[Actual Finish]],Tasks[[#This Row],[_ShownFcstFinish]]),"")</f>
        <v/>
      </c>
      <c r="EV137" s="38" t="n">
        <f aca="false">IF(Tasks[[#This Row],[_IsLeaf]]=1,N(Tasks[[#This Row],[Story Points]]),0)</f>
        <v>0</v>
      </c>
      <c r="EW137" s="38" t="str">
        <f aca="false">IF(AND(Tasks[[#This Row],[_IsLeaf]]=1,CurrentSprint&lt;&gt;"",Tasks[[#This Row],[Sprint]]=CurrentSprint),Tasks[[#This Row],[_Row]],"")</f>
        <v/>
      </c>
    </row>
    <row r="138" customFormat="false" ht="15" hidden="false" customHeight="false" outlineLevel="0" collapsed="false">
      <c r="A138" s="51" t="str">
        <f aca="false">IF(Tasks[[#This Row],[Task Name]]="","",COUNTA(Tasks[[#Headers],[Task Name]]:Tasks[[#This Row],[Task Name]])-1)</f>
        <v/>
      </c>
      <c r="B138" s="52" t="n">
        <v>133</v>
      </c>
      <c r="C13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52"/>
      <c r="E138" s="53"/>
      <c r="F138" s="52"/>
      <c r="G138" s="52"/>
      <c r="H138" s="52"/>
      <c r="I138" s="52"/>
      <c r="J138" s="52"/>
      <c r="K138" s="52"/>
      <c r="L138" s="52"/>
      <c r="M138" s="52"/>
      <c r="N138" s="52"/>
      <c r="O138" s="52"/>
      <c r="P138" s="52"/>
      <c r="Q138" s="52"/>
      <c r="R138" s="52"/>
      <c r="S138" s="53"/>
      <c r="T138" s="102"/>
      <c r="U138" s="102"/>
      <c r="V138" s="7"/>
      <c r="W138" s="7"/>
      <c r="X138" s="53"/>
      <c r="Y138" s="31" t="str">
        <f aca="false">IF(Tasks[[#This Row],[Task Name]]="","",IF(Tasks[[#This Row],[_IsSummary]],MIN(INDEX(Tasks[_ShownFcstStart],Tasks[[#This Row],[_Row]]+1):INDEX(Tasks[_ShownFcstStart],Tasks[[#This Row],[_Row]]+Tasks[[#This Row],[_Descendants]])),Tasks[[#This Row],[_ShownFcstStart]]))</f>
        <v/>
      </c>
      <c r="Z138" s="31" t="str">
        <f aca="false">IF(Tasks[[#This Row],[Task Name]]="","",IF(Tasks[[#This Row],[_IsSummary]],MAX(INDEX(Tasks[_ShownFcstFinish],Tasks[[#This Row],[_Row]]+1):INDEX(Tasks[_ShownFcstFinish],Tasks[[#This Row],[_Row]]+Tasks[[#This Row],[_Descendants]])),Tasks[[#This Row],[_ShownFcstFinish]]))</f>
        <v/>
      </c>
      <c r="AA138" s="51" t="str">
        <f aca="false">IF(Tasks[[#This Row],[Task Name]]="","",IF(Tasks[[#This Row],[Progress]]&gt;=1,"Complete",IF(OR(N(Tasks[[#This Row],[Actual Start]])&gt;0,Tasks[[#This Row],[Progress]]&gt;0),IF(Tasks[[#This Row],[Finish Var]]&gt;0,"Behind","In Progress"),IF(Tasks[[#This Row],[Planned Start]]&lt;StatusDate,"Late Start","Not Started"))))</f>
        <v/>
      </c>
      <c r="AB138" s="51" t="str">
        <f aca="false">IF(Tasks[[#This Row],[Task Name]]="","",IF(IF(Tasks[[#This Row],[_IsSummary]],COUNTIF(INDEX(Tasks[_LeafCritical],Tasks[[#This Row],[_Row]]+1):INDEX(Tasks[_LeafCritical],Tasks[[#This Row],[_Row]]+Tasks[[#This Row],[_Descendants]]),TRUE())&gt;0,Tasks[[#This Row],[_LeafCritical]]),"Yes",""))</f>
        <v/>
      </c>
      <c r="AC13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8" s="51" t="str">
        <f aca="false">IF(Tasks[[#This Row],[Task Name]]="","",IF(Tasks[[#This Row],[_Level]]&lt;=OutlineShowLevel,"Yes","No"))</f>
        <v/>
      </c>
      <c r="AE138" s="7"/>
      <c r="AF138" s="52"/>
      <c r="AG138" s="53"/>
      <c r="AH138" s="7"/>
      <c r="AI13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8" s="31" t="str">
        <f aca="false">IF(Tasks[[#This Row],[Task Name]]="","",IF(N(Tasks[[#This Row],[Baseline Start]])&gt;0,Tasks[[#This Row],[Baseline Start]],Tasks[[#This Row],[_CalcStart]]))</f>
        <v/>
      </c>
      <c r="AK138" s="31" t="str">
        <f aca="false">IF(Tasks[[#This Row],[Task Name]]="","",IF(N(Tasks[[#This Row],[Baseline Finish]])&gt;0,Tasks[[#This Row],[Baseline Finish]],Tasks[[#This Row],[_CalcFinish]]))</f>
        <v/>
      </c>
      <c r="AL13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8" s="31" t="str">
        <f aca="false">IF(Tasks[[#This Row],[Task Name]]="","",IF(Tasks[[#This Row],[_IsSummary]],MIN(INDEX(Tasks[_LeafLateStart],Tasks[[#This Row],[_Row]]+1):INDEX(Tasks[_LeafLateStart],Tasks[[#This Row],[_Row]]+Tasks[[#This Row],[_Descendants]])),Tasks[[#This Row],[_LeafLateStart]]))</f>
        <v/>
      </c>
      <c r="AN138" s="31" t="str">
        <f aca="false">IF(Tasks[[#This Row],[Task Name]]="","",IF(Tasks[[#This Row],[_IsSummary]],MAX(INDEX(Tasks[_LeafLateFinish],Tasks[[#This Row],[_Row]]+1):INDEX(Tasks[_LeafLateFinish],Tasks[[#This Row],[_Row]]+Tasks[[#This Row],[_Descendants]])),Tasks[[#This Row],[_LeafLateFinish]]))</f>
        <v/>
      </c>
      <c r="AO138" s="51" t="str">
        <f aca="false">IF(Tasks[[#This Row],[Task Name]]="","",IF(Tasks[[#This Row],[_IsSummary]],MIN(INDEX(Tasks[_LeafTotalSlack],Tasks[[#This Row],[_Row]]+1):INDEX(Tasks[_LeafTotalSlack],Tasks[[#This Row],[_Row]]+Tasks[[#This Row],[_Descendants]])),Tasks[[#This Row],[_LeafTotalSlack]]))</f>
        <v/>
      </c>
      <c r="AP13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8" s="110" t="str">
        <f aca="false">IF(Tasks[[#This Row],[Task Name]]="","",IF(Tasks[[#This Row],[_IsSummary]],SUM(INDEX(Tasks[_LeafTotalWork],Tasks[[#This Row],[_Row]]+1):INDEX(Tasks[_LeafTotalWork],Tasks[[#This Row],[_Row]]+Tasks[[#This Row],[_Descendants]])),Tasks[[#This Row],[_LeafTotalWork]]))</f>
        <v/>
      </c>
      <c r="AV13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8" s="111" t="str">
        <f aca="false">IF(Tasks[[#This Row],[Task Name]]="","",IF(Tasks[[#This Row],[_IsSummary]],SUM(INDEX(Tasks[_LeafTotalCost],Tasks[[#This Row],[_Row]]+1):INDEX(Tasks[_LeafTotalCost],Tasks[[#This Row],[_Row]]+Tasks[[#This Row],[_Descendants]])),Tasks[[#This Row],[_LeafTotalCost]]))</f>
        <v/>
      </c>
      <c r="AY138" s="112"/>
      <c r="AZ13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8" s="52"/>
      <c r="BB138" s="98"/>
      <c r="BC138" s="51" t="str">
        <f aca="false">IF(OR(Tasks[[#This Row],[Task Name]]="",Tasks[[#This Row],[Baseline Duration]]=""),"",Tasks[[#This Row],[BL Source Duration]]-N(Tasks[[#This Row],[Baseline Duration]]))</f>
        <v/>
      </c>
      <c r="BD138" s="110" t="str">
        <f aca="false">IF(OR(Tasks[[#This Row],[Task Name]]="",Tasks[[#This Row],[Baseline Work]]=""),"",Tasks[[#This Row],[Work]]-N(Tasks[[#This Row],[Baseline Work]]))</f>
        <v/>
      </c>
      <c r="BE138" s="111" t="str">
        <f aca="false">IF(OR(Tasks[[#This Row],[Task Name]]="",Tasks[[#This Row],[Baseline Cost]]=""),"",Tasks[[#This Row],[Cost]]-N(Tasks[[#This Row],[Baseline Cost]]))</f>
        <v/>
      </c>
      <c r="BF138" s="31" t="str">
        <f aca="false">IF(Tasks[[#This Row],[Task Name]]="","",Tasks[[#This Row],[Forecast Start]])</f>
        <v/>
      </c>
      <c r="BG138" s="31" t="str">
        <f aca="false">IF(Tasks[[#This Row],[Task Name]]="","",Tasks[[#This Row],[Forecast Finish]])</f>
        <v/>
      </c>
      <c r="BH138" s="51" t="str">
        <f aca="false">IF(Tasks[[#This Row],[Task Name]]="","",IF(Tasks[[#This Row],[_IsSummary]],NETWORKDAYS.INTL(Tasks[[#This Row],[Forecast Start]],Tasks[[#This Row],[Forecast Finish]],WorkWeek,Holidays),N(Tasks[[#This Row],[Duration]])))</f>
        <v/>
      </c>
      <c r="BI138" s="110" t="str">
        <f aca="false">IF(Tasks[[#This Row],[Task Name]]="","",Tasks[[#This Row],[Work]])</f>
        <v/>
      </c>
      <c r="BJ138" s="111" t="str">
        <f aca="false">IF(Tasks[[#This Row],[Task Name]]="","",Tasks[[#This Row],[Cost]])</f>
        <v/>
      </c>
      <c r="BK138" s="7"/>
      <c r="BL138" s="7"/>
      <c r="BM138" s="52"/>
      <c r="BN138" s="113"/>
      <c r="BO138" s="112"/>
      <c r="BP138" s="111" t="str">
        <f aca="false">IF(Tasks[[#This Row],[Task Name]]="","",IF(Tasks[[#This Row],[_IsSummary]],SUM(INDEX(Tasks[_LeafEV],Tasks[[#This Row],[_Row]]+1):INDEX(Tasks[_LeafEV],Tasks[[#This Row],[_Row]]+Tasks[[#This Row],[_Descendants]])),Tasks[[#This Row],[_LeafEV]]))</f>
        <v/>
      </c>
      <c r="BQ138" s="111" t="str">
        <f aca="false">IF(Tasks[[#This Row],[Task Name]]="","",IF(Tasks[[#This Row],[_IsSummary]],SUM(INDEX(Tasks[_LeafBudget],Tasks[[#This Row],[_Row]]+1):INDEX(Tasks[_LeafBudget],Tasks[[#This Row],[_Row]]+Tasks[[#This Row],[_Descendants]])),Tasks[[#This Row],[_LeafBudget]]))</f>
        <v/>
      </c>
      <c r="BR138" s="111" t="str">
        <f aca="false">IF(Tasks[[#This Row],[Task Name]]="","",IF(Tasks[[#This Row],[_IsSummary]],SUM(INDEX(Tasks[_LeafPV],Tasks[[#This Row],[_Row]]+1):INDEX(Tasks[_LeafPV],Tasks[[#This Row],[_Row]]+Tasks[[#This Row],[_Descendants]])),Tasks[[#This Row],[_LeafPV]]))</f>
        <v/>
      </c>
      <c r="BS138" s="111" t="str">
        <f aca="false">IF(Tasks[[#This Row],[Task Name]]="","",IF(Tasks[[#This Row],[_IsSummary]],SUM(INDEX(Tasks[_LeafAC],Tasks[[#This Row],[_Row]]+1):INDEX(Tasks[_LeafAC],Tasks[[#This Row],[_Row]]+Tasks[[#This Row],[_Descendants]])),Tasks[[#This Row],[_LeafAC]]))</f>
        <v/>
      </c>
      <c r="BT138" s="38" t="str">
        <f aca="false">IF(Tasks[[#This Row],[Task Name]]="","",MAX(1,N(Tasks[[#This Row],[Level]])))</f>
        <v/>
      </c>
      <c r="BU138" s="38" t="n">
        <f aca="false">ROW()-ROW(Tasks[[#Headers],[ID]])</f>
        <v>133</v>
      </c>
      <c r="BV138" s="38" t="n">
        <f aca="false">IF(OR(Tasks[[#This Row],[Task Name]]="",Tasks[[#This Row],[_Level]]&lt;=1),0,IFERROR(LOOKUP(2,1/(Tasks[[#Headers],[_Level]]:Tasks[[#This Row],[_Level]]=Tasks[[#This Row],[_Level]]-1),ROW(Tasks[[#Headers],[_Level]]:Tasks[[#This Row],[_Level]])),0))</f>
        <v>0</v>
      </c>
      <c r="BW138" s="38" t="n">
        <f aca="false">IFERROR(N(INDEX(Tasks[_Level],Tasks[[#This Row],[_Row]]+1)),0)</f>
        <v>0</v>
      </c>
      <c r="BX138" s="114" t="b">
        <f aca="false">AND(Tasks[[#This Row],[Task Name]]&lt;&gt;"",Tasks[[#This Row],[_NextLevel]]&gt;Tasks[[#This Row],[_Level]])</f>
        <v>0</v>
      </c>
      <c r="BY138" s="38" t="n">
        <f aca="false">IF(Tasks[[#This Row],[_IsSummary]],COUNTIF(Tasks[WBS],Tasks[[#This Row],[WBS]]&amp;".*"),0)</f>
        <v>0</v>
      </c>
      <c r="BZ138" s="38" t="n">
        <f aca="false">IF(AND(Tasks[[#This Row],[Task Name]]&lt;&gt;"",NOT(Tasks[[#This Row],[_IsSummary]])),1,0)</f>
        <v>0</v>
      </c>
      <c r="CA138" s="38" t="n">
        <f aca="false">IF(N(Tasks[[#This Row],[Pred1 UID]])=0,0,IFERROR(MATCH(Tasks[[#This Row],[Pred1 UID]],Tasks[UID],0),-1))</f>
        <v>0</v>
      </c>
      <c r="CB138" s="38" t="n">
        <f aca="false">IF(N(Tasks[[#This Row],[Pred2 UID]])=0,0,IFERROR(MATCH(Tasks[[#This Row],[Pred2 UID]],Tasks[UID],0),-1))</f>
        <v>0</v>
      </c>
      <c r="CC138" s="38" t="n">
        <f aca="false">IF(N(Tasks[[#This Row],[Pred3 UID]])=0,0,IFERROR(MATCH(Tasks[[#This Row],[Pred3 UID]],Tasks[UID],0),-1))</f>
        <v>0</v>
      </c>
      <c r="CD138" s="38" t="n">
        <f aca="false">IF(N(Tasks[[#This Row],[Pred4 UID]])=0,0,IFERROR(MATCH(Tasks[[#This Row],[Pred4 UID]],Tasks[UID],0),-1))</f>
        <v>0</v>
      </c>
      <c r="CE13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8" s="115" t="n">
        <f aca="false">IF(OR(Tasks[[#This Row],[_ConstraintCode]]=2,Tasks[[#This Row],[_ConstraintCode]]=3,Tasks[[#This Row],[_ConstraintCode]]=4,Tasks[[#This Row],[_ConstraintCode]]=6),Tasks[[#This Row],[_ConstraintStart]],0)</f>
        <v>0</v>
      </c>
      <c r="CH138" s="115" t="n">
        <f aca="false">IF(OR(Tasks[[#This Row],[_ConstraintCode]]=2,Tasks[[#This Row],[_ConstraintCode]]=3,Tasks[[#This Row],[_ConstraintCode]]=5,Tasks[[#This Row],[_ConstraintCode]]=7),Tasks[[#This Row],[_ConstraintStart]],2958465)</f>
        <v>2958465</v>
      </c>
      <c r="CI13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8" s="115" t="str">
        <f aca="false">IF(NOT(Tasks[[#This Row],[_IsLeaf]]=1),"",IF(N(Tasks[[#This Row],[Duration]])&lt;=0,Tasks[[#This Row],[_LeafCalcStart]],WORKDAY.INTL(Tasks[[#This Row],[_LeafCalcStart]],Tasks[[#This Row],[Duration]]-1,WorkWeek,Holidays)))</f>
        <v/>
      </c>
      <c r="CK13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8" s="38" t="n">
        <f aca="false">IF(NOT(Tasks[[#This Row],[_IsLeaf]]=1),0,IF(N(Tasks[[#This Row],[Actual Finish]])&gt;0,1,MIN(1,N(Tasks[[#This Row],[% Complete]]))))</f>
        <v>0</v>
      </c>
      <c r="CN138" s="38" t="n">
        <f aca="false">IF(OR(NOT(Tasks[[#This Row],[_IsLeaf]]=1),Tasks[[#This Row],[Resource]]=""),0,N(Tasks[[#This Row],[Duration]])*HoursPerDay*IF(Tasks[[#This Row],[Units]]="",DefaultUnits,Tasks[[#This Row],[Units]]))</f>
        <v>0</v>
      </c>
      <c r="CO138" s="38" t="n">
        <f aca="false">IF(Tasks[[#This Row],[_LeafWork]]=0,0,Tasks[[#This Row],[_LeafWork]]*IFERROR(INDEX(res_Rate,MATCH(Tasks[[#This Row],[Resource]],res_Name,0)),0))</f>
        <v>0</v>
      </c>
      <c r="CP138" s="38" t="n">
        <f aca="false">Tasks[[#This Row],[_LeafWork]]+IF(Tasks[[#This Row],[_IsLeaf]]=1,SUMIFS(asg_Work,asg_TaskUID,Tasks[[#This Row],[UID]],asg_Valid,1),0)</f>
        <v>0</v>
      </c>
      <c r="CQ138" s="38" t="n">
        <f aca="false">Tasks[[#This Row],[_LeafCost]]+IF(Tasks[[#This Row],[_IsLeaf]]=1,SUMIFS(asg_Cost,asg_TaskUID,Tasks[[#This Row],[UID]],asg_Valid,1),0)</f>
        <v>0</v>
      </c>
      <c r="CR138" s="38" t="n">
        <f aca="false">IF(Tasks[[#This Row],[_LeafTotalCost]]=0,Tasks[[#This Row],[_LeafAC]],Tasks[[#This Row],[_LeafAC]]*Tasks[[#This Row],[_LeafCost]]/Tasks[[#This Row],[_LeafTotalCost]])</f>
        <v>0</v>
      </c>
      <c r="CS13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8" s="38" t="n">
        <f aca="false">IF(NOT(Tasks[[#This Row],[_IsLeaf]]=1),0,MAX(_xlfn.MAXIFS(Tasks[_Row],Tasks[Pred1 UID],Tasks[[#This Row],[UID]]),_xlfn.MAXIFS(Tasks[_Row],Tasks[Pred2 UID],Tasks[[#This Row],[UID]]),_xlfn.MAXIFS(Tasks[_Row],Tasks[Pred3 UID],Tasks[[#This Row],[UID]]),_xlfn.MAXIFS(Tasks[_Row],Tasks[Pred4 UID],Tasks[[#This Row],[UID]])))</f>
        <v>0</v>
      </c>
      <c r="DB13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8" s="115" t="str">
        <f aca="false">IF(NOT(Tasks[[#This Row],[_IsLeaf]]=1),"",IF(N(Tasks[[#This Row],[Duration]])&lt;=0,Tasks[[#This Row],[_LeafLateFinish]],WORKDAY.INTL(Tasks[[#This Row],[_LeafLateFinish]],-(Tasks[[#This Row],[Duration]]-1),WorkWeek,Holidays)))</f>
        <v/>
      </c>
      <c r="DE13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8" s="114" t="b">
        <f aca="false">AND(Tasks[[#This Row],[_IsLeaf]]=1,Tasks[[#This Row],[_LeafProgress]]&lt;1,N(Tasks[[#This Row],[_LeafTotalSlack]])&lt;=CriticalSlackDays)</f>
        <v>0</v>
      </c>
      <c r="DG138" s="38" t="n">
        <f aca="false">IF(AND(Tasks[[#This Row],[_IsLeaf]]=1,Tasks[[#This Row],[_ConstraintCode]]=1,Tasks[[#This Row],[Mode]]&lt;&gt;"Manual",N(Tasks[[#This Row],[Actual Start]])=0),MAX(0,N(Tasks[[#This Row],[Free Slack]])),0)</f>
        <v>0</v>
      </c>
      <c r="DH138" s="115" t="str">
        <f aca="false">IF(NOT(Tasks[[#This Row],[_IsLeaf]]=1),"",IF(Tasks[[#This Row],[_AlapShift]]=0,Tasks[[#This Row],[_LeafCalcStart]],WORKDAY.INTL(Tasks[[#This Row],[_LeafCalcStart]],Tasks[[#This Row],[_AlapShift]],WorkWeek,Holidays)))</f>
        <v/>
      </c>
      <c r="DI138" s="115" t="str">
        <f aca="false">IF(NOT(Tasks[[#This Row],[_IsLeaf]]=1),"",IF(Tasks[[#This Row],[_AlapShift]]=0,Tasks[[#This Row],[_LeafCalcFinish]],WORKDAY.INTL(Tasks[[#This Row],[_LeafCalcFinish]],Tasks[[#This Row],[_AlapShift]],WorkWeek,Holidays)))</f>
        <v/>
      </c>
      <c r="DJ138" s="115" t="str">
        <f aca="false">IF(NOT(Tasks[[#This Row],[_IsLeaf]]=1),"",IF(Tasks[[#This Row],[_AlapShift]]=0,Tasks[[#This Row],[_LeafFcstStart]],WORKDAY.INTL(Tasks[[#This Row],[_LeafFcstStart]],Tasks[[#This Row],[_AlapShift]],WorkWeek,Holidays)))</f>
        <v/>
      </c>
      <c r="DK138" s="115" t="str">
        <f aca="false">IF(NOT(Tasks[[#This Row],[_IsLeaf]]=1),"",IF(Tasks[[#This Row],[_AlapShift]]=0,Tasks[[#This Row],[_LeafFcstFinish]],WORKDAY.INTL(Tasks[[#This Row],[_LeafFcstFinish]],Tasks[[#This Row],[_AlapShift]],WorkWeek,Holidays)))</f>
        <v/>
      </c>
      <c r="DL138" s="115" t="str">
        <f aca="false">IF(Tasks[[#This Row],[Task Name]]="","",IF(Tasks[[#This Row],[_IsSummary]],MIN(INDEX(Tasks[_ShownCalcStart],Tasks[[#This Row],[_Row]]+1):INDEX(Tasks[_ShownCalcStart],Tasks[[#This Row],[_Row]]+Tasks[[#This Row],[_Descendants]])),Tasks[[#This Row],[_ShownCalcStart]]))</f>
        <v/>
      </c>
      <c r="DM138" s="115" t="str">
        <f aca="false">IF(Tasks[[#This Row],[Task Name]]="","",IF(Tasks[[#This Row],[_IsSummary]],MAX(INDEX(Tasks[_ShownCalcFinish],Tasks[[#This Row],[_Row]]+1):INDEX(Tasks[_ShownCalcFinish],Tasks[[#This Row],[_Row]]+Tasks[[#This Row],[_Descendants]])),Tasks[[#This Row],[_ShownCalcFinish]]))</f>
        <v/>
      </c>
      <c r="DN13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8" s="38" t="n">
        <f aca="false">IF(AND(Tasks[[#This Row],[_IsLeaf]]=1,Tasks[[#This Row],[_LeafTotalWork]]&gt;0),NETWORKDAYS.INTL(ProjectStart,Tasks[[#This Row],[_ShownFcstStart]],WorkWeek,Holidays),0)</f>
        <v>0</v>
      </c>
      <c r="EA138" s="38" t="n">
        <f aca="false">IF(AND(Tasks[[#This Row],[_IsLeaf]]=1,Tasks[[#This Row],[_LeafTotalWork]]&gt;0),MAX(Tasks[[#This Row],[_StartWorkday]],NETWORKDAYS.INTL(ProjectStart,Tasks[[#This Row],[_ShownFcstFinish]],WorkWeek,Holidays)),0)</f>
        <v>0</v>
      </c>
      <c r="EB138" s="38" t="n">
        <f aca="false">IF(AND(Tasks[[#This Row],[_IsLeaf]]=1,Tasks[[#This Row],[_LeafTotalWork]]&gt;0),Tasks[[#This Row],[_LeafWork]]/(Tasks[[#This Row],[_FinishWorkday]]-Tasks[[#This Row],[_StartWorkday]]+1),0)</f>
        <v>0</v>
      </c>
      <c r="EC138" s="38" t="n">
        <f aca="false">Tasks[[#This Row],[_WorkPerWorkday]]*(Tasks[[#This Row],[_StartWorkday]]-1)</f>
        <v>-0</v>
      </c>
      <c r="ED138" s="38" t="n">
        <f aca="false">IF(Tasks[[#This Row],[_IsLeaf]]=1,MAX(N(Tasks[[#This Row],[Duration]]),0.1),0)</f>
        <v>0</v>
      </c>
      <c r="EE138" s="38" t="n">
        <f aca="false">Tasks[[#This Row],[_WeightDur]]*Tasks[[#This Row],[_LeafProgress]]</f>
        <v>0</v>
      </c>
      <c r="EF13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8" s="38" t="str">
        <f aca="false">IF(AND(Tasks[[#This Row],[_IsLeaf]]=1,N(Tasks[[#This Row],[Duration]])=0,Tasks[[#This Row],[_LeafProgress]]&lt;1),Tasks[[#This Row],[_ShownFcstFinish]]+Tasks[[#This Row],[_Row]]/100000,"")</f>
        <v/>
      </c>
      <c r="EH13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8" s="38" t="n">
        <f aca="false">IF(NOT(Tasks[[#This Row],[_IsLeaf]]=1),0,IF(Tasks[[#This Row],[Baseline Cost]]="",Tasks[[#This Row],[_LeafTotalCost]],N(Tasks[[#This Row],[Baseline Cost]])))</f>
        <v>0</v>
      </c>
      <c r="EJ138" s="38" t="n">
        <f aca="false">Tasks[[#This Row],[_LeafBudget]]*Tasks[[#This Row],[_PlannedPct]]</f>
        <v>0</v>
      </c>
      <c r="EK138" s="38" t="n">
        <f aca="false">Tasks[[#This Row],[_LeafBudget]]*Tasks[[#This Row],[_LeafProgress]]</f>
        <v>0</v>
      </c>
      <c r="EL138" s="38" t="n">
        <f aca="false">IF(NOT(Tasks[[#This Row],[_IsLeaf]]=1),0,IF(Tasks[[#This Row],[Actual Cost]]="",Tasks[[#This Row],[_LeafTotalCost]]*Tasks[[#This Row],[_LeafProgress]],N(Tasks[[#This Row],[Actual Cost]])))</f>
        <v>0</v>
      </c>
      <c r="EM138" s="38" t="str">
        <f aca="false">IF(Tasks[[#This Row],[Task Name]]="","",LEFT(Tasks[[#This Row],[WBS]],FIND(".",Tasks[[#This Row],[WBS]]&amp;".")-1))</f>
        <v/>
      </c>
      <c r="EN138" s="38" t="str">
        <f aca="false">IF(AND(Tasks[[#This Row],[Task Name]]&lt;&gt;"",Tasks[[#This Row],[_Level]]=1),Tasks[[#This Row],[_Row]],"")</f>
        <v/>
      </c>
      <c r="EO138" s="38" t="str">
        <f aca="false">IF(AND(Tasks[[#This Row],[_IsLeaf]]=1,N(Tasks[[#This Row],[Duration]])=0),Tasks[[#This Row],[Planned Finish]]+Tasks[[#This Row],[_Row]]/100000,"")</f>
        <v/>
      </c>
      <c r="EP138" s="38" t="str">
        <f aca="false">IF(AND(Tasks[[#This Row],[_IsLeaf]]=1,Tasks[[#This Row],[_LeafProgress]]&lt;1,OR(N(Tasks[[#This Row],[Finish Var]])&gt;0,Tasks[[#This Row],[Status]]="Late Start")),MAX(0,Tasks[[#This Row],[Finish Var]])+1-Tasks[[#This Row],[_Row]]/1000000,"")</f>
        <v/>
      </c>
      <c r="EQ138" s="38" t="str">
        <f aca="false">IF(AND(Tasks[[#This Row],[_IsLeaf]]=1,N(Tasks[[#This Row],[Actual Start]])=0,Tasks[[#This Row],[_ShownFcstStart]]&gt;=StatusDate,Tasks[[#This Row],[_ShownFcstStart]]&lt;=LookaheadEnd),Tasks[[#This Row],[_ShownFcstStart]]+Tasks[[#This Row],[_Row]]/100000,"")</f>
        <v/>
      </c>
      <c r="ER138" s="38" t="str">
        <f aca="false">IF(AND(Tasks[[#This Row],[_IsLeaf]]=1,Tasks[[#This Row],[_LeafProgress]]&lt;1,Tasks[[#This Row],[_ShownFcstFinish]]&gt;=StatusDate,Tasks[[#This Row],[_ShownFcstFinish]]&lt;=LookaheadEnd),Tasks[[#This Row],[_ShownFcstFinish]]+Tasks[[#This Row],[_Row]]/100000,"")</f>
        <v/>
      </c>
      <c r="ES138" s="38" t="str">
        <f aca="false">IF(Tasks[[#This Row],[_LeafCritical]],Tasks[[#This Row],[_ShownFcstStart]]+Tasks[[#This Row],[_Row]]/100000,"")</f>
        <v/>
      </c>
      <c r="ET138" s="38" t="n">
        <f aca="false">Tasks[[#This Row],[_LeafWork]]*Tasks[[#This Row],[_LeafProgress]]</f>
        <v>0</v>
      </c>
      <c r="EU138" s="115" t="str">
        <f aca="false">IF(AND(Tasks[[#This Row],[_IsLeaf]]=1,Tasks[[#This Row],[_LeafProgress]]&gt;=1),IF(N(Tasks[[#This Row],[Actual Finish]])&gt;0,Tasks[[#This Row],[Actual Finish]],Tasks[[#This Row],[_ShownFcstFinish]]),"")</f>
        <v/>
      </c>
      <c r="EV138" s="38" t="n">
        <f aca="false">IF(Tasks[[#This Row],[_IsLeaf]]=1,N(Tasks[[#This Row],[Story Points]]),0)</f>
        <v>0</v>
      </c>
      <c r="EW138" s="38" t="str">
        <f aca="false">IF(AND(Tasks[[#This Row],[_IsLeaf]]=1,CurrentSprint&lt;&gt;"",Tasks[[#This Row],[Sprint]]=CurrentSprint),Tasks[[#This Row],[_Row]],"")</f>
        <v/>
      </c>
    </row>
    <row r="139" customFormat="false" ht="15" hidden="false" customHeight="false" outlineLevel="0" collapsed="false">
      <c r="A139" s="51" t="str">
        <f aca="false">IF(Tasks[[#This Row],[Task Name]]="","",COUNTA(Tasks[[#Headers],[Task Name]]:Tasks[[#This Row],[Task Name]])-1)</f>
        <v/>
      </c>
      <c r="B139" s="52" t="n">
        <v>134</v>
      </c>
      <c r="C13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52"/>
      <c r="E139" s="53"/>
      <c r="F139" s="52"/>
      <c r="G139" s="52"/>
      <c r="H139" s="52"/>
      <c r="I139" s="52"/>
      <c r="J139" s="52"/>
      <c r="K139" s="52"/>
      <c r="L139" s="52"/>
      <c r="M139" s="52"/>
      <c r="N139" s="52"/>
      <c r="O139" s="52"/>
      <c r="P139" s="52"/>
      <c r="Q139" s="52"/>
      <c r="R139" s="52"/>
      <c r="S139" s="53"/>
      <c r="T139" s="102"/>
      <c r="U139" s="102"/>
      <c r="V139" s="7"/>
      <c r="W139" s="7"/>
      <c r="X139" s="53"/>
      <c r="Y139" s="31" t="str">
        <f aca="false">IF(Tasks[[#This Row],[Task Name]]="","",IF(Tasks[[#This Row],[_IsSummary]],MIN(INDEX(Tasks[_ShownFcstStart],Tasks[[#This Row],[_Row]]+1):INDEX(Tasks[_ShownFcstStart],Tasks[[#This Row],[_Row]]+Tasks[[#This Row],[_Descendants]])),Tasks[[#This Row],[_ShownFcstStart]]))</f>
        <v/>
      </c>
      <c r="Z139" s="31" t="str">
        <f aca="false">IF(Tasks[[#This Row],[Task Name]]="","",IF(Tasks[[#This Row],[_IsSummary]],MAX(INDEX(Tasks[_ShownFcstFinish],Tasks[[#This Row],[_Row]]+1):INDEX(Tasks[_ShownFcstFinish],Tasks[[#This Row],[_Row]]+Tasks[[#This Row],[_Descendants]])),Tasks[[#This Row],[_ShownFcstFinish]]))</f>
        <v/>
      </c>
      <c r="AA139" s="51" t="str">
        <f aca="false">IF(Tasks[[#This Row],[Task Name]]="","",IF(Tasks[[#This Row],[Progress]]&gt;=1,"Complete",IF(OR(N(Tasks[[#This Row],[Actual Start]])&gt;0,Tasks[[#This Row],[Progress]]&gt;0),IF(Tasks[[#This Row],[Finish Var]]&gt;0,"Behind","In Progress"),IF(Tasks[[#This Row],[Planned Start]]&lt;StatusDate,"Late Start","Not Started"))))</f>
        <v/>
      </c>
      <c r="AB139" s="51" t="str">
        <f aca="false">IF(Tasks[[#This Row],[Task Name]]="","",IF(IF(Tasks[[#This Row],[_IsSummary]],COUNTIF(INDEX(Tasks[_LeafCritical],Tasks[[#This Row],[_Row]]+1):INDEX(Tasks[_LeafCritical],Tasks[[#This Row],[_Row]]+Tasks[[#This Row],[_Descendants]]),TRUE())&gt;0,Tasks[[#This Row],[_LeafCritical]]),"Yes",""))</f>
        <v/>
      </c>
      <c r="AC13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9" s="51" t="str">
        <f aca="false">IF(Tasks[[#This Row],[Task Name]]="","",IF(Tasks[[#This Row],[_Level]]&lt;=OutlineShowLevel,"Yes","No"))</f>
        <v/>
      </c>
      <c r="AE139" s="7"/>
      <c r="AF139" s="52"/>
      <c r="AG139" s="53"/>
      <c r="AH139" s="7"/>
      <c r="AI13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9" s="31" t="str">
        <f aca="false">IF(Tasks[[#This Row],[Task Name]]="","",IF(N(Tasks[[#This Row],[Baseline Start]])&gt;0,Tasks[[#This Row],[Baseline Start]],Tasks[[#This Row],[_CalcStart]]))</f>
        <v/>
      </c>
      <c r="AK139" s="31" t="str">
        <f aca="false">IF(Tasks[[#This Row],[Task Name]]="","",IF(N(Tasks[[#This Row],[Baseline Finish]])&gt;0,Tasks[[#This Row],[Baseline Finish]],Tasks[[#This Row],[_CalcFinish]]))</f>
        <v/>
      </c>
      <c r="AL13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9" s="31" t="str">
        <f aca="false">IF(Tasks[[#This Row],[Task Name]]="","",IF(Tasks[[#This Row],[_IsSummary]],MIN(INDEX(Tasks[_LeafLateStart],Tasks[[#This Row],[_Row]]+1):INDEX(Tasks[_LeafLateStart],Tasks[[#This Row],[_Row]]+Tasks[[#This Row],[_Descendants]])),Tasks[[#This Row],[_LeafLateStart]]))</f>
        <v/>
      </c>
      <c r="AN139" s="31" t="str">
        <f aca="false">IF(Tasks[[#This Row],[Task Name]]="","",IF(Tasks[[#This Row],[_IsSummary]],MAX(INDEX(Tasks[_LeafLateFinish],Tasks[[#This Row],[_Row]]+1):INDEX(Tasks[_LeafLateFinish],Tasks[[#This Row],[_Row]]+Tasks[[#This Row],[_Descendants]])),Tasks[[#This Row],[_LeafLateFinish]]))</f>
        <v/>
      </c>
      <c r="AO139" s="51" t="str">
        <f aca="false">IF(Tasks[[#This Row],[Task Name]]="","",IF(Tasks[[#This Row],[_IsSummary]],MIN(INDEX(Tasks[_LeafTotalSlack],Tasks[[#This Row],[_Row]]+1):INDEX(Tasks[_LeafTotalSlack],Tasks[[#This Row],[_Row]]+Tasks[[#This Row],[_Descendants]])),Tasks[[#This Row],[_LeafTotalSlack]]))</f>
        <v/>
      </c>
      <c r="AP13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9" s="110" t="str">
        <f aca="false">IF(Tasks[[#This Row],[Task Name]]="","",IF(Tasks[[#This Row],[_IsSummary]],SUM(INDEX(Tasks[_LeafTotalWork],Tasks[[#This Row],[_Row]]+1):INDEX(Tasks[_LeafTotalWork],Tasks[[#This Row],[_Row]]+Tasks[[#This Row],[_Descendants]])),Tasks[[#This Row],[_LeafTotalWork]]))</f>
        <v/>
      </c>
      <c r="AV13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9" s="111" t="str">
        <f aca="false">IF(Tasks[[#This Row],[Task Name]]="","",IF(Tasks[[#This Row],[_IsSummary]],SUM(INDEX(Tasks[_LeafTotalCost],Tasks[[#This Row],[_Row]]+1):INDEX(Tasks[_LeafTotalCost],Tasks[[#This Row],[_Row]]+Tasks[[#This Row],[_Descendants]])),Tasks[[#This Row],[_LeafTotalCost]]))</f>
        <v/>
      </c>
      <c r="AY139" s="112"/>
      <c r="AZ13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9" s="52"/>
      <c r="BB139" s="98"/>
      <c r="BC139" s="51" t="str">
        <f aca="false">IF(OR(Tasks[[#This Row],[Task Name]]="",Tasks[[#This Row],[Baseline Duration]]=""),"",Tasks[[#This Row],[BL Source Duration]]-N(Tasks[[#This Row],[Baseline Duration]]))</f>
        <v/>
      </c>
      <c r="BD139" s="110" t="str">
        <f aca="false">IF(OR(Tasks[[#This Row],[Task Name]]="",Tasks[[#This Row],[Baseline Work]]=""),"",Tasks[[#This Row],[Work]]-N(Tasks[[#This Row],[Baseline Work]]))</f>
        <v/>
      </c>
      <c r="BE139" s="111" t="str">
        <f aca="false">IF(OR(Tasks[[#This Row],[Task Name]]="",Tasks[[#This Row],[Baseline Cost]]=""),"",Tasks[[#This Row],[Cost]]-N(Tasks[[#This Row],[Baseline Cost]]))</f>
        <v/>
      </c>
      <c r="BF139" s="31" t="str">
        <f aca="false">IF(Tasks[[#This Row],[Task Name]]="","",Tasks[[#This Row],[Forecast Start]])</f>
        <v/>
      </c>
      <c r="BG139" s="31" t="str">
        <f aca="false">IF(Tasks[[#This Row],[Task Name]]="","",Tasks[[#This Row],[Forecast Finish]])</f>
        <v/>
      </c>
      <c r="BH139" s="51" t="str">
        <f aca="false">IF(Tasks[[#This Row],[Task Name]]="","",IF(Tasks[[#This Row],[_IsSummary]],NETWORKDAYS.INTL(Tasks[[#This Row],[Forecast Start]],Tasks[[#This Row],[Forecast Finish]],WorkWeek,Holidays),N(Tasks[[#This Row],[Duration]])))</f>
        <v/>
      </c>
      <c r="BI139" s="110" t="str">
        <f aca="false">IF(Tasks[[#This Row],[Task Name]]="","",Tasks[[#This Row],[Work]])</f>
        <v/>
      </c>
      <c r="BJ139" s="111" t="str">
        <f aca="false">IF(Tasks[[#This Row],[Task Name]]="","",Tasks[[#This Row],[Cost]])</f>
        <v/>
      </c>
      <c r="BK139" s="7"/>
      <c r="BL139" s="7"/>
      <c r="BM139" s="52"/>
      <c r="BN139" s="113"/>
      <c r="BO139" s="112"/>
      <c r="BP139" s="111" t="str">
        <f aca="false">IF(Tasks[[#This Row],[Task Name]]="","",IF(Tasks[[#This Row],[_IsSummary]],SUM(INDEX(Tasks[_LeafEV],Tasks[[#This Row],[_Row]]+1):INDEX(Tasks[_LeafEV],Tasks[[#This Row],[_Row]]+Tasks[[#This Row],[_Descendants]])),Tasks[[#This Row],[_LeafEV]]))</f>
        <v/>
      </c>
      <c r="BQ139" s="111" t="str">
        <f aca="false">IF(Tasks[[#This Row],[Task Name]]="","",IF(Tasks[[#This Row],[_IsSummary]],SUM(INDEX(Tasks[_LeafBudget],Tasks[[#This Row],[_Row]]+1):INDEX(Tasks[_LeafBudget],Tasks[[#This Row],[_Row]]+Tasks[[#This Row],[_Descendants]])),Tasks[[#This Row],[_LeafBudget]]))</f>
        <v/>
      </c>
      <c r="BR139" s="111" t="str">
        <f aca="false">IF(Tasks[[#This Row],[Task Name]]="","",IF(Tasks[[#This Row],[_IsSummary]],SUM(INDEX(Tasks[_LeafPV],Tasks[[#This Row],[_Row]]+1):INDEX(Tasks[_LeafPV],Tasks[[#This Row],[_Row]]+Tasks[[#This Row],[_Descendants]])),Tasks[[#This Row],[_LeafPV]]))</f>
        <v/>
      </c>
      <c r="BS139" s="111" t="str">
        <f aca="false">IF(Tasks[[#This Row],[Task Name]]="","",IF(Tasks[[#This Row],[_IsSummary]],SUM(INDEX(Tasks[_LeafAC],Tasks[[#This Row],[_Row]]+1):INDEX(Tasks[_LeafAC],Tasks[[#This Row],[_Row]]+Tasks[[#This Row],[_Descendants]])),Tasks[[#This Row],[_LeafAC]]))</f>
        <v/>
      </c>
      <c r="BT139" s="38" t="str">
        <f aca="false">IF(Tasks[[#This Row],[Task Name]]="","",MAX(1,N(Tasks[[#This Row],[Level]])))</f>
        <v/>
      </c>
      <c r="BU139" s="38" t="n">
        <f aca="false">ROW()-ROW(Tasks[[#Headers],[ID]])</f>
        <v>134</v>
      </c>
      <c r="BV139" s="38" t="n">
        <f aca="false">IF(OR(Tasks[[#This Row],[Task Name]]="",Tasks[[#This Row],[_Level]]&lt;=1),0,IFERROR(LOOKUP(2,1/(Tasks[[#Headers],[_Level]]:Tasks[[#This Row],[_Level]]=Tasks[[#This Row],[_Level]]-1),ROW(Tasks[[#Headers],[_Level]]:Tasks[[#This Row],[_Level]])),0))</f>
        <v>0</v>
      </c>
      <c r="BW139" s="38" t="n">
        <f aca="false">IFERROR(N(INDEX(Tasks[_Level],Tasks[[#This Row],[_Row]]+1)),0)</f>
        <v>0</v>
      </c>
      <c r="BX139" s="114" t="b">
        <f aca="false">AND(Tasks[[#This Row],[Task Name]]&lt;&gt;"",Tasks[[#This Row],[_NextLevel]]&gt;Tasks[[#This Row],[_Level]])</f>
        <v>0</v>
      </c>
      <c r="BY139" s="38" t="n">
        <f aca="false">IF(Tasks[[#This Row],[_IsSummary]],COUNTIF(Tasks[WBS],Tasks[[#This Row],[WBS]]&amp;".*"),0)</f>
        <v>0</v>
      </c>
      <c r="BZ139" s="38" t="n">
        <f aca="false">IF(AND(Tasks[[#This Row],[Task Name]]&lt;&gt;"",NOT(Tasks[[#This Row],[_IsSummary]])),1,0)</f>
        <v>0</v>
      </c>
      <c r="CA139" s="38" t="n">
        <f aca="false">IF(N(Tasks[[#This Row],[Pred1 UID]])=0,0,IFERROR(MATCH(Tasks[[#This Row],[Pred1 UID]],Tasks[UID],0),-1))</f>
        <v>0</v>
      </c>
      <c r="CB139" s="38" t="n">
        <f aca="false">IF(N(Tasks[[#This Row],[Pred2 UID]])=0,0,IFERROR(MATCH(Tasks[[#This Row],[Pred2 UID]],Tasks[UID],0),-1))</f>
        <v>0</v>
      </c>
      <c r="CC139" s="38" t="n">
        <f aca="false">IF(N(Tasks[[#This Row],[Pred3 UID]])=0,0,IFERROR(MATCH(Tasks[[#This Row],[Pred3 UID]],Tasks[UID],0),-1))</f>
        <v>0</v>
      </c>
      <c r="CD139" s="38" t="n">
        <f aca="false">IF(N(Tasks[[#This Row],[Pred4 UID]])=0,0,IFERROR(MATCH(Tasks[[#This Row],[Pred4 UID]],Tasks[UID],0),-1))</f>
        <v>0</v>
      </c>
      <c r="CE13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9" s="115" t="n">
        <f aca="false">IF(OR(Tasks[[#This Row],[_ConstraintCode]]=2,Tasks[[#This Row],[_ConstraintCode]]=3,Tasks[[#This Row],[_ConstraintCode]]=4,Tasks[[#This Row],[_ConstraintCode]]=6),Tasks[[#This Row],[_ConstraintStart]],0)</f>
        <v>0</v>
      </c>
      <c r="CH139" s="115" t="n">
        <f aca="false">IF(OR(Tasks[[#This Row],[_ConstraintCode]]=2,Tasks[[#This Row],[_ConstraintCode]]=3,Tasks[[#This Row],[_ConstraintCode]]=5,Tasks[[#This Row],[_ConstraintCode]]=7),Tasks[[#This Row],[_ConstraintStart]],2958465)</f>
        <v>2958465</v>
      </c>
      <c r="CI13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9" s="115" t="str">
        <f aca="false">IF(NOT(Tasks[[#This Row],[_IsLeaf]]=1),"",IF(N(Tasks[[#This Row],[Duration]])&lt;=0,Tasks[[#This Row],[_LeafCalcStart]],WORKDAY.INTL(Tasks[[#This Row],[_LeafCalcStart]],Tasks[[#This Row],[Duration]]-1,WorkWeek,Holidays)))</f>
        <v/>
      </c>
      <c r="CK13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9" s="38" t="n">
        <f aca="false">IF(NOT(Tasks[[#This Row],[_IsLeaf]]=1),0,IF(N(Tasks[[#This Row],[Actual Finish]])&gt;0,1,MIN(1,N(Tasks[[#This Row],[% Complete]]))))</f>
        <v>0</v>
      </c>
      <c r="CN139" s="38" t="n">
        <f aca="false">IF(OR(NOT(Tasks[[#This Row],[_IsLeaf]]=1),Tasks[[#This Row],[Resource]]=""),0,N(Tasks[[#This Row],[Duration]])*HoursPerDay*IF(Tasks[[#This Row],[Units]]="",DefaultUnits,Tasks[[#This Row],[Units]]))</f>
        <v>0</v>
      </c>
      <c r="CO139" s="38" t="n">
        <f aca="false">IF(Tasks[[#This Row],[_LeafWork]]=0,0,Tasks[[#This Row],[_LeafWork]]*IFERROR(INDEX(res_Rate,MATCH(Tasks[[#This Row],[Resource]],res_Name,0)),0))</f>
        <v>0</v>
      </c>
      <c r="CP139" s="38" t="n">
        <f aca="false">Tasks[[#This Row],[_LeafWork]]+IF(Tasks[[#This Row],[_IsLeaf]]=1,SUMIFS(asg_Work,asg_TaskUID,Tasks[[#This Row],[UID]],asg_Valid,1),0)</f>
        <v>0</v>
      </c>
      <c r="CQ139" s="38" t="n">
        <f aca="false">Tasks[[#This Row],[_LeafCost]]+IF(Tasks[[#This Row],[_IsLeaf]]=1,SUMIFS(asg_Cost,asg_TaskUID,Tasks[[#This Row],[UID]],asg_Valid,1),0)</f>
        <v>0</v>
      </c>
      <c r="CR139" s="38" t="n">
        <f aca="false">IF(Tasks[[#This Row],[_LeafTotalCost]]=0,Tasks[[#This Row],[_LeafAC]],Tasks[[#This Row],[_LeafAC]]*Tasks[[#This Row],[_LeafCost]]/Tasks[[#This Row],[_LeafTotalCost]])</f>
        <v>0</v>
      </c>
      <c r="CS13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9" s="38" t="n">
        <f aca="false">IF(NOT(Tasks[[#This Row],[_IsLeaf]]=1),0,MAX(_xlfn.MAXIFS(Tasks[_Row],Tasks[Pred1 UID],Tasks[[#This Row],[UID]]),_xlfn.MAXIFS(Tasks[_Row],Tasks[Pred2 UID],Tasks[[#This Row],[UID]]),_xlfn.MAXIFS(Tasks[_Row],Tasks[Pred3 UID],Tasks[[#This Row],[UID]]),_xlfn.MAXIFS(Tasks[_Row],Tasks[Pred4 UID],Tasks[[#This Row],[UID]])))</f>
        <v>0</v>
      </c>
      <c r="DB13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9" s="115" t="str">
        <f aca="false">IF(NOT(Tasks[[#This Row],[_IsLeaf]]=1),"",IF(N(Tasks[[#This Row],[Duration]])&lt;=0,Tasks[[#This Row],[_LeafLateFinish]],WORKDAY.INTL(Tasks[[#This Row],[_LeafLateFinish]],-(Tasks[[#This Row],[Duration]]-1),WorkWeek,Holidays)))</f>
        <v/>
      </c>
      <c r="DE13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9" s="114" t="b">
        <f aca="false">AND(Tasks[[#This Row],[_IsLeaf]]=1,Tasks[[#This Row],[_LeafProgress]]&lt;1,N(Tasks[[#This Row],[_LeafTotalSlack]])&lt;=CriticalSlackDays)</f>
        <v>0</v>
      </c>
      <c r="DG139" s="38" t="n">
        <f aca="false">IF(AND(Tasks[[#This Row],[_IsLeaf]]=1,Tasks[[#This Row],[_ConstraintCode]]=1,Tasks[[#This Row],[Mode]]&lt;&gt;"Manual",N(Tasks[[#This Row],[Actual Start]])=0),MAX(0,N(Tasks[[#This Row],[Free Slack]])),0)</f>
        <v>0</v>
      </c>
      <c r="DH139" s="115" t="str">
        <f aca="false">IF(NOT(Tasks[[#This Row],[_IsLeaf]]=1),"",IF(Tasks[[#This Row],[_AlapShift]]=0,Tasks[[#This Row],[_LeafCalcStart]],WORKDAY.INTL(Tasks[[#This Row],[_LeafCalcStart]],Tasks[[#This Row],[_AlapShift]],WorkWeek,Holidays)))</f>
        <v/>
      </c>
      <c r="DI139" s="115" t="str">
        <f aca="false">IF(NOT(Tasks[[#This Row],[_IsLeaf]]=1),"",IF(Tasks[[#This Row],[_AlapShift]]=0,Tasks[[#This Row],[_LeafCalcFinish]],WORKDAY.INTL(Tasks[[#This Row],[_LeafCalcFinish]],Tasks[[#This Row],[_AlapShift]],WorkWeek,Holidays)))</f>
        <v/>
      </c>
      <c r="DJ139" s="115" t="str">
        <f aca="false">IF(NOT(Tasks[[#This Row],[_IsLeaf]]=1),"",IF(Tasks[[#This Row],[_AlapShift]]=0,Tasks[[#This Row],[_LeafFcstStart]],WORKDAY.INTL(Tasks[[#This Row],[_LeafFcstStart]],Tasks[[#This Row],[_AlapShift]],WorkWeek,Holidays)))</f>
        <v/>
      </c>
      <c r="DK139" s="115" t="str">
        <f aca="false">IF(NOT(Tasks[[#This Row],[_IsLeaf]]=1),"",IF(Tasks[[#This Row],[_AlapShift]]=0,Tasks[[#This Row],[_LeafFcstFinish]],WORKDAY.INTL(Tasks[[#This Row],[_LeafFcstFinish]],Tasks[[#This Row],[_AlapShift]],WorkWeek,Holidays)))</f>
        <v/>
      </c>
      <c r="DL139" s="115" t="str">
        <f aca="false">IF(Tasks[[#This Row],[Task Name]]="","",IF(Tasks[[#This Row],[_IsSummary]],MIN(INDEX(Tasks[_ShownCalcStart],Tasks[[#This Row],[_Row]]+1):INDEX(Tasks[_ShownCalcStart],Tasks[[#This Row],[_Row]]+Tasks[[#This Row],[_Descendants]])),Tasks[[#This Row],[_ShownCalcStart]]))</f>
        <v/>
      </c>
      <c r="DM139" s="115" t="str">
        <f aca="false">IF(Tasks[[#This Row],[Task Name]]="","",IF(Tasks[[#This Row],[_IsSummary]],MAX(INDEX(Tasks[_ShownCalcFinish],Tasks[[#This Row],[_Row]]+1):INDEX(Tasks[_ShownCalcFinish],Tasks[[#This Row],[_Row]]+Tasks[[#This Row],[_Descendants]])),Tasks[[#This Row],[_ShownCalcFinish]]))</f>
        <v/>
      </c>
      <c r="DN13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9" s="38" t="n">
        <f aca="false">IF(AND(Tasks[[#This Row],[_IsLeaf]]=1,Tasks[[#This Row],[_LeafTotalWork]]&gt;0),NETWORKDAYS.INTL(ProjectStart,Tasks[[#This Row],[_ShownFcstStart]],WorkWeek,Holidays),0)</f>
        <v>0</v>
      </c>
      <c r="EA139" s="38" t="n">
        <f aca="false">IF(AND(Tasks[[#This Row],[_IsLeaf]]=1,Tasks[[#This Row],[_LeafTotalWork]]&gt;0),MAX(Tasks[[#This Row],[_StartWorkday]],NETWORKDAYS.INTL(ProjectStart,Tasks[[#This Row],[_ShownFcstFinish]],WorkWeek,Holidays)),0)</f>
        <v>0</v>
      </c>
      <c r="EB139" s="38" t="n">
        <f aca="false">IF(AND(Tasks[[#This Row],[_IsLeaf]]=1,Tasks[[#This Row],[_LeafTotalWork]]&gt;0),Tasks[[#This Row],[_LeafWork]]/(Tasks[[#This Row],[_FinishWorkday]]-Tasks[[#This Row],[_StartWorkday]]+1),0)</f>
        <v>0</v>
      </c>
      <c r="EC139" s="38" t="n">
        <f aca="false">Tasks[[#This Row],[_WorkPerWorkday]]*(Tasks[[#This Row],[_StartWorkday]]-1)</f>
        <v>-0</v>
      </c>
      <c r="ED139" s="38" t="n">
        <f aca="false">IF(Tasks[[#This Row],[_IsLeaf]]=1,MAX(N(Tasks[[#This Row],[Duration]]),0.1),0)</f>
        <v>0</v>
      </c>
      <c r="EE139" s="38" t="n">
        <f aca="false">Tasks[[#This Row],[_WeightDur]]*Tasks[[#This Row],[_LeafProgress]]</f>
        <v>0</v>
      </c>
      <c r="EF13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9" s="38" t="str">
        <f aca="false">IF(AND(Tasks[[#This Row],[_IsLeaf]]=1,N(Tasks[[#This Row],[Duration]])=0,Tasks[[#This Row],[_LeafProgress]]&lt;1),Tasks[[#This Row],[_ShownFcstFinish]]+Tasks[[#This Row],[_Row]]/100000,"")</f>
        <v/>
      </c>
      <c r="EH13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9" s="38" t="n">
        <f aca="false">IF(NOT(Tasks[[#This Row],[_IsLeaf]]=1),0,IF(Tasks[[#This Row],[Baseline Cost]]="",Tasks[[#This Row],[_LeafTotalCost]],N(Tasks[[#This Row],[Baseline Cost]])))</f>
        <v>0</v>
      </c>
      <c r="EJ139" s="38" t="n">
        <f aca="false">Tasks[[#This Row],[_LeafBudget]]*Tasks[[#This Row],[_PlannedPct]]</f>
        <v>0</v>
      </c>
      <c r="EK139" s="38" t="n">
        <f aca="false">Tasks[[#This Row],[_LeafBudget]]*Tasks[[#This Row],[_LeafProgress]]</f>
        <v>0</v>
      </c>
      <c r="EL139" s="38" t="n">
        <f aca="false">IF(NOT(Tasks[[#This Row],[_IsLeaf]]=1),0,IF(Tasks[[#This Row],[Actual Cost]]="",Tasks[[#This Row],[_LeafTotalCost]]*Tasks[[#This Row],[_LeafProgress]],N(Tasks[[#This Row],[Actual Cost]])))</f>
        <v>0</v>
      </c>
      <c r="EM139" s="38" t="str">
        <f aca="false">IF(Tasks[[#This Row],[Task Name]]="","",LEFT(Tasks[[#This Row],[WBS]],FIND(".",Tasks[[#This Row],[WBS]]&amp;".")-1))</f>
        <v/>
      </c>
      <c r="EN139" s="38" t="str">
        <f aca="false">IF(AND(Tasks[[#This Row],[Task Name]]&lt;&gt;"",Tasks[[#This Row],[_Level]]=1),Tasks[[#This Row],[_Row]],"")</f>
        <v/>
      </c>
      <c r="EO139" s="38" t="str">
        <f aca="false">IF(AND(Tasks[[#This Row],[_IsLeaf]]=1,N(Tasks[[#This Row],[Duration]])=0),Tasks[[#This Row],[Planned Finish]]+Tasks[[#This Row],[_Row]]/100000,"")</f>
        <v/>
      </c>
      <c r="EP139" s="38" t="str">
        <f aca="false">IF(AND(Tasks[[#This Row],[_IsLeaf]]=1,Tasks[[#This Row],[_LeafProgress]]&lt;1,OR(N(Tasks[[#This Row],[Finish Var]])&gt;0,Tasks[[#This Row],[Status]]="Late Start")),MAX(0,Tasks[[#This Row],[Finish Var]])+1-Tasks[[#This Row],[_Row]]/1000000,"")</f>
        <v/>
      </c>
      <c r="EQ139" s="38" t="str">
        <f aca="false">IF(AND(Tasks[[#This Row],[_IsLeaf]]=1,N(Tasks[[#This Row],[Actual Start]])=0,Tasks[[#This Row],[_ShownFcstStart]]&gt;=StatusDate,Tasks[[#This Row],[_ShownFcstStart]]&lt;=LookaheadEnd),Tasks[[#This Row],[_ShownFcstStart]]+Tasks[[#This Row],[_Row]]/100000,"")</f>
        <v/>
      </c>
      <c r="ER139" s="38" t="str">
        <f aca="false">IF(AND(Tasks[[#This Row],[_IsLeaf]]=1,Tasks[[#This Row],[_LeafProgress]]&lt;1,Tasks[[#This Row],[_ShownFcstFinish]]&gt;=StatusDate,Tasks[[#This Row],[_ShownFcstFinish]]&lt;=LookaheadEnd),Tasks[[#This Row],[_ShownFcstFinish]]+Tasks[[#This Row],[_Row]]/100000,"")</f>
        <v/>
      </c>
      <c r="ES139" s="38" t="str">
        <f aca="false">IF(Tasks[[#This Row],[_LeafCritical]],Tasks[[#This Row],[_ShownFcstStart]]+Tasks[[#This Row],[_Row]]/100000,"")</f>
        <v/>
      </c>
      <c r="ET139" s="38" t="n">
        <f aca="false">Tasks[[#This Row],[_LeafWork]]*Tasks[[#This Row],[_LeafProgress]]</f>
        <v>0</v>
      </c>
      <c r="EU139" s="115" t="str">
        <f aca="false">IF(AND(Tasks[[#This Row],[_IsLeaf]]=1,Tasks[[#This Row],[_LeafProgress]]&gt;=1),IF(N(Tasks[[#This Row],[Actual Finish]])&gt;0,Tasks[[#This Row],[Actual Finish]],Tasks[[#This Row],[_ShownFcstFinish]]),"")</f>
        <v/>
      </c>
      <c r="EV139" s="38" t="n">
        <f aca="false">IF(Tasks[[#This Row],[_IsLeaf]]=1,N(Tasks[[#This Row],[Story Points]]),0)</f>
        <v>0</v>
      </c>
      <c r="EW139" s="38" t="str">
        <f aca="false">IF(AND(Tasks[[#This Row],[_IsLeaf]]=1,CurrentSprint&lt;&gt;"",Tasks[[#This Row],[Sprint]]=CurrentSprint),Tasks[[#This Row],[_Row]],"")</f>
        <v/>
      </c>
    </row>
    <row r="140" customFormat="false" ht="15" hidden="false" customHeight="false" outlineLevel="0" collapsed="false">
      <c r="A140" s="51" t="str">
        <f aca="false">IF(Tasks[[#This Row],[Task Name]]="","",COUNTA(Tasks[[#Headers],[Task Name]]:Tasks[[#This Row],[Task Name]])-1)</f>
        <v/>
      </c>
      <c r="B140" s="52" t="n">
        <v>135</v>
      </c>
      <c r="C14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52"/>
      <c r="E140" s="53"/>
      <c r="F140" s="52"/>
      <c r="G140" s="52"/>
      <c r="H140" s="52"/>
      <c r="I140" s="52"/>
      <c r="J140" s="52"/>
      <c r="K140" s="52"/>
      <c r="L140" s="52"/>
      <c r="M140" s="52"/>
      <c r="N140" s="52"/>
      <c r="O140" s="52"/>
      <c r="P140" s="52"/>
      <c r="Q140" s="52"/>
      <c r="R140" s="52"/>
      <c r="S140" s="53"/>
      <c r="T140" s="102"/>
      <c r="U140" s="102"/>
      <c r="V140" s="7"/>
      <c r="W140" s="7"/>
      <c r="X140" s="53"/>
      <c r="Y140" s="31" t="str">
        <f aca="false">IF(Tasks[[#This Row],[Task Name]]="","",IF(Tasks[[#This Row],[_IsSummary]],MIN(INDEX(Tasks[_ShownFcstStart],Tasks[[#This Row],[_Row]]+1):INDEX(Tasks[_ShownFcstStart],Tasks[[#This Row],[_Row]]+Tasks[[#This Row],[_Descendants]])),Tasks[[#This Row],[_ShownFcstStart]]))</f>
        <v/>
      </c>
      <c r="Z140" s="31" t="str">
        <f aca="false">IF(Tasks[[#This Row],[Task Name]]="","",IF(Tasks[[#This Row],[_IsSummary]],MAX(INDEX(Tasks[_ShownFcstFinish],Tasks[[#This Row],[_Row]]+1):INDEX(Tasks[_ShownFcstFinish],Tasks[[#This Row],[_Row]]+Tasks[[#This Row],[_Descendants]])),Tasks[[#This Row],[_ShownFcstFinish]]))</f>
        <v/>
      </c>
      <c r="AA140" s="51" t="str">
        <f aca="false">IF(Tasks[[#This Row],[Task Name]]="","",IF(Tasks[[#This Row],[Progress]]&gt;=1,"Complete",IF(OR(N(Tasks[[#This Row],[Actual Start]])&gt;0,Tasks[[#This Row],[Progress]]&gt;0),IF(Tasks[[#This Row],[Finish Var]]&gt;0,"Behind","In Progress"),IF(Tasks[[#This Row],[Planned Start]]&lt;StatusDate,"Late Start","Not Started"))))</f>
        <v/>
      </c>
      <c r="AB140" s="51" t="str">
        <f aca="false">IF(Tasks[[#This Row],[Task Name]]="","",IF(IF(Tasks[[#This Row],[_IsSummary]],COUNTIF(INDEX(Tasks[_LeafCritical],Tasks[[#This Row],[_Row]]+1):INDEX(Tasks[_LeafCritical],Tasks[[#This Row],[_Row]]+Tasks[[#This Row],[_Descendants]]),TRUE())&gt;0,Tasks[[#This Row],[_LeafCritical]]),"Yes",""))</f>
        <v/>
      </c>
      <c r="AC14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0" s="51" t="str">
        <f aca="false">IF(Tasks[[#This Row],[Task Name]]="","",IF(Tasks[[#This Row],[_Level]]&lt;=OutlineShowLevel,"Yes","No"))</f>
        <v/>
      </c>
      <c r="AE140" s="7"/>
      <c r="AF140" s="52"/>
      <c r="AG140" s="53"/>
      <c r="AH140" s="7"/>
      <c r="AI14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0" s="31" t="str">
        <f aca="false">IF(Tasks[[#This Row],[Task Name]]="","",IF(N(Tasks[[#This Row],[Baseline Start]])&gt;0,Tasks[[#This Row],[Baseline Start]],Tasks[[#This Row],[_CalcStart]]))</f>
        <v/>
      </c>
      <c r="AK140" s="31" t="str">
        <f aca="false">IF(Tasks[[#This Row],[Task Name]]="","",IF(N(Tasks[[#This Row],[Baseline Finish]])&gt;0,Tasks[[#This Row],[Baseline Finish]],Tasks[[#This Row],[_CalcFinish]]))</f>
        <v/>
      </c>
      <c r="AL14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0" s="31" t="str">
        <f aca="false">IF(Tasks[[#This Row],[Task Name]]="","",IF(Tasks[[#This Row],[_IsSummary]],MIN(INDEX(Tasks[_LeafLateStart],Tasks[[#This Row],[_Row]]+1):INDEX(Tasks[_LeafLateStart],Tasks[[#This Row],[_Row]]+Tasks[[#This Row],[_Descendants]])),Tasks[[#This Row],[_LeafLateStart]]))</f>
        <v/>
      </c>
      <c r="AN140" s="31" t="str">
        <f aca="false">IF(Tasks[[#This Row],[Task Name]]="","",IF(Tasks[[#This Row],[_IsSummary]],MAX(INDEX(Tasks[_LeafLateFinish],Tasks[[#This Row],[_Row]]+1):INDEX(Tasks[_LeafLateFinish],Tasks[[#This Row],[_Row]]+Tasks[[#This Row],[_Descendants]])),Tasks[[#This Row],[_LeafLateFinish]]))</f>
        <v/>
      </c>
      <c r="AO140" s="51" t="str">
        <f aca="false">IF(Tasks[[#This Row],[Task Name]]="","",IF(Tasks[[#This Row],[_IsSummary]],MIN(INDEX(Tasks[_LeafTotalSlack],Tasks[[#This Row],[_Row]]+1):INDEX(Tasks[_LeafTotalSlack],Tasks[[#This Row],[_Row]]+Tasks[[#This Row],[_Descendants]])),Tasks[[#This Row],[_LeafTotalSlack]]))</f>
        <v/>
      </c>
      <c r="AP14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0" s="110" t="str">
        <f aca="false">IF(Tasks[[#This Row],[Task Name]]="","",IF(Tasks[[#This Row],[_IsSummary]],SUM(INDEX(Tasks[_LeafTotalWork],Tasks[[#This Row],[_Row]]+1):INDEX(Tasks[_LeafTotalWork],Tasks[[#This Row],[_Row]]+Tasks[[#This Row],[_Descendants]])),Tasks[[#This Row],[_LeafTotalWork]]))</f>
        <v/>
      </c>
      <c r="AV14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0" s="111" t="str">
        <f aca="false">IF(Tasks[[#This Row],[Task Name]]="","",IF(Tasks[[#This Row],[_IsSummary]],SUM(INDEX(Tasks[_LeafTotalCost],Tasks[[#This Row],[_Row]]+1):INDEX(Tasks[_LeafTotalCost],Tasks[[#This Row],[_Row]]+Tasks[[#This Row],[_Descendants]])),Tasks[[#This Row],[_LeafTotalCost]]))</f>
        <v/>
      </c>
      <c r="AY140" s="112"/>
      <c r="AZ14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0" s="52"/>
      <c r="BB140" s="98"/>
      <c r="BC140" s="51" t="str">
        <f aca="false">IF(OR(Tasks[[#This Row],[Task Name]]="",Tasks[[#This Row],[Baseline Duration]]=""),"",Tasks[[#This Row],[BL Source Duration]]-N(Tasks[[#This Row],[Baseline Duration]]))</f>
        <v/>
      </c>
      <c r="BD140" s="110" t="str">
        <f aca="false">IF(OR(Tasks[[#This Row],[Task Name]]="",Tasks[[#This Row],[Baseline Work]]=""),"",Tasks[[#This Row],[Work]]-N(Tasks[[#This Row],[Baseline Work]]))</f>
        <v/>
      </c>
      <c r="BE140" s="111" t="str">
        <f aca="false">IF(OR(Tasks[[#This Row],[Task Name]]="",Tasks[[#This Row],[Baseline Cost]]=""),"",Tasks[[#This Row],[Cost]]-N(Tasks[[#This Row],[Baseline Cost]]))</f>
        <v/>
      </c>
      <c r="BF140" s="31" t="str">
        <f aca="false">IF(Tasks[[#This Row],[Task Name]]="","",Tasks[[#This Row],[Forecast Start]])</f>
        <v/>
      </c>
      <c r="BG140" s="31" t="str">
        <f aca="false">IF(Tasks[[#This Row],[Task Name]]="","",Tasks[[#This Row],[Forecast Finish]])</f>
        <v/>
      </c>
      <c r="BH140" s="51" t="str">
        <f aca="false">IF(Tasks[[#This Row],[Task Name]]="","",IF(Tasks[[#This Row],[_IsSummary]],NETWORKDAYS.INTL(Tasks[[#This Row],[Forecast Start]],Tasks[[#This Row],[Forecast Finish]],WorkWeek,Holidays),N(Tasks[[#This Row],[Duration]])))</f>
        <v/>
      </c>
      <c r="BI140" s="110" t="str">
        <f aca="false">IF(Tasks[[#This Row],[Task Name]]="","",Tasks[[#This Row],[Work]])</f>
        <v/>
      </c>
      <c r="BJ140" s="111" t="str">
        <f aca="false">IF(Tasks[[#This Row],[Task Name]]="","",Tasks[[#This Row],[Cost]])</f>
        <v/>
      </c>
      <c r="BK140" s="7"/>
      <c r="BL140" s="7"/>
      <c r="BM140" s="52"/>
      <c r="BN140" s="113"/>
      <c r="BO140" s="112"/>
      <c r="BP140" s="111" t="str">
        <f aca="false">IF(Tasks[[#This Row],[Task Name]]="","",IF(Tasks[[#This Row],[_IsSummary]],SUM(INDEX(Tasks[_LeafEV],Tasks[[#This Row],[_Row]]+1):INDEX(Tasks[_LeafEV],Tasks[[#This Row],[_Row]]+Tasks[[#This Row],[_Descendants]])),Tasks[[#This Row],[_LeafEV]]))</f>
        <v/>
      </c>
      <c r="BQ140" s="111" t="str">
        <f aca="false">IF(Tasks[[#This Row],[Task Name]]="","",IF(Tasks[[#This Row],[_IsSummary]],SUM(INDEX(Tasks[_LeafBudget],Tasks[[#This Row],[_Row]]+1):INDEX(Tasks[_LeafBudget],Tasks[[#This Row],[_Row]]+Tasks[[#This Row],[_Descendants]])),Tasks[[#This Row],[_LeafBudget]]))</f>
        <v/>
      </c>
      <c r="BR140" s="111" t="str">
        <f aca="false">IF(Tasks[[#This Row],[Task Name]]="","",IF(Tasks[[#This Row],[_IsSummary]],SUM(INDEX(Tasks[_LeafPV],Tasks[[#This Row],[_Row]]+1):INDEX(Tasks[_LeafPV],Tasks[[#This Row],[_Row]]+Tasks[[#This Row],[_Descendants]])),Tasks[[#This Row],[_LeafPV]]))</f>
        <v/>
      </c>
      <c r="BS140" s="111" t="str">
        <f aca="false">IF(Tasks[[#This Row],[Task Name]]="","",IF(Tasks[[#This Row],[_IsSummary]],SUM(INDEX(Tasks[_LeafAC],Tasks[[#This Row],[_Row]]+1):INDEX(Tasks[_LeafAC],Tasks[[#This Row],[_Row]]+Tasks[[#This Row],[_Descendants]])),Tasks[[#This Row],[_LeafAC]]))</f>
        <v/>
      </c>
      <c r="BT140" s="38" t="str">
        <f aca="false">IF(Tasks[[#This Row],[Task Name]]="","",MAX(1,N(Tasks[[#This Row],[Level]])))</f>
        <v/>
      </c>
      <c r="BU140" s="38" t="n">
        <f aca="false">ROW()-ROW(Tasks[[#Headers],[ID]])</f>
        <v>135</v>
      </c>
      <c r="BV140" s="38" t="n">
        <f aca="false">IF(OR(Tasks[[#This Row],[Task Name]]="",Tasks[[#This Row],[_Level]]&lt;=1),0,IFERROR(LOOKUP(2,1/(Tasks[[#Headers],[_Level]]:Tasks[[#This Row],[_Level]]=Tasks[[#This Row],[_Level]]-1),ROW(Tasks[[#Headers],[_Level]]:Tasks[[#This Row],[_Level]])),0))</f>
        <v>0</v>
      </c>
      <c r="BW140" s="38" t="n">
        <f aca="false">IFERROR(N(INDEX(Tasks[_Level],Tasks[[#This Row],[_Row]]+1)),0)</f>
        <v>0</v>
      </c>
      <c r="BX140" s="114" t="b">
        <f aca="false">AND(Tasks[[#This Row],[Task Name]]&lt;&gt;"",Tasks[[#This Row],[_NextLevel]]&gt;Tasks[[#This Row],[_Level]])</f>
        <v>0</v>
      </c>
      <c r="BY140" s="38" t="n">
        <f aca="false">IF(Tasks[[#This Row],[_IsSummary]],COUNTIF(Tasks[WBS],Tasks[[#This Row],[WBS]]&amp;".*"),0)</f>
        <v>0</v>
      </c>
      <c r="BZ140" s="38" t="n">
        <f aca="false">IF(AND(Tasks[[#This Row],[Task Name]]&lt;&gt;"",NOT(Tasks[[#This Row],[_IsSummary]])),1,0)</f>
        <v>0</v>
      </c>
      <c r="CA140" s="38" t="n">
        <f aca="false">IF(N(Tasks[[#This Row],[Pred1 UID]])=0,0,IFERROR(MATCH(Tasks[[#This Row],[Pred1 UID]],Tasks[UID],0),-1))</f>
        <v>0</v>
      </c>
      <c r="CB140" s="38" t="n">
        <f aca="false">IF(N(Tasks[[#This Row],[Pred2 UID]])=0,0,IFERROR(MATCH(Tasks[[#This Row],[Pred2 UID]],Tasks[UID],0),-1))</f>
        <v>0</v>
      </c>
      <c r="CC140" s="38" t="n">
        <f aca="false">IF(N(Tasks[[#This Row],[Pred3 UID]])=0,0,IFERROR(MATCH(Tasks[[#This Row],[Pred3 UID]],Tasks[UID],0),-1))</f>
        <v>0</v>
      </c>
      <c r="CD140" s="38" t="n">
        <f aca="false">IF(N(Tasks[[#This Row],[Pred4 UID]])=0,0,IFERROR(MATCH(Tasks[[#This Row],[Pred4 UID]],Tasks[UID],0),-1))</f>
        <v>0</v>
      </c>
      <c r="CE14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0" s="115" t="n">
        <f aca="false">IF(OR(Tasks[[#This Row],[_ConstraintCode]]=2,Tasks[[#This Row],[_ConstraintCode]]=3,Tasks[[#This Row],[_ConstraintCode]]=4,Tasks[[#This Row],[_ConstraintCode]]=6),Tasks[[#This Row],[_ConstraintStart]],0)</f>
        <v>0</v>
      </c>
      <c r="CH140" s="115" t="n">
        <f aca="false">IF(OR(Tasks[[#This Row],[_ConstraintCode]]=2,Tasks[[#This Row],[_ConstraintCode]]=3,Tasks[[#This Row],[_ConstraintCode]]=5,Tasks[[#This Row],[_ConstraintCode]]=7),Tasks[[#This Row],[_ConstraintStart]],2958465)</f>
        <v>2958465</v>
      </c>
      <c r="CI14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0" s="115" t="str">
        <f aca="false">IF(NOT(Tasks[[#This Row],[_IsLeaf]]=1),"",IF(N(Tasks[[#This Row],[Duration]])&lt;=0,Tasks[[#This Row],[_LeafCalcStart]],WORKDAY.INTL(Tasks[[#This Row],[_LeafCalcStart]],Tasks[[#This Row],[Duration]]-1,WorkWeek,Holidays)))</f>
        <v/>
      </c>
      <c r="CK14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0" s="38" t="n">
        <f aca="false">IF(NOT(Tasks[[#This Row],[_IsLeaf]]=1),0,IF(N(Tasks[[#This Row],[Actual Finish]])&gt;0,1,MIN(1,N(Tasks[[#This Row],[% Complete]]))))</f>
        <v>0</v>
      </c>
      <c r="CN140" s="38" t="n">
        <f aca="false">IF(OR(NOT(Tasks[[#This Row],[_IsLeaf]]=1),Tasks[[#This Row],[Resource]]=""),0,N(Tasks[[#This Row],[Duration]])*HoursPerDay*IF(Tasks[[#This Row],[Units]]="",DefaultUnits,Tasks[[#This Row],[Units]]))</f>
        <v>0</v>
      </c>
      <c r="CO140" s="38" t="n">
        <f aca="false">IF(Tasks[[#This Row],[_LeafWork]]=0,0,Tasks[[#This Row],[_LeafWork]]*IFERROR(INDEX(res_Rate,MATCH(Tasks[[#This Row],[Resource]],res_Name,0)),0))</f>
        <v>0</v>
      </c>
      <c r="CP140" s="38" t="n">
        <f aca="false">Tasks[[#This Row],[_LeafWork]]+IF(Tasks[[#This Row],[_IsLeaf]]=1,SUMIFS(asg_Work,asg_TaskUID,Tasks[[#This Row],[UID]],asg_Valid,1),0)</f>
        <v>0</v>
      </c>
      <c r="CQ140" s="38" t="n">
        <f aca="false">Tasks[[#This Row],[_LeafCost]]+IF(Tasks[[#This Row],[_IsLeaf]]=1,SUMIFS(asg_Cost,asg_TaskUID,Tasks[[#This Row],[UID]],asg_Valid,1),0)</f>
        <v>0</v>
      </c>
      <c r="CR140" s="38" t="n">
        <f aca="false">IF(Tasks[[#This Row],[_LeafTotalCost]]=0,Tasks[[#This Row],[_LeafAC]],Tasks[[#This Row],[_LeafAC]]*Tasks[[#This Row],[_LeafCost]]/Tasks[[#This Row],[_LeafTotalCost]])</f>
        <v>0</v>
      </c>
      <c r="CS14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0" s="38" t="n">
        <f aca="false">IF(NOT(Tasks[[#This Row],[_IsLeaf]]=1),0,MAX(_xlfn.MAXIFS(Tasks[_Row],Tasks[Pred1 UID],Tasks[[#This Row],[UID]]),_xlfn.MAXIFS(Tasks[_Row],Tasks[Pred2 UID],Tasks[[#This Row],[UID]]),_xlfn.MAXIFS(Tasks[_Row],Tasks[Pred3 UID],Tasks[[#This Row],[UID]]),_xlfn.MAXIFS(Tasks[_Row],Tasks[Pred4 UID],Tasks[[#This Row],[UID]])))</f>
        <v>0</v>
      </c>
      <c r="DB14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0" s="115" t="str">
        <f aca="false">IF(NOT(Tasks[[#This Row],[_IsLeaf]]=1),"",IF(N(Tasks[[#This Row],[Duration]])&lt;=0,Tasks[[#This Row],[_LeafLateFinish]],WORKDAY.INTL(Tasks[[#This Row],[_LeafLateFinish]],-(Tasks[[#This Row],[Duration]]-1),WorkWeek,Holidays)))</f>
        <v/>
      </c>
      <c r="DE14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0" s="114" t="b">
        <f aca="false">AND(Tasks[[#This Row],[_IsLeaf]]=1,Tasks[[#This Row],[_LeafProgress]]&lt;1,N(Tasks[[#This Row],[_LeafTotalSlack]])&lt;=CriticalSlackDays)</f>
        <v>0</v>
      </c>
      <c r="DG140" s="38" t="n">
        <f aca="false">IF(AND(Tasks[[#This Row],[_IsLeaf]]=1,Tasks[[#This Row],[_ConstraintCode]]=1,Tasks[[#This Row],[Mode]]&lt;&gt;"Manual",N(Tasks[[#This Row],[Actual Start]])=0),MAX(0,N(Tasks[[#This Row],[Free Slack]])),0)</f>
        <v>0</v>
      </c>
      <c r="DH140" s="115" t="str">
        <f aca="false">IF(NOT(Tasks[[#This Row],[_IsLeaf]]=1),"",IF(Tasks[[#This Row],[_AlapShift]]=0,Tasks[[#This Row],[_LeafCalcStart]],WORKDAY.INTL(Tasks[[#This Row],[_LeafCalcStart]],Tasks[[#This Row],[_AlapShift]],WorkWeek,Holidays)))</f>
        <v/>
      </c>
      <c r="DI140" s="115" t="str">
        <f aca="false">IF(NOT(Tasks[[#This Row],[_IsLeaf]]=1),"",IF(Tasks[[#This Row],[_AlapShift]]=0,Tasks[[#This Row],[_LeafCalcFinish]],WORKDAY.INTL(Tasks[[#This Row],[_LeafCalcFinish]],Tasks[[#This Row],[_AlapShift]],WorkWeek,Holidays)))</f>
        <v/>
      </c>
      <c r="DJ140" s="115" t="str">
        <f aca="false">IF(NOT(Tasks[[#This Row],[_IsLeaf]]=1),"",IF(Tasks[[#This Row],[_AlapShift]]=0,Tasks[[#This Row],[_LeafFcstStart]],WORKDAY.INTL(Tasks[[#This Row],[_LeafFcstStart]],Tasks[[#This Row],[_AlapShift]],WorkWeek,Holidays)))</f>
        <v/>
      </c>
      <c r="DK140" s="115" t="str">
        <f aca="false">IF(NOT(Tasks[[#This Row],[_IsLeaf]]=1),"",IF(Tasks[[#This Row],[_AlapShift]]=0,Tasks[[#This Row],[_LeafFcstFinish]],WORKDAY.INTL(Tasks[[#This Row],[_LeafFcstFinish]],Tasks[[#This Row],[_AlapShift]],WorkWeek,Holidays)))</f>
        <v/>
      </c>
      <c r="DL140" s="115" t="str">
        <f aca="false">IF(Tasks[[#This Row],[Task Name]]="","",IF(Tasks[[#This Row],[_IsSummary]],MIN(INDEX(Tasks[_ShownCalcStart],Tasks[[#This Row],[_Row]]+1):INDEX(Tasks[_ShownCalcStart],Tasks[[#This Row],[_Row]]+Tasks[[#This Row],[_Descendants]])),Tasks[[#This Row],[_ShownCalcStart]]))</f>
        <v/>
      </c>
      <c r="DM140" s="115" t="str">
        <f aca="false">IF(Tasks[[#This Row],[Task Name]]="","",IF(Tasks[[#This Row],[_IsSummary]],MAX(INDEX(Tasks[_ShownCalcFinish],Tasks[[#This Row],[_Row]]+1):INDEX(Tasks[_ShownCalcFinish],Tasks[[#This Row],[_Row]]+Tasks[[#This Row],[_Descendants]])),Tasks[[#This Row],[_ShownCalcFinish]]))</f>
        <v/>
      </c>
      <c r="DN14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0" s="38" t="n">
        <f aca="false">IF(AND(Tasks[[#This Row],[_IsLeaf]]=1,Tasks[[#This Row],[_LeafTotalWork]]&gt;0),NETWORKDAYS.INTL(ProjectStart,Tasks[[#This Row],[_ShownFcstStart]],WorkWeek,Holidays),0)</f>
        <v>0</v>
      </c>
      <c r="EA140" s="38" t="n">
        <f aca="false">IF(AND(Tasks[[#This Row],[_IsLeaf]]=1,Tasks[[#This Row],[_LeafTotalWork]]&gt;0),MAX(Tasks[[#This Row],[_StartWorkday]],NETWORKDAYS.INTL(ProjectStart,Tasks[[#This Row],[_ShownFcstFinish]],WorkWeek,Holidays)),0)</f>
        <v>0</v>
      </c>
      <c r="EB140" s="38" t="n">
        <f aca="false">IF(AND(Tasks[[#This Row],[_IsLeaf]]=1,Tasks[[#This Row],[_LeafTotalWork]]&gt;0),Tasks[[#This Row],[_LeafWork]]/(Tasks[[#This Row],[_FinishWorkday]]-Tasks[[#This Row],[_StartWorkday]]+1),0)</f>
        <v>0</v>
      </c>
      <c r="EC140" s="38" t="n">
        <f aca="false">Tasks[[#This Row],[_WorkPerWorkday]]*(Tasks[[#This Row],[_StartWorkday]]-1)</f>
        <v>-0</v>
      </c>
      <c r="ED140" s="38" t="n">
        <f aca="false">IF(Tasks[[#This Row],[_IsLeaf]]=1,MAX(N(Tasks[[#This Row],[Duration]]),0.1),0)</f>
        <v>0</v>
      </c>
      <c r="EE140" s="38" t="n">
        <f aca="false">Tasks[[#This Row],[_WeightDur]]*Tasks[[#This Row],[_LeafProgress]]</f>
        <v>0</v>
      </c>
      <c r="EF14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0" s="38" t="str">
        <f aca="false">IF(AND(Tasks[[#This Row],[_IsLeaf]]=1,N(Tasks[[#This Row],[Duration]])=0,Tasks[[#This Row],[_LeafProgress]]&lt;1),Tasks[[#This Row],[_ShownFcstFinish]]+Tasks[[#This Row],[_Row]]/100000,"")</f>
        <v/>
      </c>
      <c r="EH14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0" s="38" t="n">
        <f aca="false">IF(NOT(Tasks[[#This Row],[_IsLeaf]]=1),0,IF(Tasks[[#This Row],[Baseline Cost]]="",Tasks[[#This Row],[_LeafTotalCost]],N(Tasks[[#This Row],[Baseline Cost]])))</f>
        <v>0</v>
      </c>
      <c r="EJ140" s="38" t="n">
        <f aca="false">Tasks[[#This Row],[_LeafBudget]]*Tasks[[#This Row],[_PlannedPct]]</f>
        <v>0</v>
      </c>
      <c r="EK140" s="38" t="n">
        <f aca="false">Tasks[[#This Row],[_LeafBudget]]*Tasks[[#This Row],[_LeafProgress]]</f>
        <v>0</v>
      </c>
      <c r="EL140" s="38" t="n">
        <f aca="false">IF(NOT(Tasks[[#This Row],[_IsLeaf]]=1),0,IF(Tasks[[#This Row],[Actual Cost]]="",Tasks[[#This Row],[_LeafTotalCost]]*Tasks[[#This Row],[_LeafProgress]],N(Tasks[[#This Row],[Actual Cost]])))</f>
        <v>0</v>
      </c>
      <c r="EM140" s="38" t="str">
        <f aca="false">IF(Tasks[[#This Row],[Task Name]]="","",LEFT(Tasks[[#This Row],[WBS]],FIND(".",Tasks[[#This Row],[WBS]]&amp;".")-1))</f>
        <v/>
      </c>
      <c r="EN140" s="38" t="str">
        <f aca="false">IF(AND(Tasks[[#This Row],[Task Name]]&lt;&gt;"",Tasks[[#This Row],[_Level]]=1),Tasks[[#This Row],[_Row]],"")</f>
        <v/>
      </c>
      <c r="EO140" s="38" t="str">
        <f aca="false">IF(AND(Tasks[[#This Row],[_IsLeaf]]=1,N(Tasks[[#This Row],[Duration]])=0),Tasks[[#This Row],[Planned Finish]]+Tasks[[#This Row],[_Row]]/100000,"")</f>
        <v/>
      </c>
      <c r="EP140" s="38" t="str">
        <f aca="false">IF(AND(Tasks[[#This Row],[_IsLeaf]]=1,Tasks[[#This Row],[_LeafProgress]]&lt;1,OR(N(Tasks[[#This Row],[Finish Var]])&gt;0,Tasks[[#This Row],[Status]]="Late Start")),MAX(0,Tasks[[#This Row],[Finish Var]])+1-Tasks[[#This Row],[_Row]]/1000000,"")</f>
        <v/>
      </c>
      <c r="EQ140" s="38" t="str">
        <f aca="false">IF(AND(Tasks[[#This Row],[_IsLeaf]]=1,N(Tasks[[#This Row],[Actual Start]])=0,Tasks[[#This Row],[_ShownFcstStart]]&gt;=StatusDate,Tasks[[#This Row],[_ShownFcstStart]]&lt;=LookaheadEnd),Tasks[[#This Row],[_ShownFcstStart]]+Tasks[[#This Row],[_Row]]/100000,"")</f>
        <v/>
      </c>
      <c r="ER140" s="38" t="str">
        <f aca="false">IF(AND(Tasks[[#This Row],[_IsLeaf]]=1,Tasks[[#This Row],[_LeafProgress]]&lt;1,Tasks[[#This Row],[_ShownFcstFinish]]&gt;=StatusDate,Tasks[[#This Row],[_ShownFcstFinish]]&lt;=LookaheadEnd),Tasks[[#This Row],[_ShownFcstFinish]]+Tasks[[#This Row],[_Row]]/100000,"")</f>
        <v/>
      </c>
      <c r="ES140" s="38" t="str">
        <f aca="false">IF(Tasks[[#This Row],[_LeafCritical]],Tasks[[#This Row],[_ShownFcstStart]]+Tasks[[#This Row],[_Row]]/100000,"")</f>
        <v/>
      </c>
      <c r="ET140" s="38" t="n">
        <f aca="false">Tasks[[#This Row],[_LeafWork]]*Tasks[[#This Row],[_LeafProgress]]</f>
        <v>0</v>
      </c>
      <c r="EU140" s="115" t="str">
        <f aca="false">IF(AND(Tasks[[#This Row],[_IsLeaf]]=1,Tasks[[#This Row],[_LeafProgress]]&gt;=1),IF(N(Tasks[[#This Row],[Actual Finish]])&gt;0,Tasks[[#This Row],[Actual Finish]],Tasks[[#This Row],[_ShownFcstFinish]]),"")</f>
        <v/>
      </c>
      <c r="EV140" s="38" t="n">
        <f aca="false">IF(Tasks[[#This Row],[_IsLeaf]]=1,N(Tasks[[#This Row],[Story Points]]),0)</f>
        <v>0</v>
      </c>
      <c r="EW140" s="38" t="str">
        <f aca="false">IF(AND(Tasks[[#This Row],[_IsLeaf]]=1,CurrentSprint&lt;&gt;"",Tasks[[#This Row],[Sprint]]=CurrentSprint),Tasks[[#This Row],[_Row]],"")</f>
        <v/>
      </c>
    </row>
    <row r="141" customFormat="false" ht="15" hidden="false" customHeight="false" outlineLevel="0" collapsed="false">
      <c r="A141" s="51" t="str">
        <f aca="false">IF(Tasks[[#This Row],[Task Name]]="","",COUNTA(Tasks[[#Headers],[Task Name]]:Tasks[[#This Row],[Task Name]])-1)</f>
        <v/>
      </c>
      <c r="B141" s="52" t="n">
        <v>136</v>
      </c>
      <c r="C14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52"/>
      <c r="E141" s="53"/>
      <c r="F141" s="52"/>
      <c r="G141" s="52"/>
      <c r="H141" s="52"/>
      <c r="I141" s="52"/>
      <c r="J141" s="52"/>
      <c r="K141" s="52"/>
      <c r="L141" s="52"/>
      <c r="M141" s="52"/>
      <c r="N141" s="52"/>
      <c r="O141" s="52"/>
      <c r="P141" s="52"/>
      <c r="Q141" s="52"/>
      <c r="R141" s="52"/>
      <c r="S141" s="53"/>
      <c r="T141" s="102"/>
      <c r="U141" s="102"/>
      <c r="V141" s="7"/>
      <c r="W141" s="7"/>
      <c r="X141" s="53"/>
      <c r="Y141" s="31" t="str">
        <f aca="false">IF(Tasks[[#This Row],[Task Name]]="","",IF(Tasks[[#This Row],[_IsSummary]],MIN(INDEX(Tasks[_ShownFcstStart],Tasks[[#This Row],[_Row]]+1):INDEX(Tasks[_ShownFcstStart],Tasks[[#This Row],[_Row]]+Tasks[[#This Row],[_Descendants]])),Tasks[[#This Row],[_ShownFcstStart]]))</f>
        <v/>
      </c>
      <c r="Z141" s="31" t="str">
        <f aca="false">IF(Tasks[[#This Row],[Task Name]]="","",IF(Tasks[[#This Row],[_IsSummary]],MAX(INDEX(Tasks[_ShownFcstFinish],Tasks[[#This Row],[_Row]]+1):INDEX(Tasks[_ShownFcstFinish],Tasks[[#This Row],[_Row]]+Tasks[[#This Row],[_Descendants]])),Tasks[[#This Row],[_ShownFcstFinish]]))</f>
        <v/>
      </c>
      <c r="AA141" s="51" t="str">
        <f aca="false">IF(Tasks[[#This Row],[Task Name]]="","",IF(Tasks[[#This Row],[Progress]]&gt;=1,"Complete",IF(OR(N(Tasks[[#This Row],[Actual Start]])&gt;0,Tasks[[#This Row],[Progress]]&gt;0),IF(Tasks[[#This Row],[Finish Var]]&gt;0,"Behind","In Progress"),IF(Tasks[[#This Row],[Planned Start]]&lt;StatusDate,"Late Start","Not Started"))))</f>
        <v/>
      </c>
      <c r="AB141" s="51" t="str">
        <f aca="false">IF(Tasks[[#This Row],[Task Name]]="","",IF(IF(Tasks[[#This Row],[_IsSummary]],COUNTIF(INDEX(Tasks[_LeafCritical],Tasks[[#This Row],[_Row]]+1):INDEX(Tasks[_LeafCritical],Tasks[[#This Row],[_Row]]+Tasks[[#This Row],[_Descendants]]),TRUE())&gt;0,Tasks[[#This Row],[_LeafCritical]]),"Yes",""))</f>
        <v/>
      </c>
      <c r="AC14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1" s="51" t="str">
        <f aca="false">IF(Tasks[[#This Row],[Task Name]]="","",IF(Tasks[[#This Row],[_Level]]&lt;=OutlineShowLevel,"Yes","No"))</f>
        <v/>
      </c>
      <c r="AE141" s="7"/>
      <c r="AF141" s="52"/>
      <c r="AG141" s="53"/>
      <c r="AH141" s="7"/>
      <c r="AI14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1" s="31" t="str">
        <f aca="false">IF(Tasks[[#This Row],[Task Name]]="","",IF(N(Tasks[[#This Row],[Baseline Start]])&gt;0,Tasks[[#This Row],[Baseline Start]],Tasks[[#This Row],[_CalcStart]]))</f>
        <v/>
      </c>
      <c r="AK141" s="31" t="str">
        <f aca="false">IF(Tasks[[#This Row],[Task Name]]="","",IF(N(Tasks[[#This Row],[Baseline Finish]])&gt;0,Tasks[[#This Row],[Baseline Finish]],Tasks[[#This Row],[_CalcFinish]]))</f>
        <v/>
      </c>
      <c r="AL14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1" s="31" t="str">
        <f aca="false">IF(Tasks[[#This Row],[Task Name]]="","",IF(Tasks[[#This Row],[_IsSummary]],MIN(INDEX(Tasks[_LeafLateStart],Tasks[[#This Row],[_Row]]+1):INDEX(Tasks[_LeafLateStart],Tasks[[#This Row],[_Row]]+Tasks[[#This Row],[_Descendants]])),Tasks[[#This Row],[_LeafLateStart]]))</f>
        <v/>
      </c>
      <c r="AN141" s="31" t="str">
        <f aca="false">IF(Tasks[[#This Row],[Task Name]]="","",IF(Tasks[[#This Row],[_IsSummary]],MAX(INDEX(Tasks[_LeafLateFinish],Tasks[[#This Row],[_Row]]+1):INDEX(Tasks[_LeafLateFinish],Tasks[[#This Row],[_Row]]+Tasks[[#This Row],[_Descendants]])),Tasks[[#This Row],[_LeafLateFinish]]))</f>
        <v/>
      </c>
      <c r="AO141" s="51" t="str">
        <f aca="false">IF(Tasks[[#This Row],[Task Name]]="","",IF(Tasks[[#This Row],[_IsSummary]],MIN(INDEX(Tasks[_LeafTotalSlack],Tasks[[#This Row],[_Row]]+1):INDEX(Tasks[_LeafTotalSlack],Tasks[[#This Row],[_Row]]+Tasks[[#This Row],[_Descendants]])),Tasks[[#This Row],[_LeafTotalSlack]]))</f>
        <v/>
      </c>
      <c r="AP14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1" s="110" t="str">
        <f aca="false">IF(Tasks[[#This Row],[Task Name]]="","",IF(Tasks[[#This Row],[_IsSummary]],SUM(INDEX(Tasks[_LeafTotalWork],Tasks[[#This Row],[_Row]]+1):INDEX(Tasks[_LeafTotalWork],Tasks[[#This Row],[_Row]]+Tasks[[#This Row],[_Descendants]])),Tasks[[#This Row],[_LeafTotalWork]]))</f>
        <v/>
      </c>
      <c r="AV14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1" s="111" t="str">
        <f aca="false">IF(Tasks[[#This Row],[Task Name]]="","",IF(Tasks[[#This Row],[_IsSummary]],SUM(INDEX(Tasks[_LeafTotalCost],Tasks[[#This Row],[_Row]]+1):INDEX(Tasks[_LeafTotalCost],Tasks[[#This Row],[_Row]]+Tasks[[#This Row],[_Descendants]])),Tasks[[#This Row],[_LeafTotalCost]]))</f>
        <v/>
      </c>
      <c r="AY141" s="112"/>
      <c r="AZ14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1" s="52"/>
      <c r="BB141" s="98"/>
      <c r="BC141" s="51" t="str">
        <f aca="false">IF(OR(Tasks[[#This Row],[Task Name]]="",Tasks[[#This Row],[Baseline Duration]]=""),"",Tasks[[#This Row],[BL Source Duration]]-N(Tasks[[#This Row],[Baseline Duration]]))</f>
        <v/>
      </c>
      <c r="BD141" s="110" t="str">
        <f aca="false">IF(OR(Tasks[[#This Row],[Task Name]]="",Tasks[[#This Row],[Baseline Work]]=""),"",Tasks[[#This Row],[Work]]-N(Tasks[[#This Row],[Baseline Work]]))</f>
        <v/>
      </c>
      <c r="BE141" s="111" t="str">
        <f aca="false">IF(OR(Tasks[[#This Row],[Task Name]]="",Tasks[[#This Row],[Baseline Cost]]=""),"",Tasks[[#This Row],[Cost]]-N(Tasks[[#This Row],[Baseline Cost]]))</f>
        <v/>
      </c>
      <c r="BF141" s="31" t="str">
        <f aca="false">IF(Tasks[[#This Row],[Task Name]]="","",Tasks[[#This Row],[Forecast Start]])</f>
        <v/>
      </c>
      <c r="BG141" s="31" t="str">
        <f aca="false">IF(Tasks[[#This Row],[Task Name]]="","",Tasks[[#This Row],[Forecast Finish]])</f>
        <v/>
      </c>
      <c r="BH141" s="51" t="str">
        <f aca="false">IF(Tasks[[#This Row],[Task Name]]="","",IF(Tasks[[#This Row],[_IsSummary]],NETWORKDAYS.INTL(Tasks[[#This Row],[Forecast Start]],Tasks[[#This Row],[Forecast Finish]],WorkWeek,Holidays),N(Tasks[[#This Row],[Duration]])))</f>
        <v/>
      </c>
      <c r="BI141" s="110" t="str">
        <f aca="false">IF(Tasks[[#This Row],[Task Name]]="","",Tasks[[#This Row],[Work]])</f>
        <v/>
      </c>
      <c r="BJ141" s="111" t="str">
        <f aca="false">IF(Tasks[[#This Row],[Task Name]]="","",Tasks[[#This Row],[Cost]])</f>
        <v/>
      </c>
      <c r="BK141" s="7"/>
      <c r="BL141" s="7"/>
      <c r="BM141" s="52"/>
      <c r="BN141" s="113"/>
      <c r="BO141" s="112"/>
      <c r="BP141" s="111" t="str">
        <f aca="false">IF(Tasks[[#This Row],[Task Name]]="","",IF(Tasks[[#This Row],[_IsSummary]],SUM(INDEX(Tasks[_LeafEV],Tasks[[#This Row],[_Row]]+1):INDEX(Tasks[_LeafEV],Tasks[[#This Row],[_Row]]+Tasks[[#This Row],[_Descendants]])),Tasks[[#This Row],[_LeafEV]]))</f>
        <v/>
      </c>
      <c r="BQ141" s="111" t="str">
        <f aca="false">IF(Tasks[[#This Row],[Task Name]]="","",IF(Tasks[[#This Row],[_IsSummary]],SUM(INDEX(Tasks[_LeafBudget],Tasks[[#This Row],[_Row]]+1):INDEX(Tasks[_LeafBudget],Tasks[[#This Row],[_Row]]+Tasks[[#This Row],[_Descendants]])),Tasks[[#This Row],[_LeafBudget]]))</f>
        <v/>
      </c>
      <c r="BR141" s="111" t="str">
        <f aca="false">IF(Tasks[[#This Row],[Task Name]]="","",IF(Tasks[[#This Row],[_IsSummary]],SUM(INDEX(Tasks[_LeafPV],Tasks[[#This Row],[_Row]]+1):INDEX(Tasks[_LeafPV],Tasks[[#This Row],[_Row]]+Tasks[[#This Row],[_Descendants]])),Tasks[[#This Row],[_LeafPV]]))</f>
        <v/>
      </c>
      <c r="BS141" s="111" t="str">
        <f aca="false">IF(Tasks[[#This Row],[Task Name]]="","",IF(Tasks[[#This Row],[_IsSummary]],SUM(INDEX(Tasks[_LeafAC],Tasks[[#This Row],[_Row]]+1):INDEX(Tasks[_LeafAC],Tasks[[#This Row],[_Row]]+Tasks[[#This Row],[_Descendants]])),Tasks[[#This Row],[_LeafAC]]))</f>
        <v/>
      </c>
      <c r="BT141" s="38" t="str">
        <f aca="false">IF(Tasks[[#This Row],[Task Name]]="","",MAX(1,N(Tasks[[#This Row],[Level]])))</f>
        <v/>
      </c>
      <c r="BU141" s="38" t="n">
        <f aca="false">ROW()-ROW(Tasks[[#Headers],[ID]])</f>
        <v>136</v>
      </c>
      <c r="BV141" s="38" t="n">
        <f aca="false">IF(OR(Tasks[[#This Row],[Task Name]]="",Tasks[[#This Row],[_Level]]&lt;=1),0,IFERROR(LOOKUP(2,1/(Tasks[[#Headers],[_Level]]:Tasks[[#This Row],[_Level]]=Tasks[[#This Row],[_Level]]-1),ROW(Tasks[[#Headers],[_Level]]:Tasks[[#This Row],[_Level]])),0))</f>
        <v>0</v>
      </c>
      <c r="BW141" s="38" t="n">
        <f aca="false">IFERROR(N(INDEX(Tasks[_Level],Tasks[[#This Row],[_Row]]+1)),0)</f>
        <v>0</v>
      </c>
      <c r="BX141" s="114" t="b">
        <f aca="false">AND(Tasks[[#This Row],[Task Name]]&lt;&gt;"",Tasks[[#This Row],[_NextLevel]]&gt;Tasks[[#This Row],[_Level]])</f>
        <v>0</v>
      </c>
      <c r="BY141" s="38" t="n">
        <f aca="false">IF(Tasks[[#This Row],[_IsSummary]],COUNTIF(Tasks[WBS],Tasks[[#This Row],[WBS]]&amp;".*"),0)</f>
        <v>0</v>
      </c>
      <c r="BZ141" s="38" t="n">
        <f aca="false">IF(AND(Tasks[[#This Row],[Task Name]]&lt;&gt;"",NOT(Tasks[[#This Row],[_IsSummary]])),1,0)</f>
        <v>0</v>
      </c>
      <c r="CA141" s="38" t="n">
        <f aca="false">IF(N(Tasks[[#This Row],[Pred1 UID]])=0,0,IFERROR(MATCH(Tasks[[#This Row],[Pred1 UID]],Tasks[UID],0),-1))</f>
        <v>0</v>
      </c>
      <c r="CB141" s="38" t="n">
        <f aca="false">IF(N(Tasks[[#This Row],[Pred2 UID]])=0,0,IFERROR(MATCH(Tasks[[#This Row],[Pred2 UID]],Tasks[UID],0),-1))</f>
        <v>0</v>
      </c>
      <c r="CC141" s="38" t="n">
        <f aca="false">IF(N(Tasks[[#This Row],[Pred3 UID]])=0,0,IFERROR(MATCH(Tasks[[#This Row],[Pred3 UID]],Tasks[UID],0),-1))</f>
        <v>0</v>
      </c>
      <c r="CD141" s="38" t="n">
        <f aca="false">IF(N(Tasks[[#This Row],[Pred4 UID]])=0,0,IFERROR(MATCH(Tasks[[#This Row],[Pred4 UID]],Tasks[UID],0),-1))</f>
        <v>0</v>
      </c>
      <c r="CE14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1" s="115" t="n">
        <f aca="false">IF(OR(Tasks[[#This Row],[_ConstraintCode]]=2,Tasks[[#This Row],[_ConstraintCode]]=3,Tasks[[#This Row],[_ConstraintCode]]=4,Tasks[[#This Row],[_ConstraintCode]]=6),Tasks[[#This Row],[_ConstraintStart]],0)</f>
        <v>0</v>
      </c>
      <c r="CH141" s="115" t="n">
        <f aca="false">IF(OR(Tasks[[#This Row],[_ConstraintCode]]=2,Tasks[[#This Row],[_ConstraintCode]]=3,Tasks[[#This Row],[_ConstraintCode]]=5,Tasks[[#This Row],[_ConstraintCode]]=7),Tasks[[#This Row],[_ConstraintStart]],2958465)</f>
        <v>2958465</v>
      </c>
      <c r="CI14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1" s="115" t="str">
        <f aca="false">IF(NOT(Tasks[[#This Row],[_IsLeaf]]=1),"",IF(N(Tasks[[#This Row],[Duration]])&lt;=0,Tasks[[#This Row],[_LeafCalcStart]],WORKDAY.INTL(Tasks[[#This Row],[_LeafCalcStart]],Tasks[[#This Row],[Duration]]-1,WorkWeek,Holidays)))</f>
        <v/>
      </c>
      <c r="CK14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1" s="38" t="n">
        <f aca="false">IF(NOT(Tasks[[#This Row],[_IsLeaf]]=1),0,IF(N(Tasks[[#This Row],[Actual Finish]])&gt;0,1,MIN(1,N(Tasks[[#This Row],[% Complete]]))))</f>
        <v>0</v>
      </c>
      <c r="CN141" s="38" t="n">
        <f aca="false">IF(OR(NOT(Tasks[[#This Row],[_IsLeaf]]=1),Tasks[[#This Row],[Resource]]=""),0,N(Tasks[[#This Row],[Duration]])*HoursPerDay*IF(Tasks[[#This Row],[Units]]="",DefaultUnits,Tasks[[#This Row],[Units]]))</f>
        <v>0</v>
      </c>
      <c r="CO141" s="38" t="n">
        <f aca="false">IF(Tasks[[#This Row],[_LeafWork]]=0,0,Tasks[[#This Row],[_LeafWork]]*IFERROR(INDEX(res_Rate,MATCH(Tasks[[#This Row],[Resource]],res_Name,0)),0))</f>
        <v>0</v>
      </c>
      <c r="CP141" s="38" t="n">
        <f aca="false">Tasks[[#This Row],[_LeafWork]]+IF(Tasks[[#This Row],[_IsLeaf]]=1,SUMIFS(asg_Work,asg_TaskUID,Tasks[[#This Row],[UID]],asg_Valid,1),0)</f>
        <v>0</v>
      </c>
      <c r="CQ141" s="38" t="n">
        <f aca="false">Tasks[[#This Row],[_LeafCost]]+IF(Tasks[[#This Row],[_IsLeaf]]=1,SUMIFS(asg_Cost,asg_TaskUID,Tasks[[#This Row],[UID]],asg_Valid,1),0)</f>
        <v>0</v>
      </c>
      <c r="CR141" s="38" t="n">
        <f aca="false">IF(Tasks[[#This Row],[_LeafTotalCost]]=0,Tasks[[#This Row],[_LeafAC]],Tasks[[#This Row],[_LeafAC]]*Tasks[[#This Row],[_LeafCost]]/Tasks[[#This Row],[_LeafTotalCost]])</f>
        <v>0</v>
      </c>
      <c r="CS14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1" s="38" t="n">
        <f aca="false">IF(NOT(Tasks[[#This Row],[_IsLeaf]]=1),0,MAX(_xlfn.MAXIFS(Tasks[_Row],Tasks[Pred1 UID],Tasks[[#This Row],[UID]]),_xlfn.MAXIFS(Tasks[_Row],Tasks[Pred2 UID],Tasks[[#This Row],[UID]]),_xlfn.MAXIFS(Tasks[_Row],Tasks[Pred3 UID],Tasks[[#This Row],[UID]]),_xlfn.MAXIFS(Tasks[_Row],Tasks[Pred4 UID],Tasks[[#This Row],[UID]])))</f>
        <v>0</v>
      </c>
      <c r="DB14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1" s="115" t="str">
        <f aca="false">IF(NOT(Tasks[[#This Row],[_IsLeaf]]=1),"",IF(N(Tasks[[#This Row],[Duration]])&lt;=0,Tasks[[#This Row],[_LeafLateFinish]],WORKDAY.INTL(Tasks[[#This Row],[_LeafLateFinish]],-(Tasks[[#This Row],[Duration]]-1),WorkWeek,Holidays)))</f>
        <v/>
      </c>
      <c r="DE14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1" s="114" t="b">
        <f aca="false">AND(Tasks[[#This Row],[_IsLeaf]]=1,Tasks[[#This Row],[_LeafProgress]]&lt;1,N(Tasks[[#This Row],[_LeafTotalSlack]])&lt;=CriticalSlackDays)</f>
        <v>0</v>
      </c>
      <c r="DG141" s="38" t="n">
        <f aca="false">IF(AND(Tasks[[#This Row],[_IsLeaf]]=1,Tasks[[#This Row],[_ConstraintCode]]=1,Tasks[[#This Row],[Mode]]&lt;&gt;"Manual",N(Tasks[[#This Row],[Actual Start]])=0),MAX(0,N(Tasks[[#This Row],[Free Slack]])),0)</f>
        <v>0</v>
      </c>
      <c r="DH141" s="115" t="str">
        <f aca="false">IF(NOT(Tasks[[#This Row],[_IsLeaf]]=1),"",IF(Tasks[[#This Row],[_AlapShift]]=0,Tasks[[#This Row],[_LeafCalcStart]],WORKDAY.INTL(Tasks[[#This Row],[_LeafCalcStart]],Tasks[[#This Row],[_AlapShift]],WorkWeek,Holidays)))</f>
        <v/>
      </c>
      <c r="DI141" s="115" t="str">
        <f aca="false">IF(NOT(Tasks[[#This Row],[_IsLeaf]]=1),"",IF(Tasks[[#This Row],[_AlapShift]]=0,Tasks[[#This Row],[_LeafCalcFinish]],WORKDAY.INTL(Tasks[[#This Row],[_LeafCalcFinish]],Tasks[[#This Row],[_AlapShift]],WorkWeek,Holidays)))</f>
        <v/>
      </c>
      <c r="DJ141" s="115" t="str">
        <f aca="false">IF(NOT(Tasks[[#This Row],[_IsLeaf]]=1),"",IF(Tasks[[#This Row],[_AlapShift]]=0,Tasks[[#This Row],[_LeafFcstStart]],WORKDAY.INTL(Tasks[[#This Row],[_LeafFcstStart]],Tasks[[#This Row],[_AlapShift]],WorkWeek,Holidays)))</f>
        <v/>
      </c>
      <c r="DK141" s="115" t="str">
        <f aca="false">IF(NOT(Tasks[[#This Row],[_IsLeaf]]=1),"",IF(Tasks[[#This Row],[_AlapShift]]=0,Tasks[[#This Row],[_LeafFcstFinish]],WORKDAY.INTL(Tasks[[#This Row],[_LeafFcstFinish]],Tasks[[#This Row],[_AlapShift]],WorkWeek,Holidays)))</f>
        <v/>
      </c>
      <c r="DL141" s="115" t="str">
        <f aca="false">IF(Tasks[[#This Row],[Task Name]]="","",IF(Tasks[[#This Row],[_IsSummary]],MIN(INDEX(Tasks[_ShownCalcStart],Tasks[[#This Row],[_Row]]+1):INDEX(Tasks[_ShownCalcStart],Tasks[[#This Row],[_Row]]+Tasks[[#This Row],[_Descendants]])),Tasks[[#This Row],[_ShownCalcStart]]))</f>
        <v/>
      </c>
      <c r="DM141" s="115" t="str">
        <f aca="false">IF(Tasks[[#This Row],[Task Name]]="","",IF(Tasks[[#This Row],[_IsSummary]],MAX(INDEX(Tasks[_ShownCalcFinish],Tasks[[#This Row],[_Row]]+1):INDEX(Tasks[_ShownCalcFinish],Tasks[[#This Row],[_Row]]+Tasks[[#This Row],[_Descendants]])),Tasks[[#This Row],[_ShownCalcFinish]]))</f>
        <v/>
      </c>
      <c r="DN14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1" s="38" t="n">
        <f aca="false">IF(AND(Tasks[[#This Row],[_IsLeaf]]=1,Tasks[[#This Row],[_LeafTotalWork]]&gt;0),NETWORKDAYS.INTL(ProjectStart,Tasks[[#This Row],[_ShownFcstStart]],WorkWeek,Holidays),0)</f>
        <v>0</v>
      </c>
      <c r="EA141" s="38" t="n">
        <f aca="false">IF(AND(Tasks[[#This Row],[_IsLeaf]]=1,Tasks[[#This Row],[_LeafTotalWork]]&gt;0),MAX(Tasks[[#This Row],[_StartWorkday]],NETWORKDAYS.INTL(ProjectStart,Tasks[[#This Row],[_ShownFcstFinish]],WorkWeek,Holidays)),0)</f>
        <v>0</v>
      </c>
      <c r="EB141" s="38" t="n">
        <f aca="false">IF(AND(Tasks[[#This Row],[_IsLeaf]]=1,Tasks[[#This Row],[_LeafTotalWork]]&gt;0),Tasks[[#This Row],[_LeafWork]]/(Tasks[[#This Row],[_FinishWorkday]]-Tasks[[#This Row],[_StartWorkday]]+1),0)</f>
        <v>0</v>
      </c>
      <c r="EC141" s="38" t="n">
        <f aca="false">Tasks[[#This Row],[_WorkPerWorkday]]*(Tasks[[#This Row],[_StartWorkday]]-1)</f>
        <v>-0</v>
      </c>
      <c r="ED141" s="38" t="n">
        <f aca="false">IF(Tasks[[#This Row],[_IsLeaf]]=1,MAX(N(Tasks[[#This Row],[Duration]]),0.1),0)</f>
        <v>0</v>
      </c>
      <c r="EE141" s="38" t="n">
        <f aca="false">Tasks[[#This Row],[_WeightDur]]*Tasks[[#This Row],[_LeafProgress]]</f>
        <v>0</v>
      </c>
      <c r="EF14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1" s="38" t="str">
        <f aca="false">IF(AND(Tasks[[#This Row],[_IsLeaf]]=1,N(Tasks[[#This Row],[Duration]])=0,Tasks[[#This Row],[_LeafProgress]]&lt;1),Tasks[[#This Row],[_ShownFcstFinish]]+Tasks[[#This Row],[_Row]]/100000,"")</f>
        <v/>
      </c>
      <c r="EH14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1" s="38" t="n">
        <f aca="false">IF(NOT(Tasks[[#This Row],[_IsLeaf]]=1),0,IF(Tasks[[#This Row],[Baseline Cost]]="",Tasks[[#This Row],[_LeafTotalCost]],N(Tasks[[#This Row],[Baseline Cost]])))</f>
        <v>0</v>
      </c>
      <c r="EJ141" s="38" t="n">
        <f aca="false">Tasks[[#This Row],[_LeafBudget]]*Tasks[[#This Row],[_PlannedPct]]</f>
        <v>0</v>
      </c>
      <c r="EK141" s="38" t="n">
        <f aca="false">Tasks[[#This Row],[_LeafBudget]]*Tasks[[#This Row],[_LeafProgress]]</f>
        <v>0</v>
      </c>
      <c r="EL141" s="38" t="n">
        <f aca="false">IF(NOT(Tasks[[#This Row],[_IsLeaf]]=1),0,IF(Tasks[[#This Row],[Actual Cost]]="",Tasks[[#This Row],[_LeafTotalCost]]*Tasks[[#This Row],[_LeafProgress]],N(Tasks[[#This Row],[Actual Cost]])))</f>
        <v>0</v>
      </c>
      <c r="EM141" s="38" t="str">
        <f aca="false">IF(Tasks[[#This Row],[Task Name]]="","",LEFT(Tasks[[#This Row],[WBS]],FIND(".",Tasks[[#This Row],[WBS]]&amp;".")-1))</f>
        <v/>
      </c>
      <c r="EN141" s="38" t="str">
        <f aca="false">IF(AND(Tasks[[#This Row],[Task Name]]&lt;&gt;"",Tasks[[#This Row],[_Level]]=1),Tasks[[#This Row],[_Row]],"")</f>
        <v/>
      </c>
      <c r="EO141" s="38" t="str">
        <f aca="false">IF(AND(Tasks[[#This Row],[_IsLeaf]]=1,N(Tasks[[#This Row],[Duration]])=0),Tasks[[#This Row],[Planned Finish]]+Tasks[[#This Row],[_Row]]/100000,"")</f>
        <v/>
      </c>
      <c r="EP141" s="38" t="str">
        <f aca="false">IF(AND(Tasks[[#This Row],[_IsLeaf]]=1,Tasks[[#This Row],[_LeafProgress]]&lt;1,OR(N(Tasks[[#This Row],[Finish Var]])&gt;0,Tasks[[#This Row],[Status]]="Late Start")),MAX(0,Tasks[[#This Row],[Finish Var]])+1-Tasks[[#This Row],[_Row]]/1000000,"")</f>
        <v/>
      </c>
      <c r="EQ141" s="38" t="str">
        <f aca="false">IF(AND(Tasks[[#This Row],[_IsLeaf]]=1,N(Tasks[[#This Row],[Actual Start]])=0,Tasks[[#This Row],[_ShownFcstStart]]&gt;=StatusDate,Tasks[[#This Row],[_ShownFcstStart]]&lt;=LookaheadEnd),Tasks[[#This Row],[_ShownFcstStart]]+Tasks[[#This Row],[_Row]]/100000,"")</f>
        <v/>
      </c>
      <c r="ER141" s="38" t="str">
        <f aca="false">IF(AND(Tasks[[#This Row],[_IsLeaf]]=1,Tasks[[#This Row],[_LeafProgress]]&lt;1,Tasks[[#This Row],[_ShownFcstFinish]]&gt;=StatusDate,Tasks[[#This Row],[_ShownFcstFinish]]&lt;=LookaheadEnd),Tasks[[#This Row],[_ShownFcstFinish]]+Tasks[[#This Row],[_Row]]/100000,"")</f>
        <v/>
      </c>
      <c r="ES141" s="38" t="str">
        <f aca="false">IF(Tasks[[#This Row],[_LeafCritical]],Tasks[[#This Row],[_ShownFcstStart]]+Tasks[[#This Row],[_Row]]/100000,"")</f>
        <v/>
      </c>
      <c r="ET141" s="38" t="n">
        <f aca="false">Tasks[[#This Row],[_LeafWork]]*Tasks[[#This Row],[_LeafProgress]]</f>
        <v>0</v>
      </c>
      <c r="EU141" s="115" t="str">
        <f aca="false">IF(AND(Tasks[[#This Row],[_IsLeaf]]=1,Tasks[[#This Row],[_LeafProgress]]&gt;=1),IF(N(Tasks[[#This Row],[Actual Finish]])&gt;0,Tasks[[#This Row],[Actual Finish]],Tasks[[#This Row],[_ShownFcstFinish]]),"")</f>
        <v/>
      </c>
      <c r="EV141" s="38" t="n">
        <f aca="false">IF(Tasks[[#This Row],[_IsLeaf]]=1,N(Tasks[[#This Row],[Story Points]]),0)</f>
        <v>0</v>
      </c>
      <c r="EW141" s="38" t="str">
        <f aca="false">IF(AND(Tasks[[#This Row],[_IsLeaf]]=1,CurrentSprint&lt;&gt;"",Tasks[[#This Row],[Sprint]]=CurrentSprint),Tasks[[#This Row],[_Row]],"")</f>
        <v/>
      </c>
    </row>
    <row r="142" customFormat="false" ht="15" hidden="false" customHeight="false" outlineLevel="0" collapsed="false">
      <c r="A142" s="51" t="str">
        <f aca="false">IF(Tasks[[#This Row],[Task Name]]="","",COUNTA(Tasks[[#Headers],[Task Name]]:Tasks[[#This Row],[Task Name]])-1)</f>
        <v/>
      </c>
      <c r="B142" s="52" t="n">
        <v>137</v>
      </c>
      <c r="C14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52"/>
      <c r="E142" s="53"/>
      <c r="F142" s="52"/>
      <c r="G142" s="52"/>
      <c r="H142" s="52"/>
      <c r="I142" s="52"/>
      <c r="J142" s="52"/>
      <c r="K142" s="52"/>
      <c r="L142" s="52"/>
      <c r="M142" s="52"/>
      <c r="N142" s="52"/>
      <c r="O142" s="52"/>
      <c r="P142" s="52"/>
      <c r="Q142" s="52"/>
      <c r="R142" s="52"/>
      <c r="S142" s="53"/>
      <c r="T142" s="102"/>
      <c r="U142" s="102"/>
      <c r="V142" s="7"/>
      <c r="W142" s="7"/>
      <c r="X142" s="53"/>
      <c r="Y142" s="31" t="str">
        <f aca="false">IF(Tasks[[#This Row],[Task Name]]="","",IF(Tasks[[#This Row],[_IsSummary]],MIN(INDEX(Tasks[_ShownFcstStart],Tasks[[#This Row],[_Row]]+1):INDEX(Tasks[_ShownFcstStart],Tasks[[#This Row],[_Row]]+Tasks[[#This Row],[_Descendants]])),Tasks[[#This Row],[_ShownFcstStart]]))</f>
        <v/>
      </c>
      <c r="Z142" s="31" t="str">
        <f aca="false">IF(Tasks[[#This Row],[Task Name]]="","",IF(Tasks[[#This Row],[_IsSummary]],MAX(INDEX(Tasks[_ShownFcstFinish],Tasks[[#This Row],[_Row]]+1):INDEX(Tasks[_ShownFcstFinish],Tasks[[#This Row],[_Row]]+Tasks[[#This Row],[_Descendants]])),Tasks[[#This Row],[_ShownFcstFinish]]))</f>
        <v/>
      </c>
      <c r="AA142" s="51" t="str">
        <f aca="false">IF(Tasks[[#This Row],[Task Name]]="","",IF(Tasks[[#This Row],[Progress]]&gt;=1,"Complete",IF(OR(N(Tasks[[#This Row],[Actual Start]])&gt;0,Tasks[[#This Row],[Progress]]&gt;0),IF(Tasks[[#This Row],[Finish Var]]&gt;0,"Behind","In Progress"),IF(Tasks[[#This Row],[Planned Start]]&lt;StatusDate,"Late Start","Not Started"))))</f>
        <v/>
      </c>
      <c r="AB142" s="51" t="str">
        <f aca="false">IF(Tasks[[#This Row],[Task Name]]="","",IF(IF(Tasks[[#This Row],[_IsSummary]],COUNTIF(INDEX(Tasks[_LeafCritical],Tasks[[#This Row],[_Row]]+1):INDEX(Tasks[_LeafCritical],Tasks[[#This Row],[_Row]]+Tasks[[#This Row],[_Descendants]]),TRUE())&gt;0,Tasks[[#This Row],[_LeafCritical]]),"Yes",""))</f>
        <v/>
      </c>
      <c r="AC14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2" s="51" t="str">
        <f aca="false">IF(Tasks[[#This Row],[Task Name]]="","",IF(Tasks[[#This Row],[_Level]]&lt;=OutlineShowLevel,"Yes","No"))</f>
        <v/>
      </c>
      <c r="AE142" s="7"/>
      <c r="AF142" s="52"/>
      <c r="AG142" s="53"/>
      <c r="AH142" s="7"/>
      <c r="AI14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2" s="31" t="str">
        <f aca="false">IF(Tasks[[#This Row],[Task Name]]="","",IF(N(Tasks[[#This Row],[Baseline Start]])&gt;0,Tasks[[#This Row],[Baseline Start]],Tasks[[#This Row],[_CalcStart]]))</f>
        <v/>
      </c>
      <c r="AK142" s="31" t="str">
        <f aca="false">IF(Tasks[[#This Row],[Task Name]]="","",IF(N(Tasks[[#This Row],[Baseline Finish]])&gt;0,Tasks[[#This Row],[Baseline Finish]],Tasks[[#This Row],[_CalcFinish]]))</f>
        <v/>
      </c>
      <c r="AL14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2" s="31" t="str">
        <f aca="false">IF(Tasks[[#This Row],[Task Name]]="","",IF(Tasks[[#This Row],[_IsSummary]],MIN(INDEX(Tasks[_LeafLateStart],Tasks[[#This Row],[_Row]]+1):INDEX(Tasks[_LeafLateStart],Tasks[[#This Row],[_Row]]+Tasks[[#This Row],[_Descendants]])),Tasks[[#This Row],[_LeafLateStart]]))</f>
        <v/>
      </c>
      <c r="AN142" s="31" t="str">
        <f aca="false">IF(Tasks[[#This Row],[Task Name]]="","",IF(Tasks[[#This Row],[_IsSummary]],MAX(INDEX(Tasks[_LeafLateFinish],Tasks[[#This Row],[_Row]]+1):INDEX(Tasks[_LeafLateFinish],Tasks[[#This Row],[_Row]]+Tasks[[#This Row],[_Descendants]])),Tasks[[#This Row],[_LeafLateFinish]]))</f>
        <v/>
      </c>
      <c r="AO142" s="51" t="str">
        <f aca="false">IF(Tasks[[#This Row],[Task Name]]="","",IF(Tasks[[#This Row],[_IsSummary]],MIN(INDEX(Tasks[_LeafTotalSlack],Tasks[[#This Row],[_Row]]+1):INDEX(Tasks[_LeafTotalSlack],Tasks[[#This Row],[_Row]]+Tasks[[#This Row],[_Descendants]])),Tasks[[#This Row],[_LeafTotalSlack]]))</f>
        <v/>
      </c>
      <c r="AP14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2" s="110" t="str">
        <f aca="false">IF(Tasks[[#This Row],[Task Name]]="","",IF(Tasks[[#This Row],[_IsSummary]],SUM(INDEX(Tasks[_LeafTotalWork],Tasks[[#This Row],[_Row]]+1):INDEX(Tasks[_LeafTotalWork],Tasks[[#This Row],[_Row]]+Tasks[[#This Row],[_Descendants]])),Tasks[[#This Row],[_LeafTotalWork]]))</f>
        <v/>
      </c>
      <c r="AV14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2" s="111" t="str">
        <f aca="false">IF(Tasks[[#This Row],[Task Name]]="","",IF(Tasks[[#This Row],[_IsSummary]],SUM(INDEX(Tasks[_LeafTotalCost],Tasks[[#This Row],[_Row]]+1):INDEX(Tasks[_LeafTotalCost],Tasks[[#This Row],[_Row]]+Tasks[[#This Row],[_Descendants]])),Tasks[[#This Row],[_LeafTotalCost]]))</f>
        <v/>
      </c>
      <c r="AY142" s="112"/>
      <c r="AZ14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2" s="52"/>
      <c r="BB142" s="98"/>
      <c r="BC142" s="51" t="str">
        <f aca="false">IF(OR(Tasks[[#This Row],[Task Name]]="",Tasks[[#This Row],[Baseline Duration]]=""),"",Tasks[[#This Row],[BL Source Duration]]-N(Tasks[[#This Row],[Baseline Duration]]))</f>
        <v/>
      </c>
      <c r="BD142" s="110" t="str">
        <f aca="false">IF(OR(Tasks[[#This Row],[Task Name]]="",Tasks[[#This Row],[Baseline Work]]=""),"",Tasks[[#This Row],[Work]]-N(Tasks[[#This Row],[Baseline Work]]))</f>
        <v/>
      </c>
      <c r="BE142" s="111" t="str">
        <f aca="false">IF(OR(Tasks[[#This Row],[Task Name]]="",Tasks[[#This Row],[Baseline Cost]]=""),"",Tasks[[#This Row],[Cost]]-N(Tasks[[#This Row],[Baseline Cost]]))</f>
        <v/>
      </c>
      <c r="BF142" s="31" t="str">
        <f aca="false">IF(Tasks[[#This Row],[Task Name]]="","",Tasks[[#This Row],[Forecast Start]])</f>
        <v/>
      </c>
      <c r="BG142" s="31" t="str">
        <f aca="false">IF(Tasks[[#This Row],[Task Name]]="","",Tasks[[#This Row],[Forecast Finish]])</f>
        <v/>
      </c>
      <c r="BH142" s="51" t="str">
        <f aca="false">IF(Tasks[[#This Row],[Task Name]]="","",IF(Tasks[[#This Row],[_IsSummary]],NETWORKDAYS.INTL(Tasks[[#This Row],[Forecast Start]],Tasks[[#This Row],[Forecast Finish]],WorkWeek,Holidays),N(Tasks[[#This Row],[Duration]])))</f>
        <v/>
      </c>
      <c r="BI142" s="110" t="str">
        <f aca="false">IF(Tasks[[#This Row],[Task Name]]="","",Tasks[[#This Row],[Work]])</f>
        <v/>
      </c>
      <c r="BJ142" s="111" t="str">
        <f aca="false">IF(Tasks[[#This Row],[Task Name]]="","",Tasks[[#This Row],[Cost]])</f>
        <v/>
      </c>
      <c r="BK142" s="7"/>
      <c r="BL142" s="7"/>
      <c r="BM142" s="52"/>
      <c r="BN142" s="113"/>
      <c r="BO142" s="112"/>
      <c r="BP142" s="111" t="str">
        <f aca="false">IF(Tasks[[#This Row],[Task Name]]="","",IF(Tasks[[#This Row],[_IsSummary]],SUM(INDEX(Tasks[_LeafEV],Tasks[[#This Row],[_Row]]+1):INDEX(Tasks[_LeafEV],Tasks[[#This Row],[_Row]]+Tasks[[#This Row],[_Descendants]])),Tasks[[#This Row],[_LeafEV]]))</f>
        <v/>
      </c>
      <c r="BQ142" s="111" t="str">
        <f aca="false">IF(Tasks[[#This Row],[Task Name]]="","",IF(Tasks[[#This Row],[_IsSummary]],SUM(INDEX(Tasks[_LeafBudget],Tasks[[#This Row],[_Row]]+1):INDEX(Tasks[_LeafBudget],Tasks[[#This Row],[_Row]]+Tasks[[#This Row],[_Descendants]])),Tasks[[#This Row],[_LeafBudget]]))</f>
        <v/>
      </c>
      <c r="BR142" s="111" t="str">
        <f aca="false">IF(Tasks[[#This Row],[Task Name]]="","",IF(Tasks[[#This Row],[_IsSummary]],SUM(INDEX(Tasks[_LeafPV],Tasks[[#This Row],[_Row]]+1):INDEX(Tasks[_LeafPV],Tasks[[#This Row],[_Row]]+Tasks[[#This Row],[_Descendants]])),Tasks[[#This Row],[_LeafPV]]))</f>
        <v/>
      </c>
      <c r="BS142" s="111" t="str">
        <f aca="false">IF(Tasks[[#This Row],[Task Name]]="","",IF(Tasks[[#This Row],[_IsSummary]],SUM(INDEX(Tasks[_LeafAC],Tasks[[#This Row],[_Row]]+1):INDEX(Tasks[_LeafAC],Tasks[[#This Row],[_Row]]+Tasks[[#This Row],[_Descendants]])),Tasks[[#This Row],[_LeafAC]]))</f>
        <v/>
      </c>
      <c r="BT142" s="38" t="str">
        <f aca="false">IF(Tasks[[#This Row],[Task Name]]="","",MAX(1,N(Tasks[[#This Row],[Level]])))</f>
        <v/>
      </c>
      <c r="BU142" s="38" t="n">
        <f aca="false">ROW()-ROW(Tasks[[#Headers],[ID]])</f>
        <v>137</v>
      </c>
      <c r="BV142" s="38" t="n">
        <f aca="false">IF(OR(Tasks[[#This Row],[Task Name]]="",Tasks[[#This Row],[_Level]]&lt;=1),0,IFERROR(LOOKUP(2,1/(Tasks[[#Headers],[_Level]]:Tasks[[#This Row],[_Level]]=Tasks[[#This Row],[_Level]]-1),ROW(Tasks[[#Headers],[_Level]]:Tasks[[#This Row],[_Level]])),0))</f>
        <v>0</v>
      </c>
      <c r="BW142" s="38" t="n">
        <f aca="false">IFERROR(N(INDEX(Tasks[_Level],Tasks[[#This Row],[_Row]]+1)),0)</f>
        <v>0</v>
      </c>
      <c r="BX142" s="114" t="b">
        <f aca="false">AND(Tasks[[#This Row],[Task Name]]&lt;&gt;"",Tasks[[#This Row],[_NextLevel]]&gt;Tasks[[#This Row],[_Level]])</f>
        <v>0</v>
      </c>
      <c r="BY142" s="38" t="n">
        <f aca="false">IF(Tasks[[#This Row],[_IsSummary]],COUNTIF(Tasks[WBS],Tasks[[#This Row],[WBS]]&amp;".*"),0)</f>
        <v>0</v>
      </c>
      <c r="BZ142" s="38" t="n">
        <f aca="false">IF(AND(Tasks[[#This Row],[Task Name]]&lt;&gt;"",NOT(Tasks[[#This Row],[_IsSummary]])),1,0)</f>
        <v>0</v>
      </c>
      <c r="CA142" s="38" t="n">
        <f aca="false">IF(N(Tasks[[#This Row],[Pred1 UID]])=0,0,IFERROR(MATCH(Tasks[[#This Row],[Pred1 UID]],Tasks[UID],0),-1))</f>
        <v>0</v>
      </c>
      <c r="CB142" s="38" t="n">
        <f aca="false">IF(N(Tasks[[#This Row],[Pred2 UID]])=0,0,IFERROR(MATCH(Tasks[[#This Row],[Pred2 UID]],Tasks[UID],0),-1))</f>
        <v>0</v>
      </c>
      <c r="CC142" s="38" t="n">
        <f aca="false">IF(N(Tasks[[#This Row],[Pred3 UID]])=0,0,IFERROR(MATCH(Tasks[[#This Row],[Pred3 UID]],Tasks[UID],0),-1))</f>
        <v>0</v>
      </c>
      <c r="CD142" s="38" t="n">
        <f aca="false">IF(N(Tasks[[#This Row],[Pred4 UID]])=0,0,IFERROR(MATCH(Tasks[[#This Row],[Pred4 UID]],Tasks[UID],0),-1))</f>
        <v>0</v>
      </c>
      <c r="CE14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2" s="115" t="n">
        <f aca="false">IF(OR(Tasks[[#This Row],[_ConstraintCode]]=2,Tasks[[#This Row],[_ConstraintCode]]=3,Tasks[[#This Row],[_ConstraintCode]]=4,Tasks[[#This Row],[_ConstraintCode]]=6),Tasks[[#This Row],[_ConstraintStart]],0)</f>
        <v>0</v>
      </c>
      <c r="CH142" s="115" t="n">
        <f aca="false">IF(OR(Tasks[[#This Row],[_ConstraintCode]]=2,Tasks[[#This Row],[_ConstraintCode]]=3,Tasks[[#This Row],[_ConstraintCode]]=5,Tasks[[#This Row],[_ConstraintCode]]=7),Tasks[[#This Row],[_ConstraintStart]],2958465)</f>
        <v>2958465</v>
      </c>
      <c r="CI14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2" s="115" t="str">
        <f aca="false">IF(NOT(Tasks[[#This Row],[_IsLeaf]]=1),"",IF(N(Tasks[[#This Row],[Duration]])&lt;=0,Tasks[[#This Row],[_LeafCalcStart]],WORKDAY.INTL(Tasks[[#This Row],[_LeafCalcStart]],Tasks[[#This Row],[Duration]]-1,WorkWeek,Holidays)))</f>
        <v/>
      </c>
      <c r="CK14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2" s="38" t="n">
        <f aca="false">IF(NOT(Tasks[[#This Row],[_IsLeaf]]=1),0,IF(N(Tasks[[#This Row],[Actual Finish]])&gt;0,1,MIN(1,N(Tasks[[#This Row],[% Complete]]))))</f>
        <v>0</v>
      </c>
      <c r="CN142" s="38" t="n">
        <f aca="false">IF(OR(NOT(Tasks[[#This Row],[_IsLeaf]]=1),Tasks[[#This Row],[Resource]]=""),0,N(Tasks[[#This Row],[Duration]])*HoursPerDay*IF(Tasks[[#This Row],[Units]]="",DefaultUnits,Tasks[[#This Row],[Units]]))</f>
        <v>0</v>
      </c>
      <c r="CO142" s="38" t="n">
        <f aca="false">IF(Tasks[[#This Row],[_LeafWork]]=0,0,Tasks[[#This Row],[_LeafWork]]*IFERROR(INDEX(res_Rate,MATCH(Tasks[[#This Row],[Resource]],res_Name,0)),0))</f>
        <v>0</v>
      </c>
      <c r="CP142" s="38" t="n">
        <f aca="false">Tasks[[#This Row],[_LeafWork]]+IF(Tasks[[#This Row],[_IsLeaf]]=1,SUMIFS(asg_Work,asg_TaskUID,Tasks[[#This Row],[UID]],asg_Valid,1),0)</f>
        <v>0</v>
      </c>
      <c r="CQ142" s="38" t="n">
        <f aca="false">Tasks[[#This Row],[_LeafCost]]+IF(Tasks[[#This Row],[_IsLeaf]]=1,SUMIFS(asg_Cost,asg_TaskUID,Tasks[[#This Row],[UID]],asg_Valid,1),0)</f>
        <v>0</v>
      </c>
      <c r="CR142" s="38" t="n">
        <f aca="false">IF(Tasks[[#This Row],[_LeafTotalCost]]=0,Tasks[[#This Row],[_LeafAC]],Tasks[[#This Row],[_LeafAC]]*Tasks[[#This Row],[_LeafCost]]/Tasks[[#This Row],[_LeafTotalCost]])</f>
        <v>0</v>
      </c>
      <c r="CS14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2" s="38" t="n">
        <f aca="false">IF(NOT(Tasks[[#This Row],[_IsLeaf]]=1),0,MAX(_xlfn.MAXIFS(Tasks[_Row],Tasks[Pred1 UID],Tasks[[#This Row],[UID]]),_xlfn.MAXIFS(Tasks[_Row],Tasks[Pred2 UID],Tasks[[#This Row],[UID]]),_xlfn.MAXIFS(Tasks[_Row],Tasks[Pred3 UID],Tasks[[#This Row],[UID]]),_xlfn.MAXIFS(Tasks[_Row],Tasks[Pred4 UID],Tasks[[#This Row],[UID]])))</f>
        <v>0</v>
      </c>
      <c r="DB14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2" s="115" t="str">
        <f aca="false">IF(NOT(Tasks[[#This Row],[_IsLeaf]]=1),"",IF(N(Tasks[[#This Row],[Duration]])&lt;=0,Tasks[[#This Row],[_LeafLateFinish]],WORKDAY.INTL(Tasks[[#This Row],[_LeafLateFinish]],-(Tasks[[#This Row],[Duration]]-1),WorkWeek,Holidays)))</f>
        <v/>
      </c>
      <c r="DE14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2" s="114" t="b">
        <f aca="false">AND(Tasks[[#This Row],[_IsLeaf]]=1,Tasks[[#This Row],[_LeafProgress]]&lt;1,N(Tasks[[#This Row],[_LeafTotalSlack]])&lt;=CriticalSlackDays)</f>
        <v>0</v>
      </c>
      <c r="DG142" s="38" t="n">
        <f aca="false">IF(AND(Tasks[[#This Row],[_IsLeaf]]=1,Tasks[[#This Row],[_ConstraintCode]]=1,Tasks[[#This Row],[Mode]]&lt;&gt;"Manual",N(Tasks[[#This Row],[Actual Start]])=0),MAX(0,N(Tasks[[#This Row],[Free Slack]])),0)</f>
        <v>0</v>
      </c>
      <c r="DH142" s="115" t="str">
        <f aca="false">IF(NOT(Tasks[[#This Row],[_IsLeaf]]=1),"",IF(Tasks[[#This Row],[_AlapShift]]=0,Tasks[[#This Row],[_LeafCalcStart]],WORKDAY.INTL(Tasks[[#This Row],[_LeafCalcStart]],Tasks[[#This Row],[_AlapShift]],WorkWeek,Holidays)))</f>
        <v/>
      </c>
      <c r="DI142" s="115" t="str">
        <f aca="false">IF(NOT(Tasks[[#This Row],[_IsLeaf]]=1),"",IF(Tasks[[#This Row],[_AlapShift]]=0,Tasks[[#This Row],[_LeafCalcFinish]],WORKDAY.INTL(Tasks[[#This Row],[_LeafCalcFinish]],Tasks[[#This Row],[_AlapShift]],WorkWeek,Holidays)))</f>
        <v/>
      </c>
      <c r="DJ142" s="115" t="str">
        <f aca="false">IF(NOT(Tasks[[#This Row],[_IsLeaf]]=1),"",IF(Tasks[[#This Row],[_AlapShift]]=0,Tasks[[#This Row],[_LeafFcstStart]],WORKDAY.INTL(Tasks[[#This Row],[_LeafFcstStart]],Tasks[[#This Row],[_AlapShift]],WorkWeek,Holidays)))</f>
        <v/>
      </c>
      <c r="DK142" s="115" t="str">
        <f aca="false">IF(NOT(Tasks[[#This Row],[_IsLeaf]]=1),"",IF(Tasks[[#This Row],[_AlapShift]]=0,Tasks[[#This Row],[_LeafFcstFinish]],WORKDAY.INTL(Tasks[[#This Row],[_LeafFcstFinish]],Tasks[[#This Row],[_AlapShift]],WorkWeek,Holidays)))</f>
        <v/>
      </c>
      <c r="DL142" s="115" t="str">
        <f aca="false">IF(Tasks[[#This Row],[Task Name]]="","",IF(Tasks[[#This Row],[_IsSummary]],MIN(INDEX(Tasks[_ShownCalcStart],Tasks[[#This Row],[_Row]]+1):INDEX(Tasks[_ShownCalcStart],Tasks[[#This Row],[_Row]]+Tasks[[#This Row],[_Descendants]])),Tasks[[#This Row],[_ShownCalcStart]]))</f>
        <v/>
      </c>
      <c r="DM142" s="115" t="str">
        <f aca="false">IF(Tasks[[#This Row],[Task Name]]="","",IF(Tasks[[#This Row],[_IsSummary]],MAX(INDEX(Tasks[_ShownCalcFinish],Tasks[[#This Row],[_Row]]+1):INDEX(Tasks[_ShownCalcFinish],Tasks[[#This Row],[_Row]]+Tasks[[#This Row],[_Descendants]])),Tasks[[#This Row],[_ShownCalcFinish]]))</f>
        <v/>
      </c>
      <c r="DN14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2" s="38" t="n">
        <f aca="false">IF(AND(Tasks[[#This Row],[_IsLeaf]]=1,Tasks[[#This Row],[_LeafTotalWork]]&gt;0),NETWORKDAYS.INTL(ProjectStart,Tasks[[#This Row],[_ShownFcstStart]],WorkWeek,Holidays),0)</f>
        <v>0</v>
      </c>
      <c r="EA142" s="38" t="n">
        <f aca="false">IF(AND(Tasks[[#This Row],[_IsLeaf]]=1,Tasks[[#This Row],[_LeafTotalWork]]&gt;0),MAX(Tasks[[#This Row],[_StartWorkday]],NETWORKDAYS.INTL(ProjectStart,Tasks[[#This Row],[_ShownFcstFinish]],WorkWeek,Holidays)),0)</f>
        <v>0</v>
      </c>
      <c r="EB142" s="38" t="n">
        <f aca="false">IF(AND(Tasks[[#This Row],[_IsLeaf]]=1,Tasks[[#This Row],[_LeafTotalWork]]&gt;0),Tasks[[#This Row],[_LeafWork]]/(Tasks[[#This Row],[_FinishWorkday]]-Tasks[[#This Row],[_StartWorkday]]+1),0)</f>
        <v>0</v>
      </c>
      <c r="EC142" s="38" t="n">
        <f aca="false">Tasks[[#This Row],[_WorkPerWorkday]]*(Tasks[[#This Row],[_StartWorkday]]-1)</f>
        <v>-0</v>
      </c>
      <c r="ED142" s="38" t="n">
        <f aca="false">IF(Tasks[[#This Row],[_IsLeaf]]=1,MAX(N(Tasks[[#This Row],[Duration]]),0.1),0)</f>
        <v>0</v>
      </c>
      <c r="EE142" s="38" t="n">
        <f aca="false">Tasks[[#This Row],[_WeightDur]]*Tasks[[#This Row],[_LeafProgress]]</f>
        <v>0</v>
      </c>
      <c r="EF14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2" s="38" t="str">
        <f aca="false">IF(AND(Tasks[[#This Row],[_IsLeaf]]=1,N(Tasks[[#This Row],[Duration]])=0,Tasks[[#This Row],[_LeafProgress]]&lt;1),Tasks[[#This Row],[_ShownFcstFinish]]+Tasks[[#This Row],[_Row]]/100000,"")</f>
        <v/>
      </c>
      <c r="EH14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2" s="38" t="n">
        <f aca="false">IF(NOT(Tasks[[#This Row],[_IsLeaf]]=1),0,IF(Tasks[[#This Row],[Baseline Cost]]="",Tasks[[#This Row],[_LeafTotalCost]],N(Tasks[[#This Row],[Baseline Cost]])))</f>
        <v>0</v>
      </c>
      <c r="EJ142" s="38" t="n">
        <f aca="false">Tasks[[#This Row],[_LeafBudget]]*Tasks[[#This Row],[_PlannedPct]]</f>
        <v>0</v>
      </c>
      <c r="EK142" s="38" t="n">
        <f aca="false">Tasks[[#This Row],[_LeafBudget]]*Tasks[[#This Row],[_LeafProgress]]</f>
        <v>0</v>
      </c>
      <c r="EL142" s="38" t="n">
        <f aca="false">IF(NOT(Tasks[[#This Row],[_IsLeaf]]=1),0,IF(Tasks[[#This Row],[Actual Cost]]="",Tasks[[#This Row],[_LeafTotalCost]]*Tasks[[#This Row],[_LeafProgress]],N(Tasks[[#This Row],[Actual Cost]])))</f>
        <v>0</v>
      </c>
      <c r="EM142" s="38" t="str">
        <f aca="false">IF(Tasks[[#This Row],[Task Name]]="","",LEFT(Tasks[[#This Row],[WBS]],FIND(".",Tasks[[#This Row],[WBS]]&amp;".")-1))</f>
        <v/>
      </c>
      <c r="EN142" s="38" t="str">
        <f aca="false">IF(AND(Tasks[[#This Row],[Task Name]]&lt;&gt;"",Tasks[[#This Row],[_Level]]=1),Tasks[[#This Row],[_Row]],"")</f>
        <v/>
      </c>
      <c r="EO142" s="38" t="str">
        <f aca="false">IF(AND(Tasks[[#This Row],[_IsLeaf]]=1,N(Tasks[[#This Row],[Duration]])=0),Tasks[[#This Row],[Planned Finish]]+Tasks[[#This Row],[_Row]]/100000,"")</f>
        <v/>
      </c>
      <c r="EP142" s="38" t="str">
        <f aca="false">IF(AND(Tasks[[#This Row],[_IsLeaf]]=1,Tasks[[#This Row],[_LeafProgress]]&lt;1,OR(N(Tasks[[#This Row],[Finish Var]])&gt;0,Tasks[[#This Row],[Status]]="Late Start")),MAX(0,Tasks[[#This Row],[Finish Var]])+1-Tasks[[#This Row],[_Row]]/1000000,"")</f>
        <v/>
      </c>
      <c r="EQ142" s="38" t="str">
        <f aca="false">IF(AND(Tasks[[#This Row],[_IsLeaf]]=1,N(Tasks[[#This Row],[Actual Start]])=0,Tasks[[#This Row],[_ShownFcstStart]]&gt;=StatusDate,Tasks[[#This Row],[_ShownFcstStart]]&lt;=LookaheadEnd),Tasks[[#This Row],[_ShownFcstStart]]+Tasks[[#This Row],[_Row]]/100000,"")</f>
        <v/>
      </c>
      <c r="ER142" s="38" t="str">
        <f aca="false">IF(AND(Tasks[[#This Row],[_IsLeaf]]=1,Tasks[[#This Row],[_LeafProgress]]&lt;1,Tasks[[#This Row],[_ShownFcstFinish]]&gt;=StatusDate,Tasks[[#This Row],[_ShownFcstFinish]]&lt;=LookaheadEnd),Tasks[[#This Row],[_ShownFcstFinish]]+Tasks[[#This Row],[_Row]]/100000,"")</f>
        <v/>
      </c>
      <c r="ES142" s="38" t="str">
        <f aca="false">IF(Tasks[[#This Row],[_LeafCritical]],Tasks[[#This Row],[_ShownFcstStart]]+Tasks[[#This Row],[_Row]]/100000,"")</f>
        <v/>
      </c>
      <c r="ET142" s="38" t="n">
        <f aca="false">Tasks[[#This Row],[_LeafWork]]*Tasks[[#This Row],[_LeafProgress]]</f>
        <v>0</v>
      </c>
      <c r="EU142" s="115" t="str">
        <f aca="false">IF(AND(Tasks[[#This Row],[_IsLeaf]]=1,Tasks[[#This Row],[_LeafProgress]]&gt;=1),IF(N(Tasks[[#This Row],[Actual Finish]])&gt;0,Tasks[[#This Row],[Actual Finish]],Tasks[[#This Row],[_ShownFcstFinish]]),"")</f>
        <v/>
      </c>
      <c r="EV142" s="38" t="n">
        <f aca="false">IF(Tasks[[#This Row],[_IsLeaf]]=1,N(Tasks[[#This Row],[Story Points]]),0)</f>
        <v>0</v>
      </c>
      <c r="EW142" s="38" t="str">
        <f aca="false">IF(AND(Tasks[[#This Row],[_IsLeaf]]=1,CurrentSprint&lt;&gt;"",Tasks[[#This Row],[Sprint]]=CurrentSprint),Tasks[[#This Row],[_Row]],"")</f>
        <v/>
      </c>
    </row>
    <row r="143" customFormat="false" ht="15" hidden="false" customHeight="false" outlineLevel="0" collapsed="false">
      <c r="A143" s="51" t="str">
        <f aca="false">IF(Tasks[[#This Row],[Task Name]]="","",COUNTA(Tasks[[#Headers],[Task Name]]:Tasks[[#This Row],[Task Name]])-1)</f>
        <v/>
      </c>
      <c r="B143" s="52" t="n">
        <v>138</v>
      </c>
      <c r="C14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52"/>
      <c r="E143" s="53"/>
      <c r="F143" s="52"/>
      <c r="G143" s="52"/>
      <c r="H143" s="52"/>
      <c r="I143" s="52"/>
      <c r="J143" s="52"/>
      <c r="K143" s="52"/>
      <c r="L143" s="52"/>
      <c r="M143" s="52"/>
      <c r="N143" s="52"/>
      <c r="O143" s="52"/>
      <c r="P143" s="52"/>
      <c r="Q143" s="52"/>
      <c r="R143" s="52"/>
      <c r="S143" s="53"/>
      <c r="T143" s="102"/>
      <c r="U143" s="102"/>
      <c r="V143" s="7"/>
      <c r="W143" s="7"/>
      <c r="X143" s="53"/>
      <c r="Y143" s="31" t="str">
        <f aca="false">IF(Tasks[[#This Row],[Task Name]]="","",IF(Tasks[[#This Row],[_IsSummary]],MIN(INDEX(Tasks[_ShownFcstStart],Tasks[[#This Row],[_Row]]+1):INDEX(Tasks[_ShownFcstStart],Tasks[[#This Row],[_Row]]+Tasks[[#This Row],[_Descendants]])),Tasks[[#This Row],[_ShownFcstStart]]))</f>
        <v/>
      </c>
      <c r="Z143" s="31" t="str">
        <f aca="false">IF(Tasks[[#This Row],[Task Name]]="","",IF(Tasks[[#This Row],[_IsSummary]],MAX(INDEX(Tasks[_ShownFcstFinish],Tasks[[#This Row],[_Row]]+1):INDEX(Tasks[_ShownFcstFinish],Tasks[[#This Row],[_Row]]+Tasks[[#This Row],[_Descendants]])),Tasks[[#This Row],[_ShownFcstFinish]]))</f>
        <v/>
      </c>
      <c r="AA143" s="51" t="str">
        <f aca="false">IF(Tasks[[#This Row],[Task Name]]="","",IF(Tasks[[#This Row],[Progress]]&gt;=1,"Complete",IF(OR(N(Tasks[[#This Row],[Actual Start]])&gt;0,Tasks[[#This Row],[Progress]]&gt;0),IF(Tasks[[#This Row],[Finish Var]]&gt;0,"Behind","In Progress"),IF(Tasks[[#This Row],[Planned Start]]&lt;StatusDate,"Late Start","Not Started"))))</f>
        <v/>
      </c>
      <c r="AB143" s="51" t="str">
        <f aca="false">IF(Tasks[[#This Row],[Task Name]]="","",IF(IF(Tasks[[#This Row],[_IsSummary]],COUNTIF(INDEX(Tasks[_LeafCritical],Tasks[[#This Row],[_Row]]+1):INDEX(Tasks[_LeafCritical],Tasks[[#This Row],[_Row]]+Tasks[[#This Row],[_Descendants]]),TRUE())&gt;0,Tasks[[#This Row],[_LeafCritical]]),"Yes",""))</f>
        <v/>
      </c>
      <c r="AC14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3" s="51" t="str">
        <f aca="false">IF(Tasks[[#This Row],[Task Name]]="","",IF(Tasks[[#This Row],[_Level]]&lt;=OutlineShowLevel,"Yes","No"))</f>
        <v/>
      </c>
      <c r="AE143" s="7"/>
      <c r="AF143" s="52"/>
      <c r="AG143" s="53"/>
      <c r="AH143" s="7"/>
      <c r="AI14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3" s="31" t="str">
        <f aca="false">IF(Tasks[[#This Row],[Task Name]]="","",IF(N(Tasks[[#This Row],[Baseline Start]])&gt;0,Tasks[[#This Row],[Baseline Start]],Tasks[[#This Row],[_CalcStart]]))</f>
        <v/>
      </c>
      <c r="AK143" s="31" t="str">
        <f aca="false">IF(Tasks[[#This Row],[Task Name]]="","",IF(N(Tasks[[#This Row],[Baseline Finish]])&gt;0,Tasks[[#This Row],[Baseline Finish]],Tasks[[#This Row],[_CalcFinish]]))</f>
        <v/>
      </c>
      <c r="AL14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3" s="31" t="str">
        <f aca="false">IF(Tasks[[#This Row],[Task Name]]="","",IF(Tasks[[#This Row],[_IsSummary]],MIN(INDEX(Tasks[_LeafLateStart],Tasks[[#This Row],[_Row]]+1):INDEX(Tasks[_LeafLateStart],Tasks[[#This Row],[_Row]]+Tasks[[#This Row],[_Descendants]])),Tasks[[#This Row],[_LeafLateStart]]))</f>
        <v/>
      </c>
      <c r="AN143" s="31" t="str">
        <f aca="false">IF(Tasks[[#This Row],[Task Name]]="","",IF(Tasks[[#This Row],[_IsSummary]],MAX(INDEX(Tasks[_LeafLateFinish],Tasks[[#This Row],[_Row]]+1):INDEX(Tasks[_LeafLateFinish],Tasks[[#This Row],[_Row]]+Tasks[[#This Row],[_Descendants]])),Tasks[[#This Row],[_LeafLateFinish]]))</f>
        <v/>
      </c>
      <c r="AO143" s="51" t="str">
        <f aca="false">IF(Tasks[[#This Row],[Task Name]]="","",IF(Tasks[[#This Row],[_IsSummary]],MIN(INDEX(Tasks[_LeafTotalSlack],Tasks[[#This Row],[_Row]]+1):INDEX(Tasks[_LeafTotalSlack],Tasks[[#This Row],[_Row]]+Tasks[[#This Row],[_Descendants]])),Tasks[[#This Row],[_LeafTotalSlack]]))</f>
        <v/>
      </c>
      <c r="AP14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3" s="110" t="str">
        <f aca="false">IF(Tasks[[#This Row],[Task Name]]="","",IF(Tasks[[#This Row],[_IsSummary]],SUM(INDEX(Tasks[_LeafTotalWork],Tasks[[#This Row],[_Row]]+1):INDEX(Tasks[_LeafTotalWork],Tasks[[#This Row],[_Row]]+Tasks[[#This Row],[_Descendants]])),Tasks[[#This Row],[_LeafTotalWork]]))</f>
        <v/>
      </c>
      <c r="AV14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3" s="111" t="str">
        <f aca="false">IF(Tasks[[#This Row],[Task Name]]="","",IF(Tasks[[#This Row],[_IsSummary]],SUM(INDEX(Tasks[_LeafTotalCost],Tasks[[#This Row],[_Row]]+1):INDEX(Tasks[_LeafTotalCost],Tasks[[#This Row],[_Row]]+Tasks[[#This Row],[_Descendants]])),Tasks[[#This Row],[_LeafTotalCost]]))</f>
        <v/>
      </c>
      <c r="AY143" s="112"/>
      <c r="AZ14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3" s="52"/>
      <c r="BB143" s="98"/>
      <c r="BC143" s="51" t="str">
        <f aca="false">IF(OR(Tasks[[#This Row],[Task Name]]="",Tasks[[#This Row],[Baseline Duration]]=""),"",Tasks[[#This Row],[BL Source Duration]]-N(Tasks[[#This Row],[Baseline Duration]]))</f>
        <v/>
      </c>
      <c r="BD143" s="110" t="str">
        <f aca="false">IF(OR(Tasks[[#This Row],[Task Name]]="",Tasks[[#This Row],[Baseline Work]]=""),"",Tasks[[#This Row],[Work]]-N(Tasks[[#This Row],[Baseline Work]]))</f>
        <v/>
      </c>
      <c r="BE143" s="111" t="str">
        <f aca="false">IF(OR(Tasks[[#This Row],[Task Name]]="",Tasks[[#This Row],[Baseline Cost]]=""),"",Tasks[[#This Row],[Cost]]-N(Tasks[[#This Row],[Baseline Cost]]))</f>
        <v/>
      </c>
      <c r="BF143" s="31" t="str">
        <f aca="false">IF(Tasks[[#This Row],[Task Name]]="","",Tasks[[#This Row],[Forecast Start]])</f>
        <v/>
      </c>
      <c r="BG143" s="31" t="str">
        <f aca="false">IF(Tasks[[#This Row],[Task Name]]="","",Tasks[[#This Row],[Forecast Finish]])</f>
        <v/>
      </c>
      <c r="BH143" s="51" t="str">
        <f aca="false">IF(Tasks[[#This Row],[Task Name]]="","",IF(Tasks[[#This Row],[_IsSummary]],NETWORKDAYS.INTL(Tasks[[#This Row],[Forecast Start]],Tasks[[#This Row],[Forecast Finish]],WorkWeek,Holidays),N(Tasks[[#This Row],[Duration]])))</f>
        <v/>
      </c>
      <c r="BI143" s="110" t="str">
        <f aca="false">IF(Tasks[[#This Row],[Task Name]]="","",Tasks[[#This Row],[Work]])</f>
        <v/>
      </c>
      <c r="BJ143" s="111" t="str">
        <f aca="false">IF(Tasks[[#This Row],[Task Name]]="","",Tasks[[#This Row],[Cost]])</f>
        <v/>
      </c>
      <c r="BK143" s="7"/>
      <c r="BL143" s="7"/>
      <c r="BM143" s="52"/>
      <c r="BN143" s="113"/>
      <c r="BO143" s="112"/>
      <c r="BP143" s="111" t="str">
        <f aca="false">IF(Tasks[[#This Row],[Task Name]]="","",IF(Tasks[[#This Row],[_IsSummary]],SUM(INDEX(Tasks[_LeafEV],Tasks[[#This Row],[_Row]]+1):INDEX(Tasks[_LeafEV],Tasks[[#This Row],[_Row]]+Tasks[[#This Row],[_Descendants]])),Tasks[[#This Row],[_LeafEV]]))</f>
        <v/>
      </c>
      <c r="BQ143" s="111" t="str">
        <f aca="false">IF(Tasks[[#This Row],[Task Name]]="","",IF(Tasks[[#This Row],[_IsSummary]],SUM(INDEX(Tasks[_LeafBudget],Tasks[[#This Row],[_Row]]+1):INDEX(Tasks[_LeafBudget],Tasks[[#This Row],[_Row]]+Tasks[[#This Row],[_Descendants]])),Tasks[[#This Row],[_LeafBudget]]))</f>
        <v/>
      </c>
      <c r="BR143" s="111" t="str">
        <f aca="false">IF(Tasks[[#This Row],[Task Name]]="","",IF(Tasks[[#This Row],[_IsSummary]],SUM(INDEX(Tasks[_LeafPV],Tasks[[#This Row],[_Row]]+1):INDEX(Tasks[_LeafPV],Tasks[[#This Row],[_Row]]+Tasks[[#This Row],[_Descendants]])),Tasks[[#This Row],[_LeafPV]]))</f>
        <v/>
      </c>
      <c r="BS143" s="111" t="str">
        <f aca="false">IF(Tasks[[#This Row],[Task Name]]="","",IF(Tasks[[#This Row],[_IsSummary]],SUM(INDEX(Tasks[_LeafAC],Tasks[[#This Row],[_Row]]+1):INDEX(Tasks[_LeafAC],Tasks[[#This Row],[_Row]]+Tasks[[#This Row],[_Descendants]])),Tasks[[#This Row],[_LeafAC]]))</f>
        <v/>
      </c>
      <c r="BT143" s="38" t="str">
        <f aca="false">IF(Tasks[[#This Row],[Task Name]]="","",MAX(1,N(Tasks[[#This Row],[Level]])))</f>
        <v/>
      </c>
      <c r="BU143" s="38" t="n">
        <f aca="false">ROW()-ROW(Tasks[[#Headers],[ID]])</f>
        <v>138</v>
      </c>
      <c r="BV143" s="38" t="n">
        <f aca="false">IF(OR(Tasks[[#This Row],[Task Name]]="",Tasks[[#This Row],[_Level]]&lt;=1),0,IFERROR(LOOKUP(2,1/(Tasks[[#Headers],[_Level]]:Tasks[[#This Row],[_Level]]=Tasks[[#This Row],[_Level]]-1),ROW(Tasks[[#Headers],[_Level]]:Tasks[[#This Row],[_Level]])),0))</f>
        <v>0</v>
      </c>
      <c r="BW143" s="38" t="n">
        <f aca="false">IFERROR(N(INDEX(Tasks[_Level],Tasks[[#This Row],[_Row]]+1)),0)</f>
        <v>0</v>
      </c>
      <c r="BX143" s="114" t="b">
        <f aca="false">AND(Tasks[[#This Row],[Task Name]]&lt;&gt;"",Tasks[[#This Row],[_NextLevel]]&gt;Tasks[[#This Row],[_Level]])</f>
        <v>0</v>
      </c>
      <c r="BY143" s="38" t="n">
        <f aca="false">IF(Tasks[[#This Row],[_IsSummary]],COUNTIF(Tasks[WBS],Tasks[[#This Row],[WBS]]&amp;".*"),0)</f>
        <v>0</v>
      </c>
      <c r="BZ143" s="38" t="n">
        <f aca="false">IF(AND(Tasks[[#This Row],[Task Name]]&lt;&gt;"",NOT(Tasks[[#This Row],[_IsSummary]])),1,0)</f>
        <v>0</v>
      </c>
      <c r="CA143" s="38" t="n">
        <f aca="false">IF(N(Tasks[[#This Row],[Pred1 UID]])=0,0,IFERROR(MATCH(Tasks[[#This Row],[Pred1 UID]],Tasks[UID],0),-1))</f>
        <v>0</v>
      </c>
      <c r="CB143" s="38" t="n">
        <f aca="false">IF(N(Tasks[[#This Row],[Pred2 UID]])=0,0,IFERROR(MATCH(Tasks[[#This Row],[Pred2 UID]],Tasks[UID],0),-1))</f>
        <v>0</v>
      </c>
      <c r="CC143" s="38" t="n">
        <f aca="false">IF(N(Tasks[[#This Row],[Pred3 UID]])=0,0,IFERROR(MATCH(Tasks[[#This Row],[Pred3 UID]],Tasks[UID],0),-1))</f>
        <v>0</v>
      </c>
      <c r="CD143" s="38" t="n">
        <f aca="false">IF(N(Tasks[[#This Row],[Pred4 UID]])=0,0,IFERROR(MATCH(Tasks[[#This Row],[Pred4 UID]],Tasks[UID],0),-1))</f>
        <v>0</v>
      </c>
      <c r="CE14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3" s="115" t="n">
        <f aca="false">IF(OR(Tasks[[#This Row],[_ConstraintCode]]=2,Tasks[[#This Row],[_ConstraintCode]]=3,Tasks[[#This Row],[_ConstraintCode]]=4,Tasks[[#This Row],[_ConstraintCode]]=6),Tasks[[#This Row],[_ConstraintStart]],0)</f>
        <v>0</v>
      </c>
      <c r="CH143" s="115" t="n">
        <f aca="false">IF(OR(Tasks[[#This Row],[_ConstraintCode]]=2,Tasks[[#This Row],[_ConstraintCode]]=3,Tasks[[#This Row],[_ConstraintCode]]=5,Tasks[[#This Row],[_ConstraintCode]]=7),Tasks[[#This Row],[_ConstraintStart]],2958465)</f>
        <v>2958465</v>
      </c>
      <c r="CI14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3" s="115" t="str">
        <f aca="false">IF(NOT(Tasks[[#This Row],[_IsLeaf]]=1),"",IF(N(Tasks[[#This Row],[Duration]])&lt;=0,Tasks[[#This Row],[_LeafCalcStart]],WORKDAY.INTL(Tasks[[#This Row],[_LeafCalcStart]],Tasks[[#This Row],[Duration]]-1,WorkWeek,Holidays)))</f>
        <v/>
      </c>
      <c r="CK14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3" s="38" t="n">
        <f aca="false">IF(NOT(Tasks[[#This Row],[_IsLeaf]]=1),0,IF(N(Tasks[[#This Row],[Actual Finish]])&gt;0,1,MIN(1,N(Tasks[[#This Row],[% Complete]]))))</f>
        <v>0</v>
      </c>
      <c r="CN143" s="38" t="n">
        <f aca="false">IF(OR(NOT(Tasks[[#This Row],[_IsLeaf]]=1),Tasks[[#This Row],[Resource]]=""),0,N(Tasks[[#This Row],[Duration]])*HoursPerDay*IF(Tasks[[#This Row],[Units]]="",DefaultUnits,Tasks[[#This Row],[Units]]))</f>
        <v>0</v>
      </c>
      <c r="CO143" s="38" t="n">
        <f aca="false">IF(Tasks[[#This Row],[_LeafWork]]=0,0,Tasks[[#This Row],[_LeafWork]]*IFERROR(INDEX(res_Rate,MATCH(Tasks[[#This Row],[Resource]],res_Name,0)),0))</f>
        <v>0</v>
      </c>
      <c r="CP143" s="38" t="n">
        <f aca="false">Tasks[[#This Row],[_LeafWork]]+IF(Tasks[[#This Row],[_IsLeaf]]=1,SUMIFS(asg_Work,asg_TaskUID,Tasks[[#This Row],[UID]],asg_Valid,1),0)</f>
        <v>0</v>
      </c>
      <c r="CQ143" s="38" t="n">
        <f aca="false">Tasks[[#This Row],[_LeafCost]]+IF(Tasks[[#This Row],[_IsLeaf]]=1,SUMIFS(asg_Cost,asg_TaskUID,Tasks[[#This Row],[UID]],asg_Valid,1),0)</f>
        <v>0</v>
      </c>
      <c r="CR143" s="38" t="n">
        <f aca="false">IF(Tasks[[#This Row],[_LeafTotalCost]]=0,Tasks[[#This Row],[_LeafAC]],Tasks[[#This Row],[_LeafAC]]*Tasks[[#This Row],[_LeafCost]]/Tasks[[#This Row],[_LeafTotalCost]])</f>
        <v>0</v>
      </c>
      <c r="CS14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3" s="38" t="n">
        <f aca="false">IF(NOT(Tasks[[#This Row],[_IsLeaf]]=1),0,MAX(_xlfn.MAXIFS(Tasks[_Row],Tasks[Pred1 UID],Tasks[[#This Row],[UID]]),_xlfn.MAXIFS(Tasks[_Row],Tasks[Pred2 UID],Tasks[[#This Row],[UID]]),_xlfn.MAXIFS(Tasks[_Row],Tasks[Pred3 UID],Tasks[[#This Row],[UID]]),_xlfn.MAXIFS(Tasks[_Row],Tasks[Pred4 UID],Tasks[[#This Row],[UID]])))</f>
        <v>0</v>
      </c>
      <c r="DB14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3" s="115" t="str">
        <f aca="false">IF(NOT(Tasks[[#This Row],[_IsLeaf]]=1),"",IF(N(Tasks[[#This Row],[Duration]])&lt;=0,Tasks[[#This Row],[_LeafLateFinish]],WORKDAY.INTL(Tasks[[#This Row],[_LeafLateFinish]],-(Tasks[[#This Row],[Duration]]-1),WorkWeek,Holidays)))</f>
        <v/>
      </c>
      <c r="DE14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3" s="114" t="b">
        <f aca="false">AND(Tasks[[#This Row],[_IsLeaf]]=1,Tasks[[#This Row],[_LeafProgress]]&lt;1,N(Tasks[[#This Row],[_LeafTotalSlack]])&lt;=CriticalSlackDays)</f>
        <v>0</v>
      </c>
      <c r="DG143" s="38" t="n">
        <f aca="false">IF(AND(Tasks[[#This Row],[_IsLeaf]]=1,Tasks[[#This Row],[_ConstraintCode]]=1,Tasks[[#This Row],[Mode]]&lt;&gt;"Manual",N(Tasks[[#This Row],[Actual Start]])=0),MAX(0,N(Tasks[[#This Row],[Free Slack]])),0)</f>
        <v>0</v>
      </c>
      <c r="DH143" s="115" t="str">
        <f aca="false">IF(NOT(Tasks[[#This Row],[_IsLeaf]]=1),"",IF(Tasks[[#This Row],[_AlapShift]]=0,Tasks[[#This Row],[_LeafCalcStart]],WORKDAY.INTL(Tasks[[#This Row],[_LeafCalcStart]],Tasks[[#This Row],[_AlapShift]],WorkWeek,Holidays)))</f>
        <v/>
      </c>
      <c r="DI143" s="115" t="str">
        <f aca="false">IF(NOT(Tasks[[#This Row],[_IsLeaf]]=1),"",IF(Tasks[[#This Row],[_AlapShift]]=0,Tasks[[#This Row],[_LeafCalcFinish]],WORKDAY.INTL(Tasks[[#This Row],[_LeafCalcFinish]],Tasks[[#This Row],[_AlapShift]],WorkWeek,Holidays)))</f>
        <v/>
      </c>
      <c r="DJ143" s="115" t="str">
        <f aca="false">IF(NOT(Tasks[[#This Row],[_IsLeaf]]=1),"",IF(Tasks[[#This Row],[_AlapShift]]=0,Tasks[[#This Row],[_LeafFcstStart]],WORKDAY.INTL(Tasks[[#This Row],[_LeafFcstStart]],Tasks[[#This Row],[_AlapShift]],WorkWeek,Holidays)))</f>
        <v/>
      </c>
      <c r="DK143" s="115" t="str">
        <f aca="false">IF(NOT(Tasks[[#This Row],[_IsLeaf]]=1),"",IF(Tasks[[#This Row],[_AlapShift]]=0,Tasks[[#This Row],[_LeafFcstFinish]],WORKDAY.INTL(Tasks[[#This Row],[_LeafFcstFinish]],Tasks[[#This Row],[_AlapShift]],WorkWeek,Holidays)))</f>
        <v/>
      </c>
      <c r="DL143" s="115" t="str">
        <f aca="false">IF(Tasks[[#This Row],[Task Name]]="","",IF(Tasks[[#This Row],[_IsSummary]],MIN(INDEX(Tasks[_ShownCalcStart],Tasks[[#This Row],[_Row]]+1):INDEX(Tasks[_ShownCalcStart],Tasks[[#This Row],[_Row]]+Tasks[[#This Row],[_Descendants]])),Tasks[[#This Row],[_ShownCalcStart]]))</f>
        <v/>
      </c>
      <c r="DM143" s="115" t="str">
        <f aca="false">IF(Tasks[[#This Row],[Task Name]]="","",IF(Tasks[[#This Row],[_IsSummary]],MAX(INDEX(Tasks[_ShownCalcFinish],Tasks[[#This Row],[_Row]]+1):INDEX(Tasks[_ShownCalcFinish],Tasks[[#This Row],[_Row]]+Tasks[[#This Row],[_Descendants]])),Tasks[[#This Row],[_ShownCalcFinish]]))</f>
        <v/>
      </c>
      <c r="DN14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3" s="38" t="n">
        <f aca="false">IF(AND(Tasks[[#This Row],[_IsLeaf]]=1,Tasks[[#This Row],[_LeafTotalWork]]&gt;0),NETWORKDAYS.INTL(ProjectStart,Tasks[[#This Row],[_ShownFcstStart]],WorkWeek,Holidays),0)</f>
        <v>0</v>
      </c>
      <c r="EA143" s="38" t="n">
        <f aca="false">IF(AND(Tasks[[#This Row],[_IsLeaf]]=1,Tasks[[#This Row],[_LeafTotalWork]]&gt;0),MAX(Tasks[[#This Row],[_StartWorkday]],NETWORKDAYS.INTL(ProjectStart,Tasks[[#This Row],[_ShownFcstFinish]],WorkWeek,Holidays)),0)</f>
        <v>0</v>
      </c>
      <c r="EB143" s="38" t="n">
        <f aca="false">IF(AND(Tasks[[#This Row],[_IsLeaf]]=1,Tasks[[#This Row],[_LeafTotalWork]]&gt;0),Tasks[[#This Row],[_LeafWork]]/(Tasks[[#This Row],[_FinishWorkday]]-Tasks[[#This Row],[_StartWorkday]]+1),0)</f>
        <v>0</v>
      </c>
      <c r="EC143" s="38" t="n">
        <f aca="false">Tasks[[#This Row],[_WorkPerWorkday]]*(Tasks[[#This Row],[_StartWorkday]]-1)</f>
        <v>-0</v>
      </c>
      <c r="ED143" s="38" t="n">
        <f aca="false">IF(Tasks[[#This Row],[_IsLeaf]]=1,MAX(N(Tasks[[#This Row],[Duration]]),0.1),0)</f>
        <v>0</v>
      </c>
      <c r="EE143" s="38" t="n">
        <f aca="false">Tasks[[#This Row],[_WeightDur]]*Tasks[[#This Row],[_LeafProgress]]</f>
        <v>0</v>
      </c>
      <c r="EF14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3" s="38" t="str">
        <f aca="false">IF(AND(Tasks[[#This Row],[_IsLeaf]]=1,N(Tasks[[#This Row],[Duration]])=0,Tasks[[#This Row],[_LeafProgress]]&lt;1),Tasks[[#This Row],[_ShownFcstFinish]]+Tasks[[#This Row],[_Row]]/100000,"")</f>
        <v/>
      </c>
      <c r="EH14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3" s="38" t="n">
        <f aca="false">IF(NOT(Tasks[[#This Row],[_IsLeaf]]=1),0,IF(Tasks[[#This Row],[Baseline Cost]]="",Tasks[[#This Row],[_LeafTotalCost]],N(Tasks[[#This Row],[Baseline Cost]])))</f>
        <v>0</v>
      </c>
      <c r="EJ143" s="38" t="n">
        <f aca="false">Tasks[[#This Row],[_LeafBudget]]*Tasks[[#This Row],[_PlannedPct]]</f>
        <v>0</v>
      </c>
      <c r="EK143" s="38" t="n">
        <f aca="false">Tasks[[#This Row],[_LeafBudget]]*Tasks[[#This Row],[_LeafProgress]]</f>
        <v>0</v>
      </c>
      <c r="EL143" s="38" t="n">
        <f aca="false">IF(NOT(Tasks[[#This Row],[_IsLeaf]]=1),0,IF(Tasks[[#This Row],[Actual Cost]]="",Tasks[[#This Row],[_LeafTotalCost]]*Tasks[[#This Row],[_LeafProgress]],N(Tasks[[#This Row],[Actual Cost]])))</f>
        <v>0</v>
      </c>
      <c r="EM143" s="38" t="str">
        <f aca="false">IF(Tasks[[#This Row],[Task Name]]="","",LEFT(Tasks[[#This Row],[WBS]],FIND(".",Tasks[[#This Row],[WBS]]&amp;".")-1))</f>
        <v/>
      </c>
      <c r="EN143" s="38" t="str">
        <f aca="false">IF(AND(Tasks[[#This Row],[Task Name]]&lt;&gt;"",Tasks[[#This Row],[_Level]]=1),Tasks[[#This Row],[_Row]],"")</f>
        <v/>
      </c>
      <c r="EO143" s="38" t="str">
        <f aca="false">IF(AND(Tasks[[#This Row],[_IsLeaf]]=1,N(Tasks[[#This Row],[Duration]])=0),Tasks[[#This Row],[Planned Finish]]+Tasks[[#This Row],[_Row]]/100000,"")</f>
        <v/>
      </c>
      <c r="EP143" s="38" t="str">
        <f aca="false">IF(AND(Tasks[[#This Row],[_IsLeaf]]=1,Tasks[[#This Row],[_LeafProgress]]&lt;1,OR(N(Tasks[[#This Row],[Finish Var]])&gt;0,Tasks[[#This Row],[Status]]="Late Start")),MAX(0,Tasks[[#This Row],[Finish Var]])+1-Tasks[[#This Row],[_Row]]/1000000,"")</f>
        <v/>
      </c>
      <c r="EQ143" s="38" t="str">
        <f aca="false">IF(AND(Tasks[[#This Row],[_IsLeaf]]=1,N(Tasks[[#This Row],[Actual Start]])=0,Tasks[[#This Row],[_ShownFcstStart]]&gt;=StatusDate,Tasks[[#This Row],[_ShownFcstStart]]&lt;=LookaheadEnd),Tasks[[#This Row],[_ShownFcstStart]]+Tasks[[#This Row],[_Row]]/100000,"")</f>
        <v/>
      </c>
      <c r="ER143" s="38" t="str">
        <f aca="false">IF(AND(Tasks[[#This Row],[_IsLeaf]]=1,Tasks[[#This Row],[_LeafProgress]]&lt;1,Tasks[[#This Row],[_ShownFcstFinish]]&gt;=StatusDate,Tasks[[#This Row],[_ShownFcstFinish]]&lt;=LookaheadEnd),Tasks[[#This Row],[_ShownFcstFinish]]+Tasks[[#This Row],[_Row]]/100000,"")</f>
        <v/>
      </c>
      <c r="ES143" s="38" t="str">
        <f aca="false">IF(Tasks[[#This Row],[_LeafCritical]],Tasks[[#This Row],[_ShownFcstStart]]+Tasks[[#This Row],[_Row]]/100000,"")</f>
        <v/>
      </c>
      <c r="ET143" s="38" t="n">
        <f aca="false">Tasks[[#This Row],[_LeafWork]]*Tasks[[#This Row],[_LeafProgress]]</f>
        <v>0</v>
      </c>
      <c r="EU143" s="115" t="str">
        <f aca="false">IF(AND(Tasks[[#This Row],[_IsLeaf]]=1,Tasks[[#This Row],[_LeafProgress]]&gt;=1),IF(N(Tasks[[#This Row],[Actual Finish]])&gt;0,Tasks[[#This Row],[Actual Finish]],Tasks[[#This Row],[_ShownFcstFinish]]),"")</f>
        <v/>
      </c>
      <c r="EV143" s="38" t="n">
        <f aca="false">IF(Tasks[[#This Row],[_IsLeaf]]=1,N(Tasks[[#This Row],[Story Points]]),0)</f>
        <v>0</v>
      </c>
      <c r="EW143" s="38" t="str">
        <f aca="false">IF(AND(Tasks[[#This Row],[_IsLeaf]]=1,CurrentSprint&lt;&gt;"",Tasks[[#This Row],[Sprint]]=CurrentSprint),Tasks[[#This Row],[_Row]],"")</f>
        <v/>
      </c>
    </row>
    <row r="144" customFormat="false" ht="15" hidden="false" customHeight="false" outlineLevel="0" collapsed="false">
      <c r="A144" s="51" t="str">
        <f aca="false">IF(Tasks[[#This Row],[Task Name]]="","",COUNTA(Tasks[[#Headers],[Task Name]]:Tasks[[#This Row],[Task Name]])-1)</f>
        <v/>
      </c>
      <c r="B144" s="52" t="n">
        <v>139</v>
      </c>
      <c r="C14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52"/>
      <c r="E144" s="53"/>
      <c r="F144" s="52"/>
      <c r="G144" s="52"/>
      <c r="H144" s="52"/>
      <c r="I144" s="52"/>
      <c r="J144" s="52"/>
      <c r="K144" s="52"/>
      <c r="L144" s="52"/>
      <c r="M144" s="52"/>
      <c r="N144" s="52"/>
      <c r="O144" s="52"/>
      <c r="P144" s="52"/>
      <c r="Q144" s="52"/>
      <c r="R144" s="52"/>
      <c r="S144" s="53"/>
      <c r="T144" s="102"/>
      <c r="U144" s="102"/>
      <c r="V144" s="7"/>
      <c r="W144" s="7"/>
      <c r="X144" s="53"/>
      <c r="Y144" s="31" t="str">
        <f aca="false">IF(Tasks[[#This Row],[Task Name]]="","",IF(Tasks[[#This Row],[_IsSummary]],MIN(INDEX(Tasks[_ShownFcstStart],Tasks[[#This Row],[_Row]]+1):INDEX(Tasks[_ShownFcstStart],Tasks[[#This Row],[_Row]]+Tasks[[#This Row],[_Descendants]])),Tasks[[#This Row],[_ShownFcstStart]]))</f>
        <v/>
      </c>
      <c r="Z144" s="31" t="str">
        <f aca="false">IF(Tasks[[#This Row],[Task Name]]="","",IF(Tasks[[#This Row],[_IsSummary]],MAX(INDEX(Tasks[_ShownFcstFinish],Tasks[[#This Row],[_Row]]+1):INDEX(Tasks[_ShownFcstFinish],Tasks[[#This Row],[_Row]]+Tasks[[#This Row],[_Descendants]])),Tasks[[#This Row],[_ShownFcstFinish]]))</f>
        <v/>
      </c>
      <c r="AA144" s="51" t="str">
        <f aca="false">IF(Tasks[[#This Row],[Task Name]]="","",IF(Tasks[[#This Row],[Progress]]&gt;=1,"Complete",IF(OR(N(Tasks[[#This Row],[Actual Start]])&gt;0,Tasks[[#This Row],[Progress]]&gt;0),IF(Tasks[[#This Row],[Finish Var]]&gt;0,"Behind","In Progress"),IF(Tasks[[#This Row],[Planned Start]]&lt;StatusDate,"Late Start","Not Started"))))</f>
        <v/>
      </c>
      <c r="AB144" s="51" t="str">
        <f aca="false">IF(Tasks[[#This Row],[Task Name]]="","",IF(IF(Tasks[[#This Row],[_IsSummary]],COUNTIF(INDEX(Tasks[_LeafCritical],Tasks[[#This Row],[_Row]]+1):INDEX(Tasks[_LeafCritical],Tasks[[#This Row],[_Row]]+Tasks[[#This Row],[_Descendants]]),TRUE())&gt;0,Tasks[[#This Row],[_LeafCritical]]),"Yes",""))</f>
        <v/>
      </c>
      <c r="AC14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4" s="51" t="str">
        <f aca="false">IF(Tasks[[#This Row],[Task Name]]="","",IF(Tasks[[#This Row],[_Level]]&lt;=OutlineShowLevel,"Yes","No"))</f>
        <v/>
      </c>
      <c r="AE144" s="7"/>
      <c r="AF144" s="52"/>
      <c r="AG144" s="53"/>
      <c r="AH144" s="7"/>
      <c r="AI14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4" s="31" t="str">
        <f aca="false">IF(Tasks[[#This Row],[Task Name]]="","",IF(N(Tasks[[#This Row],[Baseline Start]])&gt;0,Tasks[[#This Row],[Baseline Start]],Tasks[[#This Row],[_CalcStart]]))</f>
        <v/>
      </c>
      <c r="AK144" s="31" t="str">
        <f aca="false">IF(Tasks[[#This Row],[Task Name]]="","",IF(N(Tasks[[#This Row],[Baseline Finish]])&gt;0,Tasks[[#This Row],[Baseline Finish]],Tasks[[#This Row],[_CalcFinish]]))</f>
        <v/>
      </c>
      <c r="AL14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4" s="31" t="str">
        <f aca="false">IF(Tasks[[#This Row],[Task Name]]="","",IF(Tasks[[#This Row],[_IsSummary]],MIN(INDEX(Tasks[_LeafLateStart],Tasks[[#This Row],[_Row]]+1):INDEX(Tasks[_LeafLateStart],Tasks[[#This Row],[_Row]]+Tasks[[#This Row],[_Descendants]])),Tasks[[#This Row],[_LeafLateStart]]))</f>
        <v/>
      </c>
      <c r="AN144" s="31" t="str">
        <f aca="false">IF(Tasks[[#This Row],[Task Name]]="","",IF(Tasks[[#This Row],[_IsSummary]],MAX(INDEX(Tasks[_LeafLateFinish],Tasks[[#This Row],[_Row]]+1):INDEX(Tasks[_LeafLateFinish],Tasks[[#This Row],[_Row]]+Tasks[[#This Row],[_Descendants]])),Tasks[[#This Row],[_LeafLateFinish]]))</f>
        <v/>
      </c>
      <c r="AO144" s="51" t="str">
        <f aca="false">IF(Tasks[[#This Row],[Task Name]]="","",IF(Tasks[[#This Row],[_IsSummary]],MIN(INDEX(Tasks[_LeafTotalSlack],Tasks[[#This Row],[_Row]]+1):INDEX(Tasks[_LeafTotalSlack],Tasks[[#This Row],[_Row]]+Tasks[[#This Row],[_Descendants]])),Tasks[[#This Row],[_LeafTotalSlack]]))</f>
        <v/>
      </c>
      <c r="AP14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4" s="110" t="str">
        <f aca="false">IF(Tasks[[#This Row],[Task Name]]="","",IF(Tasks[[#This Row],[_IsSummary]],SUM(INDEX(Tasks[_LeafTotalWork],Tasks[[#This Row],[_Row]]+1):INDEX(Tasks[_LeafTotalWork],Tasks[[#This Row],[_Row]]+Tasks[[#This Row],[_Descendants]])),Tasks[[#This Row],[_LeafTotalWork]]))</f>
        <v/>
      </c>
      <c r="AV14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4" s="111" t="str">
        <f aca="false">IF(Tasks[[#This Row],[Task Name]]="","",IF(Tasks[[#This Row],[_IsSummary]],SUM(INDEX(Tasks[_LeafTotalCost],Tasks[[#This Row],[_Row]]+1):INDEX(Tasks[_LeafTotalCost],Tasks[[#This Row],[_Row]]+Tasks[[#This Row],[_Descendants]])),Tasks[[#This Row],[_LeafTotalCost]]))</f>
        <v/>
      </c>
      <c r="AY144" s="112"/>
      <c r="AZ14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4" s="52"/>
      <c r="BB144" s="98"/>
      <c r="BC144" s="51" t="str">
        <f aca="false">IF(OR(Tasks[[#This Row],[Task Name]]="",Tasks[[#This Row],[Baseline Duration]]=""),"",Tasks[[#This Row],[BL Source Duration]]-N(Tasks[[#This Row],[Baseline Duration]]))</f>
        <v/>
      </c>
      <c r="BD144" s="110" t="str">
        <f aca="false">IF(OR(Tasks[[#This Row],[Task Name]]="",Tasks[[#This Row],[Baseline Work]]=""),"",Tasks[[#This Row],[Work]]-N(Tasks[[#This Row],[Baseline Work]]))</f>
        <v/>
      </c>
      <c r="BE144" s="111" t="str">
        <f aca="false">IF(OR(Tasks[[#This Row],[Task Name]]="",Tasks[[#This Row],[Baseline Cost]]=""),"",Tasks[[#This Row],[Cost]]-N(Tasks[[#This Row],[Baseline Cost]]))</f>
        <v/>
      </c>
      <c r="BF144" s="31" t="str">
        <f aca="false">IF(Tasks[[#This Row],[Task Name]]="","",Tasks[[#This Row],[Forecast Start]])</f>
        <v/>
      </c>
      <c r="BG144" s="31" t="str">
        <f aca="false">IF(Tasks[[#This Row],[Task Name]]="","",Tasks[[#This Row],[Forecast Finish]])</f>
        <v/>
      </c>
      <c r="BH144" s="51" t="str">
        <f aca="false">IF(Tasks[[#This Row],[Task Name]]="","",IF(Tasks[[#This Row],[_IsSummary]],NETWORKDAYS.INTL(Tasks[[#This Row],[Forecast Start]],Tasks[[#This Row],[Forecast Finish]],WorkWeek,Holidays),N(Tasks[[#This Row],[Duration]])))</f>
        <v/>
      </c>
      <c r="BI144" s="110" t="str">
        <f aca="false">IF(Tasks[[#This Row],[Task Name]]="","",Tasks[[#This Row],[Work]])</f>
        <v/>
      </c>
      <c r="BJ144" s="111" t="str">
        <f aca="false">IF(Tasks[[#This Row],[Task Name]]="","",Tasks[[#This Row],[Cost]])</f>
        <v/>
      </c>
      <c r="BK144" s="7"/>
      <c r="BL144" s="7"/>
      <c r="BM144" s="52"/>
      <c r="BN144" s="113"/>
      <c r="BO144" s="112"/>
      <c r="BP144" s="111" t="str">
        <f aca="false">IF(Tasks[[#This Row],[Task Name]]="","",IF(Tasks[[#This Row],[_IsSummary]],SUM(INDEX(Tasks[_LeafEV],Tasks[[#This Row],[_Row]]+1):INDEX(Tasks[_LeafEV],Tasks[[#This Row],[_Row]]+Tasks[[#This Row],[_Descendants]])),Tasks[[#This Row],[_LeafEV]]))</f>
        <v/>
      </c>
      <c r="BQ144" s="111" t="str">
        <f aca="false">IF(Tasks[[#This Row],[Task Name]]="","",IF(Tasks[[#This Row],[_IsSummary]],SUM(INDEX(Tasks[_LeafBudget],Tasks[[#This Row],[_Row]]+1):INDEX(Tasks[_LeafBudget],Tasks[[#This Row],[_Row]]+Tasks[[#This Row],[_Descendants]])),Tasks[[#This Row],[_LeafBudget]]))</f>
        <v/>
      </c>
      <c r="BR144" s="111" t="str">
        <f aca="false">IF(Tasks[[#This Row],[Task Name]]="","",IF(Tasks[[#This Row],[_IsSummary]],SUM(INDEX(Tasks[_LeafPV],Tasks[[#This Row],[_Row]]+1):INDEX(Tasks[_LeafPV],Tasks[[#This Row],[_Row]]+Tasks[[#This Row],[_Descendants]])),Tasks[[#This Row],[_LeafPV]]))</f>
        <v/>
      </c>
      <c r="BS144" s="111" t="str">
        <f aca="false">IF(Tasks[[#This Row],[Task Name]]="","",IF(Tasks[[#This Row],[_IsSummary]],SUM(INDEX(Tasks[_LeafAC],Tasks[[#This Row],[_Row]]+1):INDEX(Tasks[_LeafAC],Tasks[[#This Row],[_Row]]+Tasks[[#This Row],[_Descendants]])),Tasks[[#This Row],[_LeafAC]]))</f>
        <v/>
      </c>
      <c r="BT144" s="38" t="str">
        <f aca="false">IF(Tasks[[#This Row],[Task Name]]="","",MAX(1,N(Tasks[[#This Row],[Level]])))</f>
        <v/>
      </c>
      <c r="BU144" s="38" t="n">
        <f aca="false">ROW()-ROW(Tasks[[#Headers],[ID]])</f>
        <v>139</v>
      </c>
      <c r="BV144" s="38" t="n">
        <f aca="false">IF(OR(Tasks[[#This Row],[Task Name]]="",Tasks[[#This Row],[_Level]]&lt;=1),0,IFERROR(LOOKUP(2,1/(Tasks[[#Headers],[_Level]]:Tasks[[#This Row],[_Level]]=Tasks[[#This Row],[_Level]]-1),ROW(Tasks[[#Headers],[_Level]]:Tasks[[#This Row],[_Level]])),0))</f>
        <v>0</v>
      </c>
      <c r="BW144" s="38" t="n">
        <f aca="false">IFERROR(N(INDEX(Tasks[_Level],Tasks[[#This Row],[_Row]]+1)),0)</f>
        <v>0</v>
      </c>
      <c r="BX144" s="114" t="b">
        <f aca="false">AND(Tasks[[#This Row],[Task Name]]&lt;&gt;"",Tasks[[#This Row],[_NextLevel]]&gt;Tasks[[#This Row],[_Level]])</f>
        <v>0</v>
      </c>
      <c r="BY144" s="38" t="n">
        <f aca="false">IF(Tasks[[#This Row],[_IsSummary]],COUNTIF(Tasks[WBS],Tasks[[#This Row],[WBS]]&amp;".*"),0)</f>
        <v>0</v>
      </c>
      <c r="BZ144" s="38" t="n">
        <f aca="false">IF(AND(Tasks[[#This Row],[Task Name]]&lt;&gt;"",NOT(Tasks[[#This Row],[_IsSummary]])),1,0)</f>
        <v>0</v>
      </c>
      <c r="CA144" s="38" t="n">
        <f aca="false">IF(N(Tasks[[#This Row],[Pred1 UID]])=0,0,IFERROR(MATCH(Tasks[[#This Row],[Pred1 UID]],Tasks[UID],0),-1))</f>
        <v>0</v>
      </c>
      <c r="CB144" s="38" t="n">
        <f aca="false">IF(N(Tasks[[#This Row],[Pred2 UID]])=0,0,IFERROR(MATCH(Tasks[[#This Row],[Pred2 UID]],Tasks[UID],0),-1))</f>
        <v>0</v>
      </c>
      <c r="CC144" s="38" t="n">
        <f aca="false">IF(N(Tasks[[#This Row],[Pred3 UID]])=0,0,IFERROR(MATCH(Tasks[[#This Row],[Pred3 UID]],Tasks[UID],0),-1))</f>
        <v>0</v>
      </c>
      <c r="CD144" s="38" t="n">
        <f aca="false">IF(N(Tasks[[#This Row],[Pred4 UID]])=0,0,IFERROR(MATCH(Tasks[[#This Row],[Pred4 UID]],Tasks[UID],0),-1))</f>
        <v>0</v>
      </c>
      <c r="CE14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4" s="115" t="n">
        <f aca="false">IF(OR(Tasks[[#This Row],[_ConstraintCode]]=2,Tasks[[#This Row],[_ConstraintCode]]=3,Tasks[[#This Row],[_ConstraintCode]]=4,Tasks[[#This Row],[_ConstraintCode]]=6),Tasks[[#This Row],[_ConstraintStart]],0)</f>
        <v>0</v>
      </c>
      <c r="CH144" s="115" t="n">
        <f aca="false">IF(OR(Tasks[[#This Row],[_ConstraintCode]]=2,Tasks[[#This Row],[_ConstraintCode]]=3,Tasks[[#This Row],[_ConstraintCode]]=5,Tasks[[#This Row],[_ConstraintCode]]=7),Tasks[[#This Row],[_ConstraintStart]],2958465)</f>
        <v>2958465</v>
      </c>
      <c r="CI14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4" s="115" t="str">
        <f aca="false">IF(NOT(Tasks[[#This Row],[_IsLeaf]]=1),"",IF(N(Tasks[[#This Row],[Duration]])&lt;=0,Tasks[[#This Row],[_LeafCalcStart]],WORKDAY.INTL(Tasks[[#This Row],[_LeafCalcStart]],Tasks[[#This Row],[Duration]]-1,WorkWeek,Holidays)))</f>
        <v/>
      </c>
      <c r="CK14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4" s="38" t="n">
        <f aca="false">IF(NOT(Tasks[[#This Row],[_IsLeaf]]=1),0,IF(N(Tasks[[#This Row],[Actual Finish]])&gt;0,1,MIN(1,N(Tasks[[#This Row],[% Complete]]))))</f>
        <v>0</v>
      </c>
      <c r="CN144" s="38" t="n">
        <f aca="false">IF(OR(NOT(Tasks[[#This Row],[_IsLeaf]]=1),Tasks[[#This Row],[Resource]]=""),0,N(Tasks[[#This Row],[Duration]])*HoursPerDay*IF(Tasks[[#This Row],[Units]]="",DefaultUnits,Tasks[[#This Row],[Units]]))</f>
        <v>0</v>
      </c>
      <c r="CO144" s="38" t="n">
        <f aca="false">IF(Tasks[[#This Row],[_LeafWork]]=0,0,Tasks[[#This Row],[_LeafWork]]*IFERROR(INDEX(res_Rate,MATCH(Tasks[[#This Row],[Resource]],res_Name,0)),0))</f>
        <v>0</v>
      </c>
      <c r="CP144" s="38" t="n">
        <f aca="false">Tasks[[#This Row],[_LeafWork]]+IF(Tasks[[#This Row],[_IsLeaf]]=1,SUMIFS(asg_Work,asg_TaskUID,Tasks[[#This Row],[UID]],asg_Valid,1),0)</f>
        <v>0</v>
      </c>
      <c r="CQ144" s="38" t="n">
        <f aca="false">Tasks[[#This Row],[_LeafCost]]+IF(Tasks[[#This Row],[_IsLeaf]]=1,SUMIFS(asg_Cost,asg_TaskUID,Tasks[[#This Row],[UID]],asg_Valid,1),0)</f>
        <v>0</v>
      </c>
      <c r="CR144" s="38" t="n">
        <f aca="false">IF(Tasks[[#This Row],[_LeafTotalCost]]=0,Tasks[[#This Row],[_LeafAC]],Tasks[[#This Row],[_LeafAC]]*Tasks[[#This Row],[_LeafCost]]/Tasks[[#This Row],[_LeafTotalCost]])</f>
        <v>0</v>
      </c>
      <c r="CS14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4" s="38" t="n">
        <f aca="false">IF(NOT(Tasks[[#This Row],[_IsLeaf]]=1),0,MAX(_xlfn.MAXIFS(Tasks[_Row],Tasks[Pred1 UID],Tasks[[#This Row],[UID]]),_xlfn.MAXIFS(Tasks[_Row],Tasks[Pred2 UID],Tasks[[#This Row],[UID]]),_xlfn.MAXIFS(Tasks[_Row],Tasks[Pred3 UID],Tasks[[#This Row],[UID]]),_xlfn.MAXIFS(Tasks[_Row],Tasks[Pred4 UID],Tasks[[#This Row],[UID]])))</f>
        <v>0</v>
      </c>
      <c r="DB14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4" s="115" t="str">
        <f aca="false">IF(NOT(Tasks[[#This Row],[_IsLeaf]]=1),"",IF(N(Tasks[[#This Row],[Duration]])&lt;=0,Tasks[[#This Row],[_LeafLateFinish]],WORKDAY.INTL(Tasks[[#This Row],[_LeafLateFinish]],-(Tasks[[#This Row],[Duration]]-1),WorkWeek,Holidays)))</f>
        <v/>
      </c>
      <c r="DE14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4" s="114" t="b">
        <f aca="false">AND(Tasks[[#This Row],[_IsLeaf]]=1,Tasks[[#This Row],[_LeafProgress]]&lt;1,N(Tasks[[#This Row],[_LeafTotalSlack]])&lt;=CriticalSlackDays)</f>
        <v>0</v>
      </c>
      <c r="DG144" s="38" t="n">
        <f aca="false">IF(AND(Tasks[[#This Row],[_IsLeaf]]=1,Tasks[[#This Row],[_ConstraintCode]]=1,Tasks[[#This Row],[Mode]]&lt;&gt;"Manual",N(Tasks[[#This Row],[Actual Start]])=0),MAX(0,N(Tasks[[#This Row],[Free Slack]])),0)</f>
        <v>0</v>
      </c>
      <c r="DH144" s="115" t="str">
        <f aca="false">IF(NOT(Tasks[[#This Row],[_IsLeaf]]=1),"",IF(Tasks[[#This Row],[_AlapShift]]=0,Tasks[[#This Row],[_LeafCalcStart]],WORKDAY.INTL(Tasks[[#This Row],[_LeafCalcStart]],Tasks[[#This Row],[_AlapShift]],WorkWeek,Holidays)))</f>
        <v/>
      </c>
      <c r="DI144" s="115" t="str">
        <f aca="false">IF(NOT(Tasks[[#This Row],[_IsLeaf]]=1),"",IF(Tasks[[#This Row],[_AlapShift]]=0,Tasks[[#This Row],[_LeafCalcFinish]],WORKDAY.INTL(Tasks[[#This Row],[_LeafCalcFinish]],Tasks[[#This Row],[_AlapShift]],WorkWeek,Holidays)))</f>
        <v/>
      </c>
      <c r="DJ144" s="115" t="str">
        <f aca="false">IF(NOT(Tasks[[#This Row],[_IsLeaf]]=1),"",IF(Tasks[[#This Row],[_AlapShift]]=0,Tasks[[#This Row],[_LeafFcstStart]],WORKDAY.INTL(Tasks[[#This Row],[_LeafFcstStart]],Tasks[[#This Row],[_AlapShift]],WorkWeek,Holidays)))</f>
        <v/>
      </c>
      <c r="DK144" s="115" t="str">
        <f aca="false">IF(NOT(Tasks[[#This Row],[_IsLeaf]]=1),"",IF(Tasks[[#This Row],[_AlapShift]]=0,Tasks[[#This Row],[_LeafFcstFinish]],WORKDAY.INTL(Tasks[[#This Row],[_LeafFcstFinish]],Tasks[[#This Row],[_AlapShift]],WorkWeek,Holidays)))</f>
        <v/>
      </c>
      <c r="DL144" s="115" t="str">
        <f aca="false">IF(Tasks[[#This Row],[Task Name]]="","",IF(Tasks[[#This Row],[_IsSummary]],MIN(INDEX(Tasks[_ShownCalcStart],Tasks[[#This Row],[_Row]]+1):INDEX(Tasks[_ShownCalcStart],Tasks[[#This Row],[_Row]]+Tasks[[#This Row],[_Descendants]])),Tasks[[#This Row],[_ShownCalcStart]]))</f>
        <v/>
      </c>
      <c r="DM144" s="115" t="str">
        <f aca="false">IF(Tasks[[#This Row],[Task Name]]="","",IF(Tasks[[#This Row],[_IsSummary]],MAX(INDEX(Tasks[_ShownCalcFinish],Tasks[[#This Row],[_Row]]+1):INDEX(Tasks[_ShownCalcFinish],Tasks[[#This Row],[_Row]]+Tasks[[#This Row],[_Descendants]])),Tasks[[#This Row],[_ShownCalcFinish]]))</f>
        <v/>
      </c>
      <c r="DN14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4" s="38" t="n">
        <f aca="false">IF(AND(Tasks[[#This Row],[_IsLeaf]]=1,Tasks[[#This Row],[_LeafTotalWork]]&gt;0),NETWORKDAYS.INTL(ProjectStart,Tasks[[#This Row],[_ShownFcstStart]],WorkWeek,Holidays),0)</f>
        <v>0</v>
      </c>
      <c r="EA144" s="38" t="n">
        <f aca="false">IF(AND(Tasks[[#This Row],[_IsLeaf]]=1,Tasks[[#This Row],[_LeafTotalWork]]&gt;0),MAX(Tasks[[#This Row],[_StartWorkday]],NETWORKDAYS.INTL(ProjectStart,Tasks[[#This Row],[_ShownFcstFinish]],WorkWeek,Holidays)),0)</f>
        <v>0</v>
      </c>
      <c r="EB144" s="38" t="n">
        <f aca="false">IF(AND(Tasks[[#This Row],[_IsLeaf]]=1,Tasks[[#This Row],[_LeafTotalWork]]&gt;0),Tasks[[#This Row],[_LeafWork]]/(Tasks[[#This Row],[_FinishWorkday]]-Tasks[[#This Row],[_StartWorkday]]+1),0)</f>
        <v>0</v>
      </c>
      <c r="EC144" s="38" t="n">
        <f aca="false">Tasks[[#This Row],[_WorkPerWorkday]]*(Tasks[[#This Row],[_StartWorkday]]-1)</f>
        <v>-0</v>
      </c>
      <c r="ED144" s="38" t="n">
        <f aca="false">IF(Tasks[[#This Row],[_IsLeaf]]=1,MAX(N(Tasks[[#This Row],[Duration]]),0.1),0)</f>
        <v>0</v>
      </c>
      <c r="EE144" s="38" t="n">
        <f aca="false">Tasks[[#This Row],[_WeightDur]]*Tasks[[#This Row],[_LeafProgress]]</f>
        <v>0</v>
      </c>
      <c r="EF14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4" s="38" t="str">
        <f aca="false">IF(AND(Tasks[[#This Row],[_IsLeaf]]=1,N(Tasks[[#This Row],[Duration]])=0,Tasks[[#This Row],[_LeafProgress]]&lt;1),Tasks[[#This Row],[_ShownFcstFinish]]+Tasks[[#This Row],[_Row]]/100000,"")</f>
        <v/>
      </c>
      <c r="EH14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4" s="38" t="n">
        <f aca="false">IF(NOT(Tasks[[#This Row],[_IsLeaf]]=1),0,IF(Tasks[[#This Row],[Baseline Cost]]="",Tasks[[#This Row],[_LeafTotalCost]],N(Tasks[[#This Row],[Baseline Cost]])))</f>
        <v>0</v>
      </c>
      <c r="EJ144" s="38" t="n">
        <f aca="false">Tasks[[#This Row],[_LeafBudget]]*Tasks[[#This Row],[_PlannedPct]]</f>
        <v>0</v>
      </c>
      <c r="EK144" s="38" t="n">
        <f aca="false">Tasks[[#This Row],[_LeafBudget]]*Tasks[[#This Row],[_LeafProgress]]</f>
        <v>0</v>
      </c>
      <c r="EL144" s="38" t="n">
        <f aca="false">IF(NOT(Tasks[[#This Row],[_IsLeaf]]=1),0,IF(Tasks[[#This Row],[Actual Cost]]="",Tasks[[#This Row],[_LeafTotalCost]]*Tasks[[#This Row],[_LeafProgress]],N(Tasks[[#This Row],[Actual Cost]])))</f>
        <v>0</v>
      </c>
      <c r="EM144" s="38" t="str">
        <f aca="false">IF(Tasks[[#This Row],[Task Name]]="","",LEFT(Tasks[[#This Row],[WBS]],FIND(".",Tasks[[#This Row],[WBS]]&amp;".")-1))</f>
        <v/>
      </c>
      <c r="EN144" s="38" t="str">
        <f aca="false">IF(AND(Tasks[[#This Row],[Task Name]]&lt;&gt;"",Tasks[[#This Row],[_Level]]=1),Tasks[[#This Row],[_Row]],"")</f>
        <v/>
      </c>
      <c r="EO144" s="38" t="str">
        <f aca="false">IF(AND(Tasks[[#This Row],[_IsLeaf]]=1,N(Tasks[[#This Row],[Duration]])=0),Tasks[[#This Row],[Planned Finish]]+Tasks[[#This Row],[_Row]]/100000,"")</f>
        <v/>
      </c>
      <c r="EP144" s="38" t="str">
        <f aca="false">IF(AND(Tasks[[#This Row],[_IsLeaf]]=1,Tasks[[#This Row],[_LeafProgress]]&lt;1,OR(N(Tasks[[#This Row],[Finish Var]])&gt;0,Tasks[[#This Row],[Status]]="Late Start")),MAX(0,Tasks[[#This Row],[Finish Var]])+1-Tasks[[#This Row],[_Row]]/1000000,"")</f>
        <v/>
      </c>
      <c r="EQ144" s="38" t="str">
        <f aca="false">IF(AND(Tasks[[#This Row],[_IsLeaf]]=1,N(Tasks[[#This Row],[Actual Start]])=0,Tasks[[#This Row],[_ShownFcstStart]]&gt;=StatusDate,Tasks[[#This Row],[_ShownFcstStart]]&lt;=LookaheadEnd),Tasks[[#This Row],[_ShownFcstStart]]+Tasks[[#This Row],[_Row]]/100000,"")</f>
        <v/>
      </c>
      <c r="ER144" s="38" t="str">
        <f aca="false">IF(AND(Tasks[[#This Row],[_IsLeaf]]=1,Tasks[[#This Row],[_LeafProgress]]&lt;1,Tasks[[#This Row],[_ShownFcstFinish]]&gt;=StatusDate,Tasks[[#This Row],[_ShownFcstFinish]]&lt;=LookaheadEnd),Tasks[[#This Row],[_ShownFcstFinish]]+Tasks[[#This Row],[_Row]]/100000,"")</f>
        <v/>
      </c>
      <c r="ES144" s="38" t="str">
        <f aca="false">IF(Tasks[[#This Row],[_LeafCritical]],Tasks[[#This Row],[_ShownFcstStart]]+Tasks[[#This Row],[_Row]]/100000,"")</f>
        <v/>
      </c>
      <c r="ET144" s="38" t="n">
        <f aca="false">Tasks[[#This Row],[_LeafWork]]*Tasks[[#This Row],[_LeafProgress]]</f>
        <v>0</v>
      </c>
      <c r="EU144" s="115" t="str">
        <f aca="false">IF(AND(Tasks[[#This Row],[_IsLeaf]]=1,Tasks[[#This Row],[_LeafProgress]]&gt;=1),IF(N(Tasks[[#This Row],[Actual Finish]])&gt;0,Tasks[[#This Row],[Actual Finish]],Tasks[[#This Row],[_ShownFcstFinish]]),"")</f>
        <v/>
      </c>
      <c r="EV144" s="38" t="n">
        <f aca="false">IF(Tasks[[#This Row],[_IsLeaf]]=1,N(Tasks[[#This Row],[Story Points]]),0)</f>
        <v>0</v>
      </c>
      <c r="EW144" s="38" t="str">
        <f aca="false">IF(AND(Tasks[[#This Row],[_IsLeaf]]=1,CurrentSprint&lt;&gt;"",Tasks[[#This Row],[Sprint]]=CurrentSprint),Tasks[[#This Row],[_Row]],"")</f>
        <v/>
      </c>
    </row>
    <row r="145" customFormat="false" ht="15" hidden="false" customHeight="false" outlineLevel="0" collapsed="false">
      <c r="A145" s="51" t="str">
        <f aca="false">IF(Tasks[[#This Row],[Task Name]]="","",COUNTA(Tasks[[#Headers],[Task Name]]:Tasks[[#This Row],[Task Name]])-1)</f>
        <v/>
      </c>
      <c r="B145" s="52" t="n">
        <v>140</v>
      </c>
      <c r="C14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52"/>
      <c r="E145" s="53"/>
      <c r="F145" s="52"/>
      <c r="G145" s="52"/>
      <c r="H145" s="52"/>
      <c r="I145" s="52"/>
      <c r="J145" s="52"/>
      <c r="K145" s="52"/>
      <c r="L145" s="52"/>
      <c r="M145" s="52"/>
      <c r="N145" s="52"/>
      <c r="O145" s="52"/>
      <c r="P145" s="52"/>
      <c r="Q145" s="52"/>
      <c r="R145" s="52"/>
      <c r="S145" s="53"/>
      <c r="T145" s="102"/>
      <c r="U145" s="102"/>
      <c r="V145" s="7"/>
      <c r="W145" s="7"/>
      <c r="X145" s="53"/>
      <c r="Y145" s="31" t="str">
        <f aca="false">IF(Tasks[[#This Row],[Task Name]]="","",IF(Tasks[[#This Row],[_IsSummary]],MIN(INDEX(Tasks[_ShownFcstStart],Tasks[[#This Row],[_Row]]+1):INDEX(Tasks[_ShownFcstStart],Tasks[[#This Row],[_Row]]+Tasks[[#This Row],[_Descendants]])),Tasks[[#This Row],[_ShownFcstStart]]))</f>
        <v/>
      </c>
      <c r="Z145" s="31" t="str">
        <f aca="false">IF(Tasks[[#This Row],[Task Name]]="","",IF(Tasks[[#This Row],[_IsSummary]],MAX(INDEX(Tasks[_ShownFcstFinish],Tasks[[#This Row],[_Row]]+1):INDEX(Tasks[_ShownFcstFinish],Tasks[[#This Row],[_Row]]+Tasks[[#This Row],[_Descendants]])),Tasks[[#This Row],[_ShownFcstFinish]]))</f>
        <v/>
      </c>
      <c r="AA145" s="51" t="str">
        <f aca="false">IF(Tasks[[#This Row],[Task Name]]="","",IF(Tasks[[#This Row],[Progress]]&gt;=1,"Complete",IF(OR(N(Tasks[[#This Row],[Actual Start]])&gt;0,Tasks[[#This Row],[Progress]]&gt;0),IF(Tasks[[#This Row],[Finish Var]]&gt;0,"Behind","In Progress"),IF(Tasks[[#This Row],[Planned Start]]&lt;StatusDate,"Late Start","Not Started"))))</f>
        <v/>
      </c>
      <c r="AB145" s="51" t="str">
        <f aca="false">IF(Tasks[[#This Row],[Task Name]]="","",IF(IF(Tasks[[#This Row],[_IsSummary]],COUNTIF(INDEX(Tasks[_LeafCritical],Tasks[[#This Row],[_Row]]+1):INDEX(Tasks[_LeafCritical],Tasks[[#This Row],[_Row]]+Tasks[[#This Row],[_Descendants]]),TRUE())&gt;0,Tasks[[#This Row],[_LeafCritical]]),"Yes",""))</f>
        <v/>
      </c>
      <c r="AC14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5" s="51" t="str">
        <f aca="false">IF(Tasks[[#This Row],[Task Name]]="","",IF(Tasks[[#This Row],[_Level]]&lt;=OutlineShowLevel,"Yes","No"))</f>
        <v/>
      </c>
      <c r="AE145" s="7"/>
      <c r="AF145" s="52"/>
      <c r="AG145" s="53"/>
      <c r="AH145" s="7"/>
      <c r="AI14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5" s="31" t="str">
        <f aca="false">IF(Tasks[[#This Row],[Task Name]]="","",IF(N(Tasks[[#This Row],[Baseline Start]])&gt;0,Tasks[[#This Row],[Baseline Start]],Tasks[[#This Row],[_CalcStart]]))</f>
        <v/>
      </c>
      <c r="AK145" s="31" t="str">
        <f aca="false">IF(Tasks[[#This Row],[Task Name]]="","",IF(N(Tasks[[#This Row],[Baseline Finish]])&gt;0,Tasks[[#This Row],[Baseline Finish]],Tasks[[#This Row],[_CalcFinish]]))</f>
        <v/>
      </c>
      <c r="AL14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5" s="31" t="str">
        <f aca="false">IF(Tasks[[#This Row],[Task Name]]="","",IF(Tasks[[#This Row],[_IsSummary]],MIN(INDEX(Tasks[_LeafLateStart],Tasks[[#This Row],[_Row]]+1):INDEX(Tasks[_LeafLateStart],Tasks[[#This Row],[_Row]]+Tasks[[#This Row],[_Descendants]])),Tasks[[#This Row],[_LeafLateStart]]))</f>
        <v/>
      </c>
      <c r="AN145" s="31" t="str">
        <f aca="false">IF(Tasks[[#This Row],[Task Name]]="","",IF(Tasks[[#This Row],[_IsSummary]],MAX(INDEX(Tasks[_LeafLateFinish],Tasks[[#This Row],[_Row]]+1):INDEX(Tasks[_LeafLateFinish],Tasks[[#This Row],[_Row]]+Tasks[[#This Row],[_Descendants]])),Tasks[[#This Row],[_LeafLateFinish]]))</f>
        <v/>
      </c>
      <c r="AO145" s="51" t="str">
        <f aca="false">IF(Tasks[[#This Row],[Task Name]]="","",IF(Tasks[[#This Row],[_IsSummary]],MIN(INDEX(Tasks[_LeafTotalSlack],Tasks[[#This Row],[_Row]]+1):INDEX(Tasks[_LeafTotalSlack],Tasks[[#This Row],[_Row]]+Tasks[[#This Row],[_Descendants]])),Tasks[[#This Row],[_LeafTotalSlack]]))</f>
        <v/>
      </c>
      <c r="AP14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5" s="110" t="str">
        <f aca="false">IF(Tasks[[#This Row],[Task Name]]="","",IF(Tasks[[#This Row],[_IsSummary]],SUM(INDEX(Tasks[_LeafTotalWork],Tasks[[#This Row],[_Row]]+1):INDEX(Tasks[_LeafTotalWork],Tasks[[#This Row],[_Row]]+Tasks[[#This Row],[_Descendants]])),Tasks[[#This Row],[_LeafTotalWork]]))</f>
        <v/>
      </c>
      <c r="AV14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5" s="111" t="str">
        <f aca="false">IF(Tasks[[#This Row],[Task Name]]="","",IF(Tasks[[#This Row],[_IsSummary]],SUM(INDEX(Tasks[_LeafTotalCost],Tasks[[#This Row],[_Row]]+1):INDEX(Tasks[_LeafTotalCost],Tasks[[#This Row],[_Row]]+Tasks[[#This Row],[_Descendants]])),Tasks[[#This Row],[_LeafTotalCost]]))</f>
        <v/>
      </c>
      <c r="AY145" s="112"/>
      <c r="AZ14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5" s="52"/>
      <c r="BB145" s="98"/>
      <c r="BC145" s="51" t="str">
        <f aca="false">IF(OR(Tasks[[#This Row],[Task Name]]="",Tasks[[#This Row],[Baseline Duration]]=""),"",Tasks[[#This Row],[BL Source Duration]]-N(Tasks[[#This Row],[Baseline Duration]]))</f>
        <v/>
      </c>
      <c r="BD145" s="110" t="str">
        <f aca="false">IF(OR(Tasks[[#This Row],[Task Name]]="",Tasks[[#This Row],[Baseline Work]]=""),"",Tasks[[#This Row],[Work]]-N(Tasks[[#This Row],[Baseline Work]]))</f>
        <v/>
      </c>
      <c r="BE145" s="111" t="str">
        <f aca="false">IF(OR(Tasks[[#This Row],[Task Name]]="",Tasks[[#This Row],[Baseline Cost]]=""),"",Tasks[[#This Row],[Cost]]-N(Tasks[[#This Row],[Baseline Cost]]))</f>
        <v/>
      </c>
      <c r="BF145" s="31" t="str">
        <f aca="false">IF(Tasks[[#This Row],[Task Name]]="","",Tasks[[#This Row],[Forecast Start]])</f>
        <v/>
      </c>
      <c r="BG145" s="31" t="str">
        <f aca="false">IF(Tasks[[#This Row],[Task Name]]="","",Tasks[[#This Row],[Forecast Finish]])</f>
        <v/>
      </c>
      <c r="BH145" s="51" t="str">
        <f aca="false">IF(Tasks[[#This Row],[Task Name]]="","",IF(Tasks[[#This Row],[_IsSummary]],NETWORKDAYS.INTL(Tasks[[#This Row],[Forecast Start]],Tasks[[#This Row],[Forecast Finish]],WorkWeek,Holidays),N(Tasks[[#This Row],[Duration]])))</f>
        <v/>
      </c>
      <c r="BI145" s="110" t="str">
        <f aca="false">IF(Tasks[[#This Row],[Task Name]]="","",Tasks[[#This Row],[Work]])</f>
        <v/>
      </c>
      <c r="BJ145" s="111" t="str">
        <f aca="false">IF(Tasks[[#This Row],[Task Name]]="","",Tasks[[#This Row],[Cost]])</f>
        <v/>
      </c>
      <c r="BK145" s="7"/>
      <c r="BL145" s="7"/>
      <c r="BM145" s="52"/>
      <c r="BN145" s="113"/>
      <c r="BO145" s="112"/>
      <c r="BP145" s="111" t="str">
        <f aca="false">IF(Tasks[[#This Row],[Task Name]]="","",IF(Tasks[[#This Row],[_IsSummary]],SUM(INDEX(Tasks[_LeafEV],Tasks[[#This Row],[_Row]]+1):INDEX(Tasks[_LeafEV],Tasks[[#This Row],[_Row]]+Tasks[[#This Row],[_Descendants]])),Tasks[[#This Row],[_LeafEV]]))</f>
        <v/>
      </c>
      <c r="BQ145" s="111" t="str">
        <f aca="false">IF(Tasks[[#This Row],[Task Name]]="","",IF(Tasks[[#This Row],[_IsSummary]],SUM(INDEX(Tasks[_LeafBudget],Tasks[[#This Row],[_Row]]+1):INDEX(Tasks[_LeafBudget],Tasks[[#This Row],[_Row]]+Tasks[[#This Row],[_Descendants]])),Tasks[[#This Row],[_LeafBudget]]))</f>
        <v/>
      </c>
      <c r="BR145" s="111" t="str">
        <f aca="false">IF(Tasks[[#This Row],[Task Name]]="","",IF(Tasks[[#This Row],[_IsSummary]],SUM(INDEX(Tasks[_LeafPV],Tasks[[#This Row],[_Row]]+1):INDEX(Tasks[_LeafPV],Tasks[[#This Row],[_Row]]+Tasks[[#This Row],[_Descendants]])),Tasks[[#This Row],[_LeafPV]]))</f>
        <v/>
      </c>
      <c r="BS145" s="111" t="str">
        <f aca="false">IF(Tasks[[#This Row],[Task Name]]="","",IF(Tasks[[#This Row],[_IsSummary]],SUM(INDEX(Tasks[_LeafAC],Tasks[[#This Row],[_Row]]+1):INDEX(Tasks[_LeafAC],Tasks[[#This Row],[_Row]]+Tasks[[#This Row],[_Descendants]])),Tasks[[#This Row],[_LeafAC]]))</f>
        <v/>
      </c>
      <c r="BT145" s="38" t="str">
        <f aca="false">IF(Tasks[[#This Row],[Task Name]]="","",MAX(1,N(Tasks[[#This Row],[Level]])))</f>
        <v/>
      </c>
      <c r="BU145" s="38" t="n">
        <f aca="false">ROW()-ROW(Tasks[[#Headers],[ID]])</f>
        <v>140</v>
      </c>
      <c r="BV145" s="38" t="n">
        <f aca="false">IF(OR(Tasks[[#This Row],[Task Name]]="",Tasks[[#This Row],[_Level]]&lt;=1),0,IFERROR(LOOKUP(2,1/(Tasks[[#Headers],[_Level]]:Tasks[[#This Row],[_Level]]=Tasks[[#This Row],[_Level]]-1),ROW(Tasks[[#Headers],[_Level]]:Tasks[[#This Row],[_Level]])),0))</f>
        <v>0</v>
      </c>
      <c r="BW145" s="38" t="n">
        <f aca="false">IFERROR(N(INDEX(Tasks[_Level],Tasks[[#This Row],[_Row]]+1)),0)</f>
        <v>0</v>
      </c>
      <c r="BX145" s="114" t="b">
        <f aca="false">AND(Tasks[[#This Row],[Task Name]]&lt;&gt;"",Tasks[[#This Row],[_NextLevel]]&gt;Tasks[[#This Row],[_Level]])</f>
        <v>0</v>
      </c>
      <c r="BY145" s="38" t="n">
        <f aca="false">IF(Tasks[[#This Row],[_IsSummary]],COUNTIF(Tasks[WBS],Tasks[[#This Row],[WBS]]&amp;".*"),0)</f>
        <v>0</v>
      </c>
      <c r="BZ145" s="38" t="n">
        <f aca="false">IF(AND(Tasks[[#This Row],[Task Name]]&lt;&gt;"",NOT(Tasks[[#This Row],[_IsSummary]])),1,0)</f>
        <v>0</v>
      </c>
      <c r="CA145" s="38" t="n">
        <f aca="false">IF(N(Tasks[[#This Row],[Pred1 UID]])=0,0,IFERROR(MATCH(Tasks[[#This Row],[Pred1 UID]],Tasks[UID],0),-1))</f>
        <v>0</v>
      </c>
      <c r="CB145" s="38" t="n">
        <f aca="false">IF(N(Tasks[[#This Row],[Pred2 UID]])=0,0,IFERROR(MATCH(Tasks[[#This Row],[Pred2 UID]],Tasks[UID],0),-1))</f>
        <v>0</v>
      </c>
      <c r="CC145" s="38" t="n">
        <f aca="false">IF(N(Tasks[[#This Row],[Pred3 UID]])=0,0,IFERROR(MATCH(Tasks[[#This Row],[Pred3 UID]],Tasks[UID],0),-1))</f>
        <v>0</v>
      </c>
      <c r="CD145" s="38" t="n">
        <f aca="false">IF(N(Tasks[[#This Row],[Pred4 UID]])=0,0,IFERROR(MATCH(Tasks[[#This Row],[Pred4 UID]],Tasks[UID],0),-1))</f>
        <v>0</v>
      </c>
      <c r="CE14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5" s="115" t="n">
        <f aca="false">IF(OR(Tasks[[#This Row],[_ConstraintCode]]=2,Tasks[[#This Row],[_ConstraintCode]]=3,Tasks[[#This Row],[_ConstraintCode]]=4,Tasks[[#This Row],[_ConstraintCode]]=6),Tasks[[#This Row],[_ConstraintStart]],0)</f>
        <v>0</v>
      </c>
      <c r="CH145" s="115" t="n">
        <f aca="false">IF(OR(Tasks[[#This Row],[_ConstraintCode]]=2,Tasks[[#This Row],[_ConstraintCode]]=3,Tasks[[#This Row],[_ConstraintCode]]=5,Tasks[[#This Row],[_ConstraintCode]]=7),Tasks[[#This Row],[_ConstraintStart]],2958465)</f>
        <v>2958465</v>
      </c>
      <c r="CI14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5" s="115" t="str">
        <f aca="false">IF(NOT(Tasks[[#This Row],[_IsLeaf]]=1),"",IF(N(Tasks[[#This Row],[Duration]])&lt;=0,Tasks[[#This Row],[_LeafCalcStart]],WORKDAY.INTL(Tasks[[#This Row],[_LeafCalcStart]],Tasks[[#This Row],[Duration]]-1,WorkWeek,Holidays)))</f>
        <v/>
      </c>
      <c r="CK14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5" s="38" t="n">
        <f aca="false">IF(NOT(Tasks[[#This Row],[_IsLeaf]]=1),0,IF(N(Tasks[[#This Row],[Actual Finish]])&gt;0,1,MIN(1,N(Tasks[[#This Row],[% Complete]]))))</f>
        <v>0</v>
      </c>
      <c r="CN145" s="38" t="n">
        <f aca="false">IF(OR(NOT(Tasks[[#This Row],[_IsLeaf]]=1),Tasks[[#This Row],[Resource]]=""),0,N(Tasks[[#This Row],[Duration]])*HoursPerDay*IF(Tasks[[#This Row],[Units]]="",DefaultUnits,Tasks[[#This Row],[Units]]))</f>
        <v>0</v>
      </c>
      <c r="CO145" s="38" t="n">
        <f aca="false">IF(Tasks[[#This Row],[_LeafWork]]=0,0,Tasks[[#This Row],[_LeafWork]]*IFERROR(INDEX(res_Rate,MATCH(Tasks[[#This Row],[Resource]],res_Name,0)),0))</f>
        <v>0</v>
      </c>
      <c r="CP145" s="38" t="n">
        <f aca="false">Tasks[[#This Row],[_LeafWork]]+IF(Tasks[[#This Row],[_IsLeaf]]=1,SUMIFS(asg_Work,asg_TaskUID,Tasks[[#This Row],[UID]],asg_Valid,1),0)</f>
        <v>0</v>
      </c>
      <c r="CQ145" s="38" t="n">
        <f aca="false">Tasks[[#This Row],[_LeafCost]]+IF(Tasks[[#This Row],[_IsLeaf]]=1,SUMIFS(asg_Cost,asg_TaskUID,Tasks[[#This Row],[UID]],asg_Valid,1),0)</f>
        <v>0</v>
      </c>
      <c r="CR145" s="38" t="n">
        <f aca="false">IF(Tasks[[#This Row],[_LeafTotalCost]]=0,Tasks[[#This Row],[_LeafAC]],Tasks[[#This Row],[_LeafAC]]*Tasks[[#This Row],[_LeafCost]]/Tasks[[#This Row],[_LeafTotalCost]])</f>
        <v>0</v>
      </c>
      <c r="CS14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5" s="38" t="n">
        <f aca="false">IF(NOT(Tasks[[#This Row],[_IsLeaf]]=1),0,MAX(_xlfn.MAXIFS(Tasks[_Row],Tasks[Pred1 UID],Tasks[[#This Row],[UID]]),_xlfn.MAXIFS(Tasks[_Row],Tasks[Pred2 UID],Tasks[[#This Row],[UID]]),_xlfn.MAXIFS(Tasks[_Row],Tasks[Pred3 UID],Tasks[[#This Row],[UID]]),_xlfn.MAXIFS(Tasks[_Row],Tasks[Pred4 UID],Tasks[[#This Row],[UID]])))</f>
        <v>0</v>
      </c>
      <c r="DB14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5" s="115" t="str">
        <f aca="false">IF(NOT(Tasks[[#This Row],[_IsLeaf]]=1),"",IF(N(Tasks[[#This Row],[Duration]])&lt;=0,Tasks[[#This Row],[_LeafLateFinish]],WORKDAY.INTL(Tasks[[#This Row],[_LeafLateFinish]],-(Tasks[[#This Row],[Duration]]-1),WorkWeek,Holidays)))</f>
        <v/>
      </c>
      <c r="DE14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5" s="114" t="b">
        <f aca="false">AND(Tasks[[#This Row],[_IsLeaf]]=1,Tasks[[#This Row],[_LeafProgress]]&lt;1,N(Tasks[[#This Row],[_LeafTotalSlack]])&lt;=CriticalSlackDays)</f>
        <v>0</v>
      </c>
      <c r="DG145" s="38" t="n">
        <f aca="false">IF(AND(Tasks[[#This Row],[_IsLeaf]]=1,Tasks[[#This Row],[_ConstraintCode]]=1,Tasks[[#This Row],[Mode]]&lt;&gt;"Manual",N(Tasks[[#This Row],[Actual Start]])=0),MAX(0,N(Tasks[[#This Row],[Free Slack]])),0)</f>
        <v>0</v>
      </c>
      <c r="DH145" s="115" t="str">
        <f aca="false">IF(NOT(Tasks[[#This Row],[_IsLeaf]]=1),"",IF(Tasks[[#This Row],[_AlapShift]]=0,Tasks[[#This Row],[_LeafCalcStart]],WORKDAY.INTL(Tasks[[#This Row],[_LeafCalcStart]],Tasks[[#This Row],[_AlapShift]],WorkWeek,Holidays)))</f>
        <v/>
      </c>
      <c r="DI145" s="115" t="str">
        <f aca="false">IF(NOT(Tasks[[#This Row],[_IsLeaf]]=1),"",IF(Tasks[[#This Row],[_AlapShift]]=0,Tasks[[#This Row],[_LeafCalcFinish]],WORKDAY.INTL(Tasks[[#This Row],[_LeafCalcFinish]],Tasks[[#This Row],[_AlapShift]],WorkWeek,Holidays)))</f>
        <v/>
      </c>
      <c r="DJ145" s="115" t="str">
        <f aca="false">IF(NOT(Tasks[[#This Row],[_IsLeaf]]=1),"",IF(Tasks[[#This Row],[_AlapShift]]=0,Tasks[[#This Row],[_LeafFcstStart]],WORKDAY.INTL(Tasks[[#This Row],[_LeafFcstStart]],Tasks[[#This Row],[_AlapShift]],WorkWeek,Holidays)))</f>
        <v/>
      </c>
      <c r="DK145" s="115" t="str">
        <f aca="false">IF(NOT(Tasks[[#This Row],[_IsLeaf]]=1),"",IF(Tasks[[#This Row],[_AlapShift]]=0,Tasks[[#This Row],[_LeafFcstFinish]],WORKDAY.INTL(Tasks[[#This Row],[_LeafFcstFinish]],Tasks[[#This Row],[_AlapShift]],WorkWeek,Holidays)))</f>
        <v/>
      </c>
      <c r="DL145" s="115" t="str">
        <f aca="false">IF(Tasks[[#This Row],[Task Name]]="","",IF(Tasks[[#This Row],[_IsSummary]],MIN(INDEX(Tasks[_ShownCalcStart],Tasks[[#This Row],[_Row]]+1):INDEX(Tasks[_ShownCalcStart],Tasks[[#This Row],[_Row]]+Tasks[[#This Row],[_Descendants]])),Tasks[[#This Row],[_ShownCalcStart]]))</f>
        <v/>
      </c>
      <c r="DM145" s="115" t="str">
        <f aca="false">IF(Tasks[[#This Row],[Task Name]]="","",IF(Tasks[[#This Row],[_IsSummary]],MAX(INDEX(Tasks[_ShownCalcFinish],Tasks[[#This Row],[_Row]]+1):INDEX(Tasks[_ShownCalcFinish],Tasks[[#This Row],[_Row]]+Tasks[[#This Row],[_Descendants]])),Tasks[[#This Row],[_ShownCalcFinish]]))</f>
        <v/>
      </c>
      <c r="DN14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5" s="38" t="n">
        <f aca="false">IF(AND(Tasks[[#This Row],[_IsLeaf]]=1,Tasks[[#This Row],[_LeafTotalWork]]&gt;0),NETWORKDAYS.INTL(ProjectStart,Tasks[[#This Row],[_ShownFcstStart]],WorkWeek,Holidays),0)</f>
        <v>0</v>
      </c>
      <c r="EA145" s="38" t="n">
        <f aca="false">IF(AND(Tasks[[#This Row],[_IsLeaf]]=1,Tasks[[#This Row],[_LeafTotalWork]]&gt;0),MAX(Tasks[[#This Row],[_StartWorkday]],NETWORKDAYS.INTL(ProjectStart,Tasks[[#This Row],[_ShownFcstFinish]],WorkWeek,Holidays)),0)</f>
        <v>0</v>
      </c>
      <c r="EB145" s="38" t="n">
        <f aca="false">IF(AND(Tasks[[#This Row],[_IsLeaf]]=1,Tasks[[#This Row],[_LeafTotalWork]]&gt;0),Tasks[[#This Row],[_LeafWork]]/(Tasks[[#This Row],[_FinishWorkday]]-Tasks[[#This Row],[_StartWorkday]]+1),0)</f>
        <v>0</v>
      </c>
      <c r="EC145" s="38" t="n">
        <f aca="false">Tasks[[#This Row],[_WorkPerWorkday]]*(Tasks[[#This Row],[_StartWorkday]]-1)</f>
        <v>-0</v>
      </c>
      <c r="ED145" s="38" t="n">
        <f aca="false">IF(Tasks[[#This Row],[_IsLeaf]]=1,MAX(N(Tasks[[#This Row],[Duration]]),0.1),0)</f>
        <v>0</v>
      </c>
      <c r="EE145" s="38" t="n">
        <f aca="false">Tasks[[#This Row],[_WeightDur]]*Tasks[[#This Row],[_LeafProgress]]</f>
        <v>0</v>
      </c>
      <c r="EF14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5" s="38" t="str">
        <f aca="false">IF(AND(Tasks[[#This Row],[_IsLeaf]]=1,N(Tasks[[#This Row],[Duration]])=0,Tasks[[#This Row],[_LeafProgress]]&lt;1),Tasks[[#This Row],[_ShownFcstFinish]]+Tasks[[#This Row],[_Row]]/100000,"")</f>
        <v/>
      </c>
      <c r="EH14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5" s="38" t="n">
        <f aca="false">IF(NOT(Tasks[[#This Row],[_IsLeaf]]=1),0,IF(Tasks[[#This Row],[Baseline Cost]]="",Tasks[[#This Row],[_LeafTotalCost]],N(Tasks[[#This Row],[Baseline Cost]])))</f>
        <v>0</v>
      </c>
      <c r="EJ145" s="38" t="n">
        <f aca="false">Tasks[[#This Row],[_LeafBudget]]*Tasks[[#This Row],[_PlannedPct]]</f>
        <v>0</v>
      </c>
      <c r="EK145" s="38" t="n">
        <f aca="false">Tasks[[#This Row],[_LeafBudget]]*Tasks[[#This Row],[_LeafProgress]]</f>
        <v>0</v>
      </c>
      <c r="EL145" s="38" t="n">
        <f aca="false">IF(NOT(Tasks[[#This Row],[_IsLeaf]]=1),0,IF(Tasks[[#This Row],[Actual Cost]]="",Tasks[[#This Row],[_LeafTotalCost]]*Tasks[[#This Row],[_LeafProgress]],N(Tasks[[#This Row],[Actual Cost]])))</f>
        <v>0</v>
      </c>
      <c r="EM145" s="38" t="str">
        <f aca="false">IF(Tasks[[#This Row],[Task Name]]="","",LEFT(Tasks[[#This Row],[WBS]],FIND(".",Tasks[[#This Row],[WBS]]&amp;".")-1))</f>
        <v/>
      </c>
      <c r="EN145" s="38" t="str">
        <f aca="false">IF(AND(Tasks[[#This Row],[Task Name]]&lt;&gt;"",Tasks[[#This Row],[_Level]]=1),Tasks[[#This Row],[_Row]],"")</f>
        <v/>
      </c>
      <c r="EO145" s="38" t="str">
        <f aca="false">IF(AND(Tasks[[#This Row],[_IsLeaf]]=1,N(Tasks[[#This Row],[Duration]])=0),Tasks[[#This Row],[Planned Finish]]+Tasks[[#This Row],[_Row]]/100000,"")</f>
        <v/>
      </c>
      <c r="EP145" s="38" t="str">
        <f aca="false">IF(AND(Tasks[[#This Row],[_IsLeaf]]=1,Tasks[[#This Row],[_LeafProgress]]&lt;1,OR(N(Tasks[[#This Row],[Finish Var]])&gt;0,Tasks[[#This Row],[Status]]="Late Start")),MAX(0,Tasks[[#This Row],[Finish Var]])+1-Tasks[[#This Row],[_Row]]/1000000,"")</f>
        <v/>
      </c>
      <c r="EQ145" s="38" t="str">
        <f aca="false">IF(AND(Tasks[[#This Row],[_IsLeaf]]=1,N(Tasks[[#This Row],[Actual Start]])=0,Tasks[[#This Row],[_ShownFcstStart]]&gt;=StatusDate,Tasks[[#This Row],[_ShownFcstStart]]&lt;=LookaheadEnd),Tasks[[#This Row],[_ShownFcstStart]]+Tasks[[#This Row],[_Row]]/100000,"")</f>
        <v/>
      </c>
      <c r="ER145" s="38" t="str">
        <f aca="false">IF(AND(Tasks[[#This Row],[_IsLeaf]]=1,Tasks[[#This Row],[_LeafProgress]]&lt;1,Tasks[[#This Row],[_ShownFcstFinish]]&gt;=StatusDate,Tasks[[#This Row],[_ShownFcstFinish]]&lt;=LookaheadEnd),Tasks[[#This Row],[_ShownFcstFinish]]+Tasks[[#This Row],[_Row]]/100000,"")</f>
        <v/>
      </c>
      <c r="ES145" s="38" t="str">
        <f aca="false">IF(Tasks[[#This Row],[_LeafCritical]],Tasks[[#This Row],[_ShownFcstStart]]+Tasks[[#This Row],[_Row]]/100000,"")</f>
        <v/>
      </c>
      <c r="ET145" s="38" t="n">
        <f aca="false">Tasks[[#This Row],[_LeafWork]]*Tasks[[#This Row],[_LeafProgress]]</f>
        <v>0</v>
      </c>
      <c r="EU145" s="115" t="str">
        <f aca="false">IF(AND(Tasks[[#This Row],[_IsLeaf]]=1,Tasks[[#This Row],[_LeafProgress]]&gt;=1),IF(N(Tasks[[#This Row],[Actual Finish]])&gt;0,Tasks[[#This Row],[Actual Finish]],Tasks[[#This Row],[_ShownFcstFinish]]),"")</f>
        <v/>
      </c>
      <c r="EV145" s="38" t="n">
        <f aca="false">IF(Tasks[[#This Row],[_IsLeaf]]=1,N(Tasks[[#This Row],[Story Points]]),0)</f>
        <v>0</v>
      </c>
      <c r="EW145" s="38" t="str">
        <f aca="false">IF(AND(Tasks[[#This Row],[_IsLeaf]]=1,CurrentSprint&lt;&gt;"",Tasks[[#This Row],[Sprint]]=CurrentSprint),Tasks[[#This Row],[_Row]],"")</f>
        <v/>
      </c>
    </row>
    <row r="146" customFormat="false" ht="15" hidden="false" customHeight="false" outlineLevel="0" collapsed="false">
      <c r="A146" s="51" t="str">
        <f aca="false">IF(Tasks[[#This Row],[Task Name]]="","",COUNTA(Tasks[[#Headers],[Task Name]]:Tasks[[#This Row],[Task Name]])-1)</f>
        <v/>
      </c>
      <c r="B146" s="52" t="n">
        <v>141</v>
      </c>
      <c r="C14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52"/>
      <c r="E146" s="53"/>
      <c r="F146" s="52"/>
      <c r="G146" s="52"/>
      <c r="H146" s="52"/>
      <c r="I146" s="52"/>
      <c r="J146" s="52"/>
      <c r="K146" s="52"/>
      <c r="L146" s="52"/>
      <c r="M146" s="52"/>
      <c r="N146" s="52"/>
      <c r="O146" s="52"/>
      <c r="P146" s="52"/>
      <c r="Q146" s="52"/>
      <c r="R146" s="52"/>
      <c r="S146" s="53"/>
      <c r="T146" s="102"/>
      <c r="U146" s="102"/>
      <c r="V146" s="7"/>
      <c r="W146" s="7"/>
      <c r="X146" s="53"/>
      <c r="Y146" s="31" t="str">
        <f aca="false">IF(Tasks[[#This Row],[Task Name]]="","",IF(Tasks[[#This Row],[_IsSummary]],MIN(INDEX(Tasks[_ShownFcstStart],Tasks[[#This Row],[_Row]]+1):INDEX(Tasks[_ShownFcstStart],Tasks[[#This Row],[_Row]]+Tasks[[#This Row],[_Descendants]])),Tasks[[#This Row],[_ShownFcstStart]]))</f>
        <v/>
      </c>
      <c r="Z146" s="31" t="str">
        <f aca="false">IF(Tasks[[#This Row],[Task Name]]="","",IF(Tasks[[#This Row],[_IsSummary]],MAX(INDEX(Tasks[_ShownFcstFinish],Tasks[[#This Row],[_Row]]+1):INDEX(Tasks[_ShownFcstFinish],Tasks[[#This Row],[_Row]]+Tasks[[#This Row],[_Descendants]])),Tasks[[#This Row],[_ShownFcstFinish]]))</f>
        <v/>
      </c>
      <c r="AA146" s="51" t="str">
        <f aca="false">IF(Tasks[[#This Row],[Task Name]]="","",IF(Tasks[[#This Row],[Progress]]&gt;=1,"Complete",IF(OR(N(Tasks[[#This Row],[Actual Start]])&gt;0,Tasks[[#This Row],[Progress]]&gt;0),IF(Tasks[[#This Row],[Finish Var]]&gt;0,"Behind","In Progress"),IF(Tasks[[#This Row],[Planned Start]]&lt;StatusDate,"Late Start","Not Started"))))</f>
        <v/>
      </c>
      <c r="AB146" s="51" t="str">
        <f aca="false">IF(Tasks[[#This Row],[Task Name]]="","",IF(IF(Tasks[[#This Row],[_IsSummary]],COUNTIF(INDEX(Tasks[_LeafCritical],Tasks[[#This Row],[_Row]]+1):INDEX(Tasks[_LeafCritical],Tasks[[#This Row],[_Row]]+Tasks[[#This Row],[_Descendants]]),TRUE())&gt;0,Tasks[[#This Row],[_LeafCritical]]),"Yes",""))</f>
        <v/>
      </c>
      <c r="AC14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6" s="51" t="str">
        <f aca="false">IF(Tasks[[#This Row],[Task Name]]="","",IF(Tasks[[#This Row],[_Level]]&lt;=OutlineShowLevel,"Yes","No"))</f>
        <v/>
      </c>
      <c r="AE146" s="7"/>
      <c r="AF146" s="52"/>
      <c r="AG146" s="53"/>
      <c r="AH146" s="7"/>
      <c r="AI14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6" s="31" t="str">
        <f aca="false">IF(Tasks[[#This Row],[Task Name]]="","",IF(N(Tasks[[#This Row],[Baseline Start]])&gt;0,Tasks[[#This Row],[Baseline Start]],Tasks[[#This Row],[_CalcStart]]))</f>
        <v/>
      </c>
      <c r="AK146" s="31" t="str">
        <f aca="false">IF(Tasks[[#This Row],[Task Name]]="","",IF(N(Tasks[[#This Row],[Baseline Finish]])&gt;0,Tasks[[#This Row],[Baseline Finish]],Tasks[[#This Row],[_CalcFinish]]))</f>
        <v/>
      </c>
      <c r="AL14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6" s="31" t="str">
        <f aca="false">IF(Tasks[[#This Row],[Task Name]]="","",IF(Tasks[[#This Row],[_IsSummary]],MIN(INDEX(Tasks[_LeafLateStart],Tasks[[#This Row],[_Row]]+1):INDEX(Tasks[_LeafLateStart],Tasks[[#This Row],[_Row]]+Tasks[[#This Row],[_Descendants]])),Tasks[[#This Row],[_LeafLateStart]]))</f>
        <v/>
      </c>
      <c r="AN146" s="31" t="str">
        <f aca="false">IF(Tasks[[#This Row],[Task Name]]="","",IF(Tasks[[#This Row],[_IsSummary]],MAX(INDEX(Tasks[_LeafLateFinish],Tasks[[#This Row],[_Row]]+1):INDEX(Tasks[_LeafLateFinish],Tasks[[#This Row],[_Row]]+Tasks[[#This Row],[_Descendants]])),Tasks[[#This Row],[_LeafLateFinish]]))</f>
        <v/>
      </c>
      <c r="AO146" s="51" t="str">
        <f aca="false">IF(Tasks[[#This Row],[Task Name]]="","",IF(Tasks[[#This Row],[_IsSummary]],MIN(INDEX(Tasks[_LeafTotalSlack],Tasks[[#This Row],[_Row]]+1):INDEX(Tasks[_LeafTotalSlack],Tasks[[#This Row],[_Row]]+Tasks[[#This Row],[_Descendants]])),Tasks[[#This Row],[_LeafTotalSlack]]))</f>
        <v/>
      </c>
      <c r="AP14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6" s="110" t="str">
        <f aca="false">IF(Tasks[[#This Row],[Task Name]]="","",IF(Tasks[[#This Row],[_IsSummary]],SUM(INDEX(Tasks[_LeafTotalWork],Tasks[[#This Row],[_Row]]+1):INDEX(Tasks[_LeafTotalWork],Tasks[[#This Row],[_Row]]+Tasks[[#This Row],[_Descendants]])),Tasks[[#This Row],[_LeafTotalWork]]))</f>
        <v/>
      </c>
      <c r="AV14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6" s="111" t="str">
        <f aca="false">IF(Tasks[[#This Row],[Task Name]]="","",IF(Tasks[[#This Row],[_IsSummary]],SUM(INDEX(Tasks[_LeafTotalCost],Tasks[[#This Row],[_Row]]+1):INDEX(Tasks[_LeafTotalCost],Tasks[[#This Row],[_Row]]+Tasks[[#This Row],[_Descendants]])),Tasks[[#This Row],[_LeafTotalCost]]))</f>
        <v/>
      </c>
      <c r="AY146" s="112"/>
      <c r="AZ14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6" s="52"/>
      <c r="BB146" s="98"/>
      <c r="BC146" s="51" t="str">
        <f aca="false">IF(OR(Tasks[[#This Row],[Task Name]]="",Tasks[[#This Row],[Baseline Duration]]=""),"",Tasks[[#This Row],[BL Source Duration]]-N(Tasks[[#This Row],[Baseline Duration]]))</f>
        <v/>
      </c>
      <c r="BD146" s="110" t="str">
        <f aca="false">IF(OR(Tasks[[#This Row],[Task Name]]="",Tasks[[#This Row],[Baseline Work]]=""),"",Tasks[[#This Row],[Work]]-N(Tasks[[#This Row],[Baseline Work]]))</f>
        <v/>
      </c>
      <c r="BE146" s="111" t="str">
        <f aca="false">IF(OR(Tasks[[#This Row],[Task Name]]="",Tasks[[#This Row],[Baseline Cost]]=""),"",Tasks[[#This Row],[Cost]]-N(Tasks[[#This Row],[Baseline Cost]]))</f>
        <v/>
      </c>
      <c r="BF146" s="31" t="str">
        <f aca="false">IF(Tasks[[#This Row],[Task Name]]="","",Tasks[[#This Row],[Forecast Start]])</f>
        <v/>
      </c>
      <c r="BG146" s="31" t="str">
        <f aca="false">IF(Tasks[[#This Row],[Task Name]]="","",Tasks[[#This Row],[Forecast Finish]])</f>
        <v/>
      </c>
      <c r="BH146" s="51" t="str">
        <f aca="false">IF(Tasks[[#This Row],[Task Name]]="","",IF(Tasks[[#This Row],[_IsSummary]],NETWORKDAYS.INTL(Tasks[[#This Row],[Forecast Start]],Tasks[[#This Row],[Forecast Finish]],WorkWeek,Holidays),N(Tasks[[#This Row],[Duration]])))</f>
        <v/>
      </c>
      <c r="BI146" s="110" t="str">
        <f aca="false">IF(Tasks[[#This Row],[Task Name]]="","",Tasks[[#This Row],[Work]])</f>
        <v/>
      </c>
      <c r="BJ146" s="111" t="str">
        <f aca="false">IF(Tasks[[#This Row],[Task Name]]="","",Tasks[[#This Row],[Cost]])</f>
        <v/>
      </c>
      <c r="BK146" s="7"/>
      <c r="BL146" s="7"/>
      <c r="BM146" s="52"/>
      <c r="BN146" s="113"/>
      <c r="BO146" s="112"/>
      <c r="BP146" s="111" t="str">
        <f aca="false">IF(Tasks[[#This Row],[Task Name]]="","",IF(Tasks[[#This Row],[_IsSummary]],SUM(INDEX(Tasks[_LeafEV],Tasks[[#This Row],[_Row]]+1):INDEX(Tasks[_LeafEV],Tasks[[#This Row],[_Row]]+Tasks[[#This Row],[_Descendants]])),Tasks[[#This Row],[_LeafEV]]))</f>
        <v/>
      </c>
      <c r="BQ146" s="111" t="str">
        <f aca="false">IF(Tasks[[#This Row],[Task Name]]="","",IF(Tasks[[#This Row],[_IsSummary]],SUM(INDEX(Tasks[_LeafBudget],Tasks[[#This Row],[_Row]]+1):INDEX(Tasks[_LeafBudget],Tasks[[#This Row],[_Row]]+Tasks[[#This Row],[_Descendants]])),Tasks[[#This Row],[_LeafBudget]]))</f>
        <v/>
      </c>
      <c r="BR146" s="111" t="str">
        <f aca="false">IF(Tasks[[#This Row],[Task Name]]="","",IF(Tasks[[#This Row],[_IsSummary]],SUM(INDEX(Tasks[_LeafPV],Tasks[[#This Row],[_Row]]+1):INDEX(Tasks[_LeafPV],Tasks[[#This Row],[_Row]]+Tasks[[#This Row],[_Descendants]])),Tasks[[#This Row],[_LeafPV]]))</f>
        <v/>
      </c>
      <c r="BS146" s="111" t="str">
        <f aca="false">IF(Tasks[[#This Row],[Task Name]]="","",IF(Tasks[[#This Row],[_IsSummary]],SUM(INDEX(Tasks[_LeafAC],Tasks[[#This Row],[_Row]]+1):INDEX(Tasks[_LeafAC],Tasks[[#This Row],[_Row]]+Tasks[[#This Row],[_Descendants]])),Tasks[[#This Row],[_LeafAC]]))</f>
        <v/>
      </c>
      <c r="BT146" s="38" t="str">
        <f aca="false">IF(Tasks[[#This Row],[Task Name]]="","",MAX(1,N(Tasks[[#This Row],[Level]])))</f>
        <v/>
      </c>
      <c r="BU146" s="38" t="n">
        <f aca="false">ROW()-ROW(Tasks[[#Headers],[ID]])</f>
        <v>141</v>
      </c>
      <c r="BV146" s="38" t="n">
        <f aca="false">IF(OR(Tasks[[#This Row],[Task Name]]="",Tasks[[#This Row],[_Level]]&lt;=1),0,IFERROR(LOOKUP(2,1/(Tasks[[#Headers],[_Level]]:Tasks[[#This Row],[_Level]]=Tasks[[#This Row],[_Level]]-1),ROW(Tasks[[#Headers],[_Level]]:Tasks[[#This Row],[_Level]])),0))</f>
        <v>0</v>
      </c>
      <c r="BW146" s="38" t="n">
        <f aca="false">IFERROR(N(INDEX(Tasks[_Level],Tasks[[#This Row],[_Row]]+1)),0)</f>
        <v>0</v>
      </c>
      <c r="BX146" s="114" t="b">
        <f aca="false">AND(Tasks[[#This Row],[Task Name]]&lt;&gt;"",Tasks[[#This Row],[_NextLevel]]&gt;Tasks[[#This Row],[_Level]])</f>
        <v>0</v>
      </c>
      <c r="BY146" s="38" t="n">
        <f aca="false">IF(Tasks[[#This Row],[_IsSummary]],COUNTIF(Tasks[WBS],Tasks[[#This Row],[WBS]]&amp;".*"),0)</f>
        <v>0</v>
      </c>
      <c r="BZ146" s="38" t="n">
        <f aca="false">IF(AND(Tasks[[#This Row],[Task Name]]&lt;&gt;"",NOT(Tasks[[#This Row],[_IsSummary]])),1,0)</f>
        <v>0</v>
      </c>
      <c r="CA146" s="38" t="n">
        <f aca="false">IF(N(Tasks[[#This Row],[Pred1 UID]])=0,0,IFERROR(MATCH(Tasks[[#This Row],[Pred1 UID]],Tasks[UID],0),-1))</f>
        <v>0</v>
      </c>
      <c r="CB146" s="38" t="n">
        <f aca="false">IF(N(Tasks[[#This Row],[Pred2 UID]])=0,0,IFERROR(MATCH(Tasks[[#This Row],[Pred2 UID]],Tasks[UID],0),-1))</f>
        <v>0</v>
      </c>
      <c r="CC146" s="38" t="n">
        <f aca="false">IF(N(Tasks[[#This Row],[Pred3 UID]])=0,0,IFERROR(MATCH(Tasks[[#This Row],[Pred3 UID]],Tasks[UID],0),-1))</f>
        <v>0</v>
      </c>
      <c r="CD146" s="38" t="n">
        <f aca="false">IF(N(Tasks[[#This Row],[Pred4 UID]])=0,0,IFERROR(MATCH(Tasks[[#This Row],[Pred4 UID]],Tasks[UID],0),-1))</f>
        <v>0</v>
      </c>
      <c r="CE14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6" s="115" t="n">
        <f aca="false">IF(OR(Tasks[[#This Row],[_ConstraintCode]]=2,Tasks[[#This Row],[_ConstraintCode]]=3,Tasks[[#This Row],[_ConstraintCode]]=4,Tasks[[#This Row],[_ConstraintCode]]=6),Tasks[[#This Row],[_ConstraintStart]],0)</f>
        <v>0</v>
      </c>
      <c r="CH146" s="115" t="n">
        <f aca="false">IF(OR(Tasks[[#This Row],[_ConstraintCode]]=2,Tasks[[#This Row],[_ConstraintCode]]=3,Tasks[[#This Row],[_ConstraintCode]]=5,Tasks[[#This Row],[_ConstraintCode]]=7),Tasks[[#This Row],[_ConstraintStart]],2958465)</f>
        <v>2958465</v>
      </c>
      <c r="CI14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6" s="115" t="str">
        <f aca="false">IF(NOT(Tasks[[#This Row],[_IsLeaf]]=1),"",IF(N(Tasks[[#This Row],[Duration]])&lt;=0,Tasks[[#This Row],[_LeafCalcStart]],WORKDAY.INTL(Tasks[[#This Row],[_LeafCalcStart]],Tasks[[#This Row],[Duration]]-1,WorkWeek,Holidays)))</f>
        <v/>
      </c>
      <c r="CK14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6" s="38" t="n">
        <f aca="false">IF(NOT(Tasks[[#This Row],[_IsLeaf]]=1),0,IF(N(Tasks[[#This Row],[Actual Finish]])&gt;0,1,MIN(1,N(Tasks[[#This Row],[% Complete]]))))</f>
        <v>0</v>
      </c>
      <c r="CN146" s="38" t="n">
        <f aca="false">IF(OR(NOT(Tasks[[#This Row],[_IsLeaf]]=1),Tasks[[#This Row],[Resource]]=""),0,N(Tasks[[#This Row],[Duration]])*HoursPerDay*IF(Tasks[[#This Row],[Units]]="",DefaultUnits,Tasks[[#This Row],[Units]]))</f>
        <v>0</v>
      </c>
      <c r="CO146" s="38" t="n">
        <f aca="false">IF(Tasks[[#This Row],[_LeafWork]]=0,0,Tasks[[#This Row],[_LeafWork]]*IFERROR(INDEX(res_Rate,MATCH(Tasks[[#This Row],[Resource]],res_Name,0)),0))</f>
        <v>0</v>
      </c>
      <c r="CP146" s="38" t="n">
        <f aca="false">Tasks[[#This Row],[_LeafWork]]+IF(Tasks[[#This Row],[_IsLeaf]]=1,SUMIFS(asg_Work,asg_TaskUID,Tasks[[#This Row],[UID]],asg_Valid,1),0)</f>
        <v>0</v>
      </c>
      <c r="CQ146" s="38" t="n">
        <f aca="false">Tasks[[#This Row],[_LeafCost]]+IF(Tasks[[#This Row],[_IsLeaf]]=1,SUMIFS(asg_Cost,asg_TaskUID,Tasks[[#This Row],[UID]],asg_Valid,1),0)</f>
        <v>0</v>
      </c>
      <c r="CR146" s="38" t="n">
        <f aca="false">IF(Tasks[[#This Row],[_LeafTotalCost]]=0,Tasks[[#This Row],[_LeafAC]],Tasks[[#This Row],[_LeafAC]]*Tasks[[#This Row],[_LeafCost]]/Tasks[[#This Row],[_LeafTotalCost]])</f>
        <v>0</v>
      </c>
      <c r="CS14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6" s="38" t="n">
        <f aca="false">IF(NOT(Tasks[[#This Row],[_IsLeaf]]=1),0,MAX(_xlfn.MAXIFS(Tasks[_Row],Tasks[Pred1 UID],Tasks[[#This Row],[UID]]),_xlfn.MAXIFS(Tasks[_Row],Tasks[Pred2 UID],Tasks[[#This Row],[UID]]),_xlfn.MAXIFS(Tasks[_Row],Tasks[Pred3 UID],Tasks[[#This Row],[UID]]),_xlfn.MAXIFS(Tasks[_Row],Tasks[Pred4 UID],Tasks[[#This Row],[UID]])))</f>
        <v>0</v>
      </c>
      <c r="DB14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6" s="115" t="str">
        <f aca="false">IF(NOT(Tasks[[#This Row],[_IsLeaf]]=1),"",IF(N(Tasks[[#This Row],[Duration]])&lt;=0,Tasks[[#This Row],[_LeafLateFinish]],WORKDAY.INTL(Tasks[[#This Row],[_LeafLateFinish]],-(Tasks[[#This Row],[Duration]]-1),WorkWeek,Holidays)))</f>
        <v/>
      </c>
      <c r="DE14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6" s="114" t="b">
        <f aca="false">AND(Tasks[[#This Row],[_IsLeaf]]=1,Tasks[[#This Row],[_LeafProgress]]&lt;1,N(Tasks[[#This Row],[_LeafTotalSlack]])&lt;=CriticalSlackDays)</f>
        <v>0</v>
      </c>
      <c r="DG146" s="38" t="n">
        <f aca="false">IF(AND(Tasks[[#This Row],[_IsLeaf]]=1,Tasks[[#This Row],[_ConstraintCode]]=1,Tasks[[#This Row],[Mode]]&lt;&gt;"Manual",N(Tasks[[#This Row],[Actual Start]])=0),MAX(0,N(Tasks[[#This Row],[Free Slack]])),0)</f>
        <v>0</v>
      </c>
      <c r="DH146" s="115" t="str">
        <f aca="false">IF(NOT(Tasks[[#This Row],[_IsLeaf]]=1),"",IF(Tasks[[#This Row],[_AlapShift]]=0,Tasks[[#This Row],[_LeafCalcStart]],WORKDAY.INTL(Tasks[[#This Row],[_LeafCalcStart]],Tasks[[#This Row],[_AlapShift]],WorkWeek,Holidays)))</f>
        <v/>
      </c>
      <c r="DI146" s="115" t="str">
        <f aca="false">IF(NOT(Tasks[[#This Row],[_IsLeaf]]=1),"",IF(Tasks[[#This Row],[_AlapShift]]=0,Tasks[[#This Row],[_LeafCalcFinish]],WORKDAY.INTL(Tasks[[#This Row],[_LeafCalcFinish]],Tasks[[#This Row],[_AlapShift]],WorkWeek,Holidays)))</f>
        <v/>
      </c>
      <c r="DJ146" s="115" t="str">
        <f aca="false">IF(NOT(Tasks[[#This Row],[_IsLeaf]]=1),"",IF(Tasks[[#This Row],[_AlapShift]]=0,Tasks[[#This Row],[_LeafFcstStart]],WORKDAY.INTL(Tasks[[#This Row],[_LeafFcstStart]],Tasks[[#This Row],[_AlapShift]],WorkWeek,Holidays)))</f>
        <v/>
      </c>
      <c r="DK146" s="115" t="str">
        <f aca="false">IF(NOT(Tasks[[#This Row],[_IsLeaf]]=1),"",IF(Tasks[[#This Row],[_AlapShift]]=0,Tasks[[#This Row],[_LeafFcstFinish]],WORKDAY.INTL(Tasks[[#This Row],[_LeafFcstFinish]],Tasks[[#This Row],[_AlapShift]],WorkWeek,Holidays)))</f>
        <v/>
      </c>
      <c r="DL146" s="115" t="str">
        <f aca="false">IF(Tasks[[#This Row],[Task Name]]="","",IF(Tasks[[#This Row],[_IsSummary]],MIN(INDEX(Tasks[_ShownCalcStart],Tasks[[#This Row],[_Row]]+1):INDEX(Tasks[_ShownCalcStart],Tasks[[#This Row],[_Row]]+Tasks[[#This Row],[_Descendants]])),Tasks[[#This Row],[_ShownCalcStart]]))</f>
        <v/>
      </c>
      <c r="DM146" s="115" t="str">
        <f aca="false">IF(Tasks[[#This Row],[Task Name]]="","",IF(Tasks[[#This Row],[_IsSummary]],MAX(INDEX(Tasks[_ShownCalcFinish],Tasks[[#This Row],[_Row]]+1):INDEX(Tasks[_ShownCalcFinish],Tasks[[#This Row],[_Row]]+Tasks[[#This Row],[_Descendants]])),Tasks[[#This Row],[_ShownCalcFinish]]))</f>
        <v/>
      </c>
      <c r="DN14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6" s="38" t="n">
        <f aca="false">IF(AND(Tasks[[#This Row],[_IsLeaf]]=1,Tasks[[#This Row],[_LeafTotalWork]]&gt;0),NETWORKDAYS.INTL(ProjectStart,Tasks[[#This Row],[_ShownFcstStart]],WorkWeek,Holidays),0)</f>
        <v>0</v>
      </c>
      <c r="EA146" s="38" t="n">
        <f aca="false">IF(AND(Tasks[[#This Row],[_IsLeaf]]=1,Tasks[[#This Row],[_LeafTotalWork]]&gt;0),MAX(Tasks[[#This Row],[_StartWorkday]],NETWORKDAYS.INTL(ProjectStart,Tasks[[#This Row],[_ShownFcstFinish]],WorkWeek,Holidays)),0)</f>
        <v>0</v>
      </c>
      <c r="EB146" s="38" t="n">
        <f aca="false">IF(AND(Tasks[[#This Row],[_IsLeaf]]=1,Tasks[[#This Row],[_LeafTotalWork]]&gt;0),Tasks[[#This Row],[_LeafWork]]/(Tasks[[#This Row],[_FinishWorkday]]-Tasks[[#This Row],[_StartWorkday]]+1),0)</f>
        <v>0</v>
      </c>
      <c r="EC146" s="38" t="n">
        <f aca="false">Tasks[[#This Row],[_WorkPerWorkday]]*(Tasks[[#This Row],[_StartWorkday]]-1)</f>
        <v>-0</v>
      </c>
      <c r="ED146" s="38" t="n">
        <f aca="false">IF(Tasks[[#This Row],[_IsLeaf]]=1,MAX(N(Tasks[[#This Row],[Duration]]),0.1),0)</f>
        <v>0</v>
      </c>
      <c r="EE146" s="38" t="n">
        <f aca="false">Tasks[[#This Row],[_WeightDur]]*Tasks[[#This Row],[_LeafProgress]]</f>
        <v>0</v>
      </c>
      <c r="EF14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6" s="38" t="str">
        <f aca="false">IF(AND(Tasks[[#This Row],[_IsLeaf]]=1,N(Tasks[[#This Row],[Duration]])=0,Tasks[[#This Row],[_LeafProgress]]&lt;1),Tasks[[#This Row],[_ShownFcstFinish]]+Tasks[[#This Row],[_Row]]/100000,"")</f>
        <v/>
      </c>
      <c r="EH14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6" s="38" t="n">
        <f aca="false">IF(NOT(Tasks[[#This Row],[_IsLeaf]]=1),0,IF(Tasks[[#This Row],[Baseline Cost]]="",Tasks[[#This Row],[_LeafTotalCost]],N(Tasks[[#This Row],[Baseline Cost]])))</f>
        <v>0</v>
      </c>
      <c r="EJ146" s="38" t="n">
        <f aca="false">Tasks[[#This Row],[_LeafBudget]]*Tasks[[#This Row],[_PlannedPct]]</f>
        <v>0</v>
      </c>
      <c r="EK146" s="38" t="n">
        <f aca="false">Tasks[[#This Row],[_LeafBudget]]*Tasks[[#This Row],[_LeafProgress]]</f>
        <v>0</v>
      </c>
      <c r="EL146" s="38" t="n">
        <f aca="false">IF(NOT(Tasks[[#This Row],[_IsLeaf]]=1),0,IF(Tasks[[#This Row],[Actual Cost]]="",Tasks[[#This Row],[_LeafTotalCost]]*Tasks[[#This Row],[_LeafProgress]],N(Tasks[[#This Row],[Actual Cost]])))</f>
        <v>0</v>
      </c>
      <c r="EM146" s="38" t="str">
        <f aca="false">IF(Tasks[[#This Row],[Task Name]]="","",LEFT(Tasks[[#This Row],[WBS]],FIND(".",Tasks[[#This Row],[WBS]]&amp;".")-1))</f>
        <v/>
      </c>
      <c r="EN146" s="38" t="str">
        <f aca="false">IF(AND(Tasks[[#This Row],[Task Name]]&lt;&gt;"",Tasks[[#This Row],[_Level]]=1),Tasks[[#This Row],[_Row]],"")</f>
        <v/>
      </c>
      <c r="EO146" s="38" t="str">
        <f aca="false">IF(AND(Tasks[[#This Row],[_IsLeaf]]=1,N(Tasks[[#This Row],[Duration]])=0),Tasks[[#This Row],[Planned Finish]]+Tasks[[#This Row],[_Row]]/100000,"")</f>
        <v/>
      </c>
      <c r="EP146" s="38" t="str">
        <f aca="false">IF(AND(Tasks[[#This Row],[_IsLeaf]]=1,Tasks[[#This Row],[_LeafProgress]]&lt;1,OR(N(Tasks[[#This Row],[Finish Var]])&gt;0,Tasks[[#This Row],[Status]]="Late Start")),MAX(0,Tasks[[#This Row],[Finish Var]])+1-Tasks[[#This Row],[_Row]]/1000000,"")</f>
        <v/>
      </c>
      <c r="EQ146" s="38" t="str">
        <f aca="false">IF(AND(Tasks[[#This Row],[_IsLeaf]]=1,N(Tasks[[#This Row],[Actual Start]])=0,Tasks[[#This Row],[_ShownFcstStart]]&gt;=StatusDate,Tasks[[#This Row],[_ShownFcstStart]]&lt;=LookaheadEnd),Tasks[[#This Row],[_ShownFcstStart]]+Tasks[[#This Row],[_Row]]/100000,"")</f>
        <v/>
      </c>
      <c r="ER146" s="38" t="str">
        <f aca="false">IF(AND(Tasks[[#This Row],[_IsLeaf]]=1,Tasks[[#This Row],[_LeafProgress]]&lt;1,Tasks[[#This Row],[_ShownFcstFinish]]&gt;=StatusDate,Tasks[[#This Row],[_ShownFcstFinish]]&lt;=LookaheadEnd),Tasks[[#This Row],[_ShownFcstFinish]]+Tasks[[#This Row],[_Row]]/100000,"")</f>
        <v/>
      </c>
      <c r="ES146" s="38" t="str">
        <f aca="false">IF(Tasks[[#This Row],[_LeafCritical]],Tasks[[#This Row],[_ShownFcstStart]]+Tasks[[#This Row],[_Row]]/100000,"")</f>
        <v/>
      </c>
      <c r="ET146" s="38" t="n">
        <f aca="false">Tasks[[#This Row],[_LeafWork]]*Tasks[[#This Row],[_LeafProgress]]</f>
        <v>0</v>
      </c>
      <c r="EU146" s="115" t="str">
        <f aca="false">IF(AND(Tasks[[#This Row],[_IsLeaf]]=1,Tasks[[#This Row],[_LeafProgress]]&gt;=1),IF(N(Tasks[[#This Row],[Actual Finish]])&gt;0,Tasks[[#This Row],[Actual Finish]],Tasks[[#This Row],[_ShownFcstFinish]]),"")</f>
        <v/>
      </c>
      <c r="EV146" s="38" t="n">
        <f aca="false">IF(Tasks[[#This Row],[_IsLeaf]]=1,N(Tasks[[#This Row],[Story Points]]),0)</f>
        <v>0</v>
      </c>
      <c r="EW146" s="38" t="str">
        <f aca="false">IF(AND(Tasks[[#This Row],[_IsLeaf]]=1,CurrentSprint&lt;&gt;"",Tasks[[#This Row],[Sprint]]=CurrentSprint),Tasks[[#This Row],[_Row]],"")</f>
        <v/>
      </c>
    </row>
    <row r="147" customFormat="false" ht="15" hidden="false" customHeight="false" outlineLevel="0" collapsed="false">
      <c r="A147" s="51" t="str">
        <f aca="false">IF(Tasks[[#This Row],[Task Name]]="","",COUNTA(Tasks[[#Headers],[Task Name]]:Tasks[[#This Row],[Task Name]])-1)</f>
        <v/>
      </c>
      <c r="B147" s="52" t="n">
        <v>142</v>
      </c>
      <c r="C14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52"/>
      <c r="E147" s="53"/>
      <c r="F147" s="52"/>
      <c r="G147" s="52"/>
      <c r="H147" s="52"/>
      <c r="I147" s="52"/>
      <c r="J147" s="52"/>
      <c r="K147" s="52"/>
      <c r="L147" s="52"/>
      <c r="M147" s="52"/>
      <c r="N147" s="52"/>
      <c r="O147" s="52"/>
      <c r="P147" s="52"/>
      <c r="Q147" s="52"/>
      <c r="R147" s="52"/>
      <c r="S147" s="53"/>
      <c r="T147" s="102"/>
      <c r="U147" s="102"/>
      <c r="V147" s="7"/>
      <c r="W147" s="7"/>
      <c r="X147" s="53"/>
      <c r="Y147" s="31" t="str">
        <f aca="false">IF(Tasks[[#This Row],[Task Name]]="","",IF(Tasks[[#This Row],[_IsSummary]],MIN(INDEX(Tasks[_ShownFcstStart],Tasks[[#This Row],[_Row]]+1):INDEX(Tasks[_ShownFcstStart],Tasks[[#This Row],[_Row]]+Tasks[[#This Row],[_Descendants]])),Tasks[[#This Row],[_ShownFcstStart]]))</f>
        <v/>
      </c>
      <c r="Z147" s="31" t="str">
        <f aca="false">IF(Tasks[[#This Row],[Task Name]]="","",IF(Tasks[[#This Row],[_IsSummary]],MAX(INDEX(Tasks[_ShownFcstFinish],Tasks[[#This Row],[_Row]]+1):INDEX(Tasks[_ShownFcstFinish],Tasks[[#This Row],[_Row]]+Tasks[[#This Row],[_Descendants]])),Tasks[[#This Row],[_ShownFcstFinish]]))</f>
        <v/>
      </c>
      <c r="AA147" s="51" t="str">
        <f aca="false">IF(Tasks[[#This Row],[Task Name]]="","",IF(Tasks[[#This Row],[Progress]]&gt;=1,"Complete",IF(OR(N(Tasks[[#This Row],[Actual Start]])&gt;0,Tasks[[#This Row],[Progress]]&gt;0),IF(Tasks[[#This Row],[Finish Var]]&gt;0,"Behind","In Progress"),IF(Tasks[[#This Row],[Planned Start]]&lt;StatusDate,"Late Start","Not Started"))))</f>
        <v/>
      </c>
      <c r="AB147" s="51" t="str">
        <f aca="false">IF(Tasks[[#This Row],[Task Name]]="","",IF(IF(Tasks[[#This Row],[_IsSummary]],COUNTIF(INDEX(Tasks[_LeafCritical],Tasks[[#This Row],[_Row]]+1):INDEX(Tasks[_LeafCritical],Tasks[[#This Row],[_Row]]+Tasks[[#This Row],[_Descendants]]),TRUE())&gt;0,Tasks[[#This Row],[_LeafCritical]]),"Yes",""))</f>
        <v/>
      </c>
      <c r="AC14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7" s="51" t="str">
        <f aca="false">IF(Tasks[[#This Row],[Task Name]]="","",IF(Tasks[[#This Row],[_Level]]&lt;=OutlineShowLevel,"Yes","No"))</f>
        <v/>
      </c>
      <c r="AE147" s="7"/>
      <c r="AF147" s="52"/>
      <c r="AG147" s="53"/>
      <c r="AH147" s="7"/>
      <c r="AI14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7" s="31" t="str">
        <f aca="false">IF(Tasks[[#This Row],[Task Name]]="","",IF(N(Tasks[[#This Row],[Baseline Start]])&gt;0,Tasks[[#This Row],[Baseline Start]],Tasks[[#This Row],[_CalcStart]]))</f>
        <v/>
      </c>
      <c r="AK147" s="31" t="str">
        <f aca="false">IF(Tasks[[#This Row],[Task Name]]="","",IF(N(Tasks[[#This Row],[Baseline Finish]])&gt;0,Tasks[[#This Row],[Baseline Finish]],Tasks[[#This Row],[_CalcFinish]]))</f>
        <v/>
      </c>
      <c r="AL14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7" s="31" t="str">
        <f aca="false">IF(Tasks[[#This Row],[Task Name]]="","",IF(Tasks[[#This Row],[_IsSummary]],MIN(INDEX(Tasks[_LeafLateStart],Tasks[[#This Row],[_Row]]+1):INDEX(Tasks[_LeafLateStart],Tasks[[#This Row],[_Row]]+Tasks[[#This Row],[_Descendants]])),Tasks[[#This Row],[_LeafLateStart]]))</f>
        <v/>
      </c>
      <c r="AN147" s="31" t="str">
        <f aca="false">IF(Tasks[[#This Row],[Task Name]]="","",IF(Tasks[[#This Row],[_IsSummary]],MAX(INDEX(Tasks[_LeafLateFinish],Tasks[[#This Row],[_Row]]+1):INDEX(Tasks[_LeafLateFinish],Tasks[[#This Row],[_Row]]+Tasks[[#This Row],[_Descendants]])),Tasks[[#This Row],[_LeafLateFinish]]))</f>
        <v/>
      </c>
      <c r="AO147" s="51" t="str">
        <f aca="false">IF(Tasks[[#This Row],[Task Name]]="","",IF(Tasks[[#This Row],[_IsSummary]],MIN(INDEX(Tasks[_LeafTotalSlack],Tasks[[#This Row],[_Row]]+1):INDEX(Tasks[_LeafTotalSlack],Tasks[[#This Row],[_Row]]+Tasks[[#This Row],[_Descendants]])),Tasks[[#This Row],[_LeafTotalSlack]]))</f>
        <v/>
      </c>
      <c r="AP14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7" s="110" t="str">
        <f aca="false">IF(Tasks[[#This Row],[Task Name]]="","",IF(Tasks[[#This Row],[_IsSummary]],SUM(INDEX(Tasks[_LeafTotalWork],Tasks[[#This Row],[_Row]]+1):INDEX(Tasks[_LeafTotalWork],Tasks[[#This Row],[_Row]]+Tasks[[#This Row],[_Descendants]])),Tasks[[#This Row],[_LeafTotalWork]]))</f>
        <v/>
      </c>
      <c r="AV14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7" s="111" t="str">
        <f aca="false">IF(Tasks[[#This Row],[Task Name]]="","",IF(Tasks[[#This Row],[_IsSummary]],SUM(INDEX(Tasks[_LeafTotalCost],Tasks[[#This Row],[_Row]]+1):INDEX(Tasks[_LeafTotalCost],Tasks[[#This Row],[_Row]]+Tasks[[#This Row],[_Descendants]])),Tasks[[#This Row],[_LeafTotalCost]]))</f>
        <v/>
      </c>
      <c r="AY147" s="112"/>
      <c r="AZ14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7" s="52"/>
      <c r="BB147" s="98"/>
      <c r="BC147" s="51" t="str">
        <f aca="false">IF(OR(Tasks[[#This Row],[Task Name]]="",Tasks[[#This Row],[Baseline Duration]]=""),"",Tasks[[#This Row],[BL Source Duration]]-N(Tasks[[#This Row],[Baseline Duration]]))</f>
        <v/>
      </c>
      <c r="BD147" s="110" t="str">
        <f aca="false">IF(OR(Tasks[[#This Row],[Task Name]]="",Tasks[[#This Row],[Baseline Work]]=""),"",Tasks[[#This Row],[Work]]-N(Tasks[[#This Row],[Baseline Work]]))</f>
        <v/>
      </c>
      <c r="BE147" s="111" t="str">
        <f aca="false">IF(OR(Tasks[[#This Row],[Task Name]]="",Tasks[[#This Row],[Baseline Cost]]=""),"",Tasks[[#This Row],[Cost]]-N(Tasks[[#This Row],[Baseline Cost]]))</f>
        <v/>
      </c>
      <c r="BF147" s="31" t="str">
        <f aca="false">IF(Tasks[[#This Row],[Task Name]]="","",Tasks[[#This Row],[Forecast Start]])</f>
        <v/>
      </c>
      <c r="BG147" s="31" t="str">
        <f aca="false">IF(Tasks[[#This Row],[Task Name]]="","",Tasks[[#This Row],[Forecast Finish]])</f>
        <v/>
      </c>
      <c r="BH147" s="51" t="str">
        <f aca="false">IF(Tasks[[#This Row],[Task Name]]="","",IF(Tasks[[#This Row],[_IsSummary]],NETWORKDAYS.INTL(Tasks[[#This Row],[Forecast Start]],Tasks[[#This Row],[Forecast Finish]],WorkWeek,Holidays),N(Tasks[[#This Row],[Duration]])))</f>
        <v/>
      </c>
      <c r="BI147" s="110" t="str">
        <f aca="false">IF(Tasks[[#This Row],[Task Name]]="","",Tasks[[#This Row],[Work]])</f>
        <v/>
      </c>
      <c r="BJ147" s="111" t="str">
        <f aca="false">IF(Tasks[[#This Row],[Task Name]]="","",Tasks[[#This Row],[Cost]])</f>
        <v/>
      </c>
      <c r="BK147" s="7"/>
      <c r="BL147" s="7"/>
      <c r="BM147" s="52"/>
      <c r="BN147" s="113"/>
      <c r="BO147" s="112"/>
      <c r="BP147" s="111" t="str">
        <f aca="false">IF(Tasks[[#This Row],[Task Name]]="","",IF(Tasks[[#This Row],[_IsSummary]],SUM(INDEX(Tasks[_LeafEV],Tasks[[#This Row],[_Row]]+1):INDEX(Tasks[_LeafEV],Tasks[[#This Row],[_Row]]+Tasks[[#This Row],[_Descendants]])),Tasks[[#This Row],[_LeafEV]]))</f>
        <v/>
      </c>
      <c r="BQ147" s="111" t="str">
        <f aca="false">IF(Tasks[[#This Row],[Task Name]]="","",IF(Tasks[[#This Row],[_IsSummary]],SUM(INDEX(Tasks[_LeafBudget],Tasks[[#This Row],[_Row]]+1):INDEX(Tasks[_LeafBudget],Tasks[[#This Row],[_Row]]+Tasks[[#This Row],[_Descendants]])),Tasks[[#This Row],[_LeafBudget]]))</f>
        <v/>
      </c>
      <c r="BR147" s="111" t="str">
        <f aca="false">IF(Tasks[[#This Row],[Task Name]]="","",IF(Tasks[[#This Row],[_IsSummary]],SUM(INDEX(Tasks[_LeafPV],Tasks[[#This Row],[_Row]]+1):INDEX(Tasks[_LeafPV],Tasks[[#This Row],[_Row]]+Tasks[[#This Row],[_Descendants]])),Tasks[[#This Row],[_LeafPV]]))</f>
        <v/>
      </c>
      <c r="BS147" s="111" t="str">
        <f aca="false">IF(Tasks[[#This Row],[Task Name]]="","",IF(Tasks[[#This Row],[_IsSummary]],SUM(INDEX(Tasks[_LeafAC],Tasks[[#This Row],[_Row]]+1):INDEX(Tasks[_LeafAC],Tasks[[#This Row],[_Row]]+Tasks[[#This Row],[_Descendants]])),Tasks[[#This Row],[_LeafAC]]))</f>
        <v/>
      </c>
      <c r="BT147" s="38" t="str">
        <f aca="false">IF(Tasks[[#This Row],[Task Name]]="","",MAX(1,N(Tasks[[#This Row],[Level]])))</f>
        <v/>
      </c>
      <c r="BU147" s="38" t="n">
        <f aca="false">ROW()-ROW(Tasks[[#Headers],[ID]])</f>
        <v>142</v>
      </c>
      <c r="BV147" s="38" t="n">
        <f aca="false">IF(OR(Tasks[[#This Row],[Task Name]]="",Tasks[[#This Row],[_Level]]&lt;=1),0,IFERROR(LOOKUP(2,1/(Tasks[[#Headers],[_Level]]:Tasks[[#This Row],[_Level]]=Tasks[[#This Row],[_Level]]-1),ROW(Tasks[[#Headers],[_Level]]:Tasks[[#This Row],[_Level]])),0))</f>
        <v>0</v>
      </c>
      <c r="BW147" s="38" t="n">
        <f aca="false">IFERROR(N(INDEX(Tasks[_Level],Tasks[[#This Row],[_Row]]+1)),0)</f>
        <v>0</v>
      </c>
      <c r="BX147" s="114" t="b">
        <f aca="false">AND(Tasks[[#This Row],[Task Name]]&lt;&gt;"",Tasks[[#This Row],[_NextLevel]]&gt;Tasks[[#This Row],[_Level]])</f>
        <v>0</v>
      </c>
      <c r="BY147" s="38" t="n">
        <f aca="false">IF(Tasks[[#This Row],[_IsSummary]],COUNTIF(Tasks[WBS],Tasks[[#This Row],[WBS]]&amp;".*"),0)</f>
        <v>0</v>
      </c>
      <c r="BZ147" s="38" t="n">
        <f aca="false">IF(AND(Tasks[[#This Row],[Task Name]]&lt;&gt;"",NOT(Tasks[[#This Row],[_IsSummary]])),1,0)</f>
        <v>0</v>
      </c>
      <c r="CA147" s="38" t="n">
        <f aca="false">IF(N(Tasks[[#This Row],[Pred1 UID]])=0,0,IFERROR(MATCH(Tasks[[#This Row],[Pred1 UID]],Tasks[UID],0),-1))</f>
        <v>0</v>
      </c>
      <c r="CB147" s="38" t="n">
        <f aca="false">IF(N(Tasks[[#This Row],[Pred2 UID]])=0,0,IFERROR(MATCH(Tasks[[#This Row],[Pred2 UID]],Tasks[UID],0),-1))</f>
        <v>0</v>
      </c>
      <c r="CC147" s="38" t="n">
        <f aca="false">IF(N(Tasks[[#This Row],[Pred3 UID]])=0,0,IFERROR(MATCH(Tasks[[#This Row],[Pred3 UID]],Tasks[UID],0),-1))</f>
        <v>0</v>
      </c>
      <c r="CD147" s="38" t="n">
        <f aca="false">IF(N(Tasks[[#This Row],[Pred4 UID]])=0,0,IFERROR(MATCH(Tasks[[#This Row],[Pred4 UID]],Tasks[UID],0),-1))</f>
        <v>0</v>
      </c>
      <c r="CE14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7" s="115" t="n">
        <f aca="false">IF(OR(Tasks[[#This Row],[_ConstraintCode]]=2,Tasks[[#This Row],[_ConstraintCode]]=3,Tasks[[#This Row],[_ConstraintCode]]=4,Tasks[[#This Row],[_ConstraintCode]]=6),Tasks[[#This Row],[_ConstraintStart]],0)</f>
        <v>0</v>
      </c>
      <c r="CH147" s="115" t="n">
        <f aca="false">IF(OR(Tasks[[#This Row],[_ConstraintCode]]=2,Tasks[[#This Row],[_ConstraintCode]]=3,Tasks[[#This Row],[_ConstraintCode]]=5,Tasks[[#This Row],[_ConstraintCode]]=7),Tasks[[#This Row],[_ConstraintStart]],2958465)</f>
        <v>2958465</v>
      </c>
      <c r="CI14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7" s="115" t="str">
        <f aca="false">IF(NOT(Tasks[[#This Row],[_IsLeaf]]=1),"",IF(N(Tasks[[#This Row],[Duration]])&lt;=0,Tasks[[#This Row],[_LeafCalcStart]],WORKDAY.INTL(Tasks[[#This Row],[_LeafCalcStart]],Tasks[[#This Row],[Duration]]-1,WorkWeek,Holidays)))</f>
        <v/>
      </c>
      <c r="CK14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7" s="38" t="n">
        <f aca="false">IF(NOT(Tasks[[#This Row],[_IsLeaf]]=1),0,IF(N(Tasks[[#This Row],[Actual Finish]])&gt;0,1,MIN(1,N(Tasks[[#This Row],[% Complete]]))))</f>
        <v>0</v>
      </c>
      <c r="CN147" s="38" t="n">
        <f aca="false">IF(OR(NOT(Tasks[[#This Row],[_IsLeaf]]=1),Tasks[[#This Row],[Resource]]=""),0,N(Tasks[[#This Row],[Duration]])*HoursPerDay*IF(Tasks[[#This Row],[Units]]="",DefaultUnits,Tasks[[#This Row],[Units]]))</f>
        <v>0</v>
      </c>
      <c r="CO147" s="38" t="n">
        <f aca="false">IF(Tasks[[#This Row],[_LeafWork]]=0,0,Tasks[[#This Row],[_LeafWork]]*IFERROR(INDEX(res_Rate,MATCH(Tasks[[#This Row],[Resource]],res_Name,0)),0))</f>
        <v>0</v>
      </c>
      <c r="CP147" s="38" t="n">
        <f aca="false">Tasks[[#This Row],[_LeafWork]]+IF(Tasks[[#This Row],[_IsLeaf]]=1,SUMIFS(asg_Work,asg_TaskUID,Tasks[[#This Row],[UID]],asg_Valid,1),0)</f>
        <v>0</v>
      </c>
      <c r="CQ147" s="38" t="n">
        <f aca="false">Tasks[[#This Row],[_LeafCost]]+IF(Tasks[[#This Row],[_IsLeaf]]=1,SUMIFS(asg_Cost,asg_TaskUID,Tasks[[#This Row],[UID]],asg_Valid,1),0)</f>
        <v>0</v>
      </c>
      <c r="CR147" s="38" t="n">
        <f aca="false">IF(Tasks[[#This Row],[_LeafTotalCost]]=0,Tasks[[#This Row],[_LeafAC]],Tasks[[#This Row],[_LeafAC]]*Tasks[[#This Row],[_LeafCost]]/Tasks[[#This Row],[_LeafTotalCost]])</f>
        <v>0</v>
      </c>
      <c r="CS14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7" s="38" t="n">
        <f aca="false">IF(NOT(Tasks[[#This Row],[_IsLeaf]]=1),0,MAX(_xlfn.MAXIFS(Tasks[_Row],Tasks[Pred1 UID],Tasks[[#This Row],[UID]]),_xlfn.MAXIFS(Tasks[_Row],Tasks[Pred2 UID],Tasks[[#This Row],[UID]]),_xlfn.MAXIFS(Tasks[_Row],Tasks[Pred3 UID],Tasks[[#This Row],[UID]]),_xlfn.MAXIFS(Tasks[_Row],Tasks[Pred4 UID],Tasks[[#This Row],[UID]])))</f>
        <v>0</v>
      </c>
      <c r="DB14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7" s="115" t="str">
        <f aca="false">IF(NOT(Tasks[[#This Row],[_IsLeaf]]=1),"",IF(N(Tasks[[#This Row],[Duration]])&lt;=0,Tasks[[#This Row],[_LeafLateFinish]],WORKDAY.INTL(Tasks[[#This Row],[_LeafLateFinish]],-(Tasks[[#This Row],[Duration]]-1),WorkWeek,Holidays)))</f>
        <v/>
      </c>
      <c r="DE14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7" s="114" t="b">
        <f aca="false">AND(Tasks[[#This Row],[_IsLeaf]]=1,Tasks[[#This Row],[_LeafProgress]]&lt;1,N(Tasks[[#This Row],[_LeafTotalSlack]])&lt;=CriticalSlackDays)</f>
        <v>0</v>
      </c>
      <c r="DG147" s="38" t="n">
        <f aca="false">IF(AND(Tasks[[#This Row],[_IsLeaf]]=1,Tasks[[#This Row],[_ConstraintCode]]=1,Tasks[[#This Row],[Mode]]&lt;&gt;"Manual",N(Tasks[[#This Row],[Actual Start]])=0),MAX(0,N(Tasks[[#This Row],[Free Slack]])),0)</f>
        <v>0</v>
      </c>
      <c r="DH147" s="115" t="str">
        <f aca="false">IF(NOT(Tasks[[#This Row],[_IsLeaf]]=1),"",IF(Tasks[[#This Row],[_AlapShift]]=0,Tasks[[#This Row],[_LeafCalcStart]],WORKDAY.INTL(Tasks[[#This Row],[_LeafCalcStart]],Tasks[[#This Row],[_AlapShift]],WorkWeek,Holidays)))</f>
        <v/>
      </c>
      <c r="DI147" s="115" t="str">
        <f aca="false">IF(NOT(Tasks[[#This Row],[_IsLeaf]]=1),"",IF(Tasks[[#This Row],[_AlapShift]]=0,Tasks[[#This Row],[_LeafCalcFinish]],WORKDAY.INTL(Tasks[[#This Row],[_LeafCalcFinish]],Tasks[[#This Row],[_AlapShift]],WorkWeek,Holidays)))</f>
        <v/>
      </c>
      <c r="DJ147" s="115" t="str">
        <f aca="false">IF(NOT(Tasks[[#This Row],[_IsLeaf]]=1),"",IF(Tasks[[#This Row],[_AlapShift]]=0,Tasks[[#This Row],[_LeafFcstStart]],WORKDAY.INTL(Tasks[[#This Row],[_LeafFcstStart]],Tasks[[#This Row],[_AlapShift]],WorkWeek,Holidays)))</f>
        <v/>
      </c>
      <c r="DK147" s="115" t="str">
        <f aca="false">IF(NOT(Tasks[[#This Row],[_IsLeaf]]=1),"",IF(Tasks[[#This Row],[_AlapShift]]=0,Tasks[[#This Row],[_LeafFcstFinish]],WORKDAY.INTL(Tasks[[#This Row],[_LeafFcstFinish]],Tasks[[#This Row],[_AlapShift]],WorkWeek,Holidays)))</f>
        <v/>
      </c>
      <c r="DL147" s="115" t="str">
        <f aca="false">IF(Tasks[[#This Row],[Task Name]]="","",IF(Tasks[[#This Row],[_IsSummary]],MIN(INDEX(Tasks[_ShownCalcStart],Tasks[[#This Row],[_Row]]+1):INDEX(Tasks[_ShownCalcStart],Tasks[[#This Row],[_Row]]+Tasks[[#This Row],[_Descendants]])),Tasks[[#This Row],[_ShownCalcStart]]))</f>
        <v/>
      </c>
      <c r="DM147" s="115" t="str">
        <f aca="false">IF(Tasks[[#This Row],[Task Name]]="","",IF(Tasks[[#This Row],[_IsSummary]],MAX(INDEX(Tasks[_ShownCalcFinish],Tasks[[#This Row],[_Row]]+1):INDEX(Tasks[_ShownCalcFinish],Tasks[[#This Row],[_Row]]+Tasks[[#This Row],[_Descendants]])),Tasks[[#This Row],[_ShownCalcFinish]]))</f>
        <v/>
      </c>
      <c r="DN14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7" s="38" t="n">
        <f aca="false">IF(AND(Tasks[[#This Row],[_IsLeaf]]=1,Tasks[[#This Row],[_LeafTotalWork]]&gt;0),NETWORKDAYS.INTL(ProjectStart,Tasks[[#This Row],[_ShownFcstStart]],WorkWeek,Holidays),0)</f>
        <v>0</v>
      </c>
      <c r="EA147" s="38" t="n">
        <f aca="false">IF(AND(Tasks[[#This Row],[_IsLeaf]]=1,Tasks[[#This Row],[_LeafTotalWork]]&gt;0),MAX(Tasks[[#This Row],[_StartWorkday]],NETWORKDAYS.INTL(ProjectStart,Tasks[[#This Row],[_ShownFcstFinish]],WorkWeek,Holidays)),0)</f>
        <v>0</v>
      </c>
      <c r="EB147" s="38" t="n">
        <f aca="false">IF(AND(Tasks[[#This Row],[_IsLeaf]]=1,Tasks[[#This Row],[_LeafTotalWork]]&gt;0),Tasks[[#This Row],[_LeafWork]]/(Tasks[[#This Row],[_FinishWorkday]]-Tasks[[#This Row],[_StartWorkday]]+1),0)</f>
        <v>0</v>
      </c>
      <c r="EC147" s="38" t="n">
        <f aca="false">Tasks[[#This Row],[_WorkPerWorkday]]*(Tasks[[#This Row],[_StartWorkday]]-1)</f>
        <v>-0</v>
      </c>
      <c r="ED147" s="38" t="n">
        <f aca="false">IF(Tasks[[#This Row],[_IsLeaf]]=1,MAX(N(Tasks[[#This Row],[Duration]]),0.1),0)</f>
        <v>0</v>
      </c>
      <c r="EE147" s="38" t="n">
        <f aca="false">Tasks[[#This Row],[_WeightDur]]*Tasks[[#This Row],[_LeafProgress]]</f>
        <v>0</v>
      </c>
      <c r="EF14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7" s="38" t="str">
        <f aca="false">IF(AND(Tasks[[#This Row],[_IsLeaf]]=1,N(Tasks[[#This Row],[Duration]])=0,Tasks[[#This Row],[_LeafProgress]]&lt;1),Tasks[[#This Row],[_ShownFcstFinish]]+Tasks[[#This Row],[_Row]]/100000,"")</f>
        <v/>
      </c>
      <c r="EH14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7" s="38" t="n">
        <f aca="false">IF(NOT(Tasks[[#This Row],[_IsLeaf]]=1),0,IF(Tasks[[#This Row],[Baseline Cost]]="",Tasks[[#This Row],[_LeafTotalCost]],N(Tasks[[#This Row],[Baseline Cost]])))</f>
        <v>0</v>
      </c>
      <c r="EJ147" s="38" t="n">
        <f aca="false">Tasks[[#This Row],[_LeafBudget]]*Tasks[[#This Row],[_PlannedPct]]</f>
        <v>0</v>
      </c>
      <c r="EK147" s="38" t="n">
        <f aca="false">Tasks[[#This Row],[_LeafBudget]]*Tasks[[#This Row],[_LeafProgress]]</f>
        <v>0</v>
      </c>
      <c r="EL147" s="38" t="n">
        <f aca="false">IF(NOT(Tasks[[#This Row],[_IsLeaf]]=1),0,IF(Tasks[[#This Row],[Actual Cost]]="",Tasks[[#This Row],[_LeafTotalCost]]*Tasks[[#This Row],[_LeafProgress]],N(Tasks[[#This Row],[Actual Cost]])))</f>
        <v>0</v>
      </c>
      <c r="EM147" s="38" t="str">
        <f aca="false">IF(Tasks[[#This Row],[Task Name]]="","",LEFT(Tasks[[#This Row],[WBS]],FIND(".",Tasks[[#This Row],[WBS]]&amp;".")-1))</f>
        <v/>
      </c>
      <c r="EN147" s="38" t="str">
        <f aca="false">IF(AND(Tasks[[#This Row],[Task Name]]&lt;&gt;"",Tasks[[#This Row],[_Level]]=1),Tasks[[#This Row],[_Row]],"")</f>
        <v/>
      </c>
      <c r="EO147" s="38" t="str">
        <f aca="false">IF(AND(Tasks[[#This Row],[_IsLeaf]]=1,N(Tasks[[#This Row],[Duration]])=0),Tasks[[#This Row],[Planned Finish]]+Tasks[[#This Row],[_Row]]/100000,"")</f>
        <v/>
      </c>
      <c r="EP147" s="38" t="str">
        <f aca="false">IF(AND(Tasks[[#This Row],[_IsLeaf]]=1,Tasks[[#This Row],[_LeafProgress]]&lt;1,OR(N(Tasks[[#This Row],[Finish Var]])&gt;0,Tasks[[#This Row],[Status]]="Late Start")),MAX(0,Tasks[[#This Row],[Finish Var]])+1-Tasks[[#This Row],[_Row]]/1000000,"")</f>
        <v/>
      </c>
      <c r="EQ147" s="38" t="str">
        <f aca="false">IF(AND(Tasks[[#This Row],[_IsLeaf]]=1,N(Tasks[[#This Row],[Actual Start]])=0,Tasks[[#This Row],[_ShownFcstStart]]&gt;=StatusDate,Tasks[[#This Row],[_ShownFcstStart]]&lt;=LookaheadEnd),Tasks[[#This Row],[_ShownFcstStart]]+Tasks[[#This Row],[_Row]]/100000,"")</f>
        <v/>
      </c>
      <c r="ER147" s="38" t="str">
        <f aca="false">IF(AND(Tasks[[#This Row],[_IsLeaf]]=1,Tasks[[#This Row],[_LeafProgress]]&lt;1,Tasks[[#This Row],[_ShownFcstFinish]]&gt;=StatusDate,Tasks[[#This Row],[_ShownFcstFinish]]&lt;=LookaheadEnd),Tasks[[#This Row],[_ShownFcstFinish]]+Tasks[[#This Row],[_Row]]/100000,"")</f>
        <v/>
      </c>
      <c r="ES147" s="38" t="str">
        <f aca="false">IF(Tasks[[#This Row],[_LeafCritical]],Tasks[[#This Row],[_ShownFcstStart]]+Tasks[[#This Row],[_Row]]/100000,"")</f>
        <v/>
      </c>
      <c r="ET147" s="38" t="n">
        <f aca="false">Tasks[[#This Row],[_LeafWork]]*Tasks[[#This Row],[_LeafProgress]]</f>
        <v>0</v>
      </c>
      <c r="EU147" s="115" t="str">
        <f aca="false">IF(AND(Tasks[[#This Row],[_IsLeaf]]=1,Tasks[[#This Row],[_LeafProgress]]&gt;=1),IF(N(Tasks[[#This Row],[Actual Finish]])&gt;0,Tasks[[#This Row],[Actual Finish]],Tasks[[#This Row],[_ShownFcstFinish]]),"")</f>
        <v/>
      </c>
      <c r="EV147" s="38" t="n">
        <f aca="false">IF(Tasks[[#This Row],[_IsLeaf]]=1,N(Tasks[[#This Row],[Story Points]]),0)</f>
        <v>0</v>
      </c>
      <c r="EW147" s="38" t="str">
        <f aca="false">IF(AND(Tasks[[#This Row],[_IsLeaf]]=1,CurrentSprint&lt;&gt;"",Tasks[[#This Row],[Sprint]]=CurrentSprint),Tasks[[#This Row],[_Row]],"")</f>
        <v/>
      </c>
    </row>
    <row r="148" customFormat="false" ht="15" hidden="false" customHeight="false" outlineLevel="0" collapsed="false">
      <c r="A148" s="51" t="str">
        <f aca="false">IF(Tasks[[#This Row],[Task Name]]="","",COUNTA(Tasks[[#Headers],[Task Name]]:Tasks[[#This Row],[Task Name]])-1)</f>
        <v/>
      </c>
      <c r="B148" s="52" t="n">
        <v>143</v>
      </c>
      <c r="C14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52"/>
      <c r="E148" s="53"/>
      <c r="F148" s="52"/>
      <c r="G148" s="52"/>
      <c r="H148" s="52"/>
      <c r="I148" s="52"/>
      <c r="J148" s="52"/>
      <c r="K148" s="52"/>
      <c r="L148" s="52"/>
      <c r="M148" s="52"/>
      <c r="N148" s="52"/>
      <c r="O148" s="52"/>
      <c r="P148" s="52"/>
      <c r="Q148" s="52"/>
      <c r="R148" s="52"/>
      <c r="S148" s="53"/>
      <c r="T148" s="102"/>
      <c r="U148" s="102"/>
      <c r="V148" s="7"/>
      <c r="W148" s="7"/>
      <c r="X148" s="53"/>
      <c r="Y148" s="31" t="str">
        <f aca="false">IF(Tasks[[#This Row],[Task Name]]="","",IF(Tasks[[#This Row],[_IsSummary]],MIN(INDEX(Tasks[_ShownFcstStart],Tasks[[#This Row],[_Row]]+1):INDEX(Tasks[_ShownFcstStart],Tasks[[#This Row],[_Row]]+Tasks[[#This Row],[_Descendants]])),Tasks[[#This Row],[_ShownFcstStart]]))</f>
        <v/>
      </c>
      <c r="Z148" s="31" t="str">
        <f aca="false">IF(Tasks[[#This Row],[Task Name]]="","",IF(Tasks[[#This Row],[_IsSummary]],MAX(INDEX(Tasks[_ShownFcstFinish],Tasks[[#This Row],[_Row]]+1):INDEX(Tasks[_ShownFcstFinish],Tasks[[#This Row],[_Row]]+Tasks[[#This Row],[_Descendants]])),Tasks[[#This Row],[_ShownFcstFinish]]))</f>
        <v/>
      </c>
      <c r="AA148" s="51" t="str">
        <f aca="false">IF(Tasks[[#This Row],[Task Name]]="","",IF(Tasks[[#This Row],[Progress]]&gt;=1,"Complete",IF(OR(N(Tasks[[#This Row],[Actual Start]])&gt;0,Tasks[[#This Row],[Progress]]&gt;0),IF(Tasks[[#This Row],[Finish Var]]&gt;0,"Behind","In Progress"),IF(Tasks[[#This Row],[Planned Start]]&lt;StatusDate,"Late Start","Not Started"))))</f>
        <v/>
      </c>
      <c r="AB148" s="51" t="str">
        <f aca="false">IF(Tasks[[#This Row],[Task Name]]="","",IF(IF(Tasks[[#This Row],[_IsSummary]],COUNTIF(INDEX(Tasks[_LeafCritical],Tasks[[#This Row],[_Row]]+1):INDEX(Tasks[_LeafCritical],Tasks[[#This Row],[_Row]]+Tasks[[#This Row],[_Descendants]]),TRUE())&gt;0,Tasks[[#This Row],[_LeafCritical]]),"Yes",""))</f>
        <v/>
      </c>
      <c r="AC14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8" s="51" t="str">
        <f aca="false">IF(Tasks[[#This Row],[Task Name]]="","",IF(Tasks[[#This Row],[_Level]]&lt;=OutlineShowLevel,"Yes","No"))</f>
        <v/>
      </c>
      <c r="AE148" s="7"/>
      <c r="AF148" s="52"/>
      <c r="AG148" s="53"/>
      <c r="AH148" s="7"/>
      <c r="AI14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8" s="31" t="str">
        <f aca="false">IF(Tasks[[#This Row],[Task Name]]="","",IF(N(Tasks[[#This Row],[Baseline Start]])&gt;0,Tasks[[#This Row],[Baseline Start]],Tasks[[#This Row],[_CalcStart]]))</f>
        <v/>
      </c>
      <c r="AK148" s="31" t="str">
        <f aca="false">IF(Tasks[[#This Row],[Task Name]]="","",IF(N(Tasks[[#This Row],[Baseline Finish]])&gt;0,Tasks[[#This Row],[Baseline Finish]],Tasks[[#This Row],[_CalcFinish]]))</f>
        <v/>
      </c>
      <c r="AL14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8" s="31" t="str">
        <f aca="false">IF(Tasks[[#This Row],[Task Name]]="","",IF(Tasks[[#This Row],[_IsSummary]],MIN(INDEX(Tasks[_LeafLateStart],Tasks[[#This Row],[_Row]]+1):INDEX(Tasks[_LeafLateStart],Tasks[[#This Row],[_Row]]+Tasks[[#This Row],[_Descendants]])),Tasks[[#This Row],[_LeafLateStart]]))</f>
        <v/>
      </c>
      <c r="AN148" s="31" t="str">
        <f aca="false">IF(Tasks[[#This Row],[Task Name]]="","",IF(Tasks[[#This Row],[_IsSummary]],MAX(INDEX(Tasks[_LeafLateFinish],Tasks[[#This Row],[_Row]]+1):INDEX(Tasks[_LeafLateFinish],Tasks[[#This Row],[_Row]]+Tasks[[#This Row],[_Descendants]])),Tasks[[#This Row],[_LeafLateFinish]]))</f>
        <v/>
      </c>
      <c r="AO148" s="51" t="str">
        <f aca="false">IF(Tasks[[#This Row],[Task Name]]="","",IF(Tasks[[#This Row],[_IsSummary]],MIN(INDEX(Tasks[_LeafTotalSlack],Tasks[[#This Row],[_Row]]+1):INDEX(Tasks[_LeafTotalSlack],Tasks[[#This Row],[_Row]]+Tasks[[#This Row],[_Descendants]])),Tasks[[#This Row],[_LeafTotalSlack]]))</f>
        <v/>
      </c>
      <c r="AP14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8" s="110" t="str">
        <f aca="false">IF(Tasks[[#This Row],[Task Name]]="","",IF(Tasks[[#This Row],[_IsSummary]],SUM(INDEX(Tasks[_LeafTotalWork],Tasks[[#This Row],[_Row]]+1):INDEX(Tasks[_LeafTotalWork],Tasks[[#This Row],[_Row]]+Tasks[[#This Row],[_Descendants]])),Tasks[[#This Row],[_LeafTotalWork]]))</f>
        <v/>
      </c>
      <c r="AV14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8" s="111" t="str">
        <f aca="false">IF(Tasks[[#This Row],[Task Name]]="","",IF(Tasks[[#This Row],[_IsSummary]],SUM(INDEX(Tasks[_LeafTotalCost],Tasks[[#This Row],[_Row]]+1):INDEX(Tasks[_LeafTotalCost],Tasks[[#This Row],[_Row]]+Tasks[[#This Row],[_Descendants]])),Tasks[[#This Row],[_LeafTotalCost]]))</f>
        <v/>
      </c>
      <c r="AY148" s="112"/>
      <c r="AZ14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8" s="52"/>
      <c r="BB148" s="98"/>
      <c r="BC148" s="51" t="str">
        <f aca="false">IF(OR(Tasks[[#This Row],[Task Name]]="",Tasks[[#This Row],[Baseline Duration]]=""),"",Tasks[[#This Row],[BL Source Duration]]-N(Tasks[[#This Row],[Baseline Duration]]))</f>
        <v/>
      </c>
      <c r="BD148" s="110" t="str">
        <f aca="false">IF(OR(Tasks[[#This Row],[Task Name]]="",Tasks[[#This Row],[Baseline Work]]=""),"",Tasks[[#This Row],[Work]]-N(Tasks[[#This Row],[Baseline Work]]))</f>
        <v/>
      </c>
      <c r="BE148" s="111" t="str">
        <f aca="false">IF(OR(Tasks[[#This Row],[Task Name]]="",Tasks[[#This Row],[Baseline Cost]]=""),"",Tasks[[#This Row],[Cost]]-N(Tasks[[#This Row],[Baseline Cost]]))</f>
        <v/>
      </c>
      <c r="BF148" s="31" t="str">
        <f aca="false">IF(Tasks[[#This Row],[Task Name]]="","",Tasks[[#This Row],[Forecast Start]])</f>
        <v/>
      </c>
      <c r="BG148" s="31" t="str">
        <f aca="false">IF(Tasks[[#This Row],[Task Name]]="","",Tasks[[#This Row],[Forecast Finish]])</f>
        <v/>
      </c>
      <c r="BH148" s="51" t="str">
        <f aca="false">IF(Tasks[[#This Row],[Task Name]]="","",IF(Tasks[[#This Row],[_IsSummary]],NETWORKDAYS.INTL(Tasks[[#This Row],[Forecast Start]],Tasks[[#This Row],[Forecast Finish]],WorkWeek,Holidays),N(Tasks[[#This Row],[Duration]])))</f>
        <v/>
      </c>
      <c r="BI148" s="110" t="str">
        <f aca="false">IF(Tasks[[#This Row],[Task Name]]="","",Tasks[[#This Row],[Work]])</f>
        <v/>
      </c>
      <c r="BJ148" s="111" t="str">
        <f aca="false">IF(Tasks[[#This Row],[Task Name]]="","",Tasks[[#This Row],[Cost]])</f>
        <v/>
      </c>
      <c r="BK148" s="7"/>
      <c r="BL148" s="7"/>
      <c r="BM148" s="52"/>
      <c r="BN148" s="113"/>
      <c r="BO148" s="112"/>
      <c r="BP148" s="111" t="str">
        <f aca="false">IF(Tasks[[#This Row],[Task Name]]="","",IF(Tasks[[#This Row],[_IsSummary]],SUM(INDEX(Tasks[_LeafEV],Tasks[[#This Row],[_Row]]+1):INDEX(Tasks[_LeafEV],Tasks[[#This Row],[_Row]]+Tasks[[#This Row],[_Descendants]])),Tasks[[#This Row],[_LeafEV]]))</f>
        <v/>
      </c>
      <c r="BQ148" s="111" t="str">
        <f aca="false">IF(Tasks[[#This Row],[Task Name]]="","",IF(Tasks[[#This Row],[_IsSummary]],SUM(INDEX(Tasks[_LeafBudget],Tasks[[#This Row],[_Row]]+1):INDEX(Tasks[_LeafBudget],Tasks[[#This Row],[_Row]]+Tasks[[#This Row],[_Descendants]])),Tasks[[#This Row],[_LeafBudget]]))</f>
        <v/>
      </c>
      <c r="BR148" s="111" t="str">
        <f aca="false">IF(Tasks[[#This Row],[Task Name]]="","",IF(Tasks[[#This Row],[_IsSummary]],SUM(INDEX(Tasks[_LeafPV],Tasks[[#This Row],[_Row]]+1):INDEX(Tasks[_LeafPV],Tasks[[#This Row],[_Row]]+Tasks[[#This Row],[_Descendants]])),Tasks[[#This Row],[_LeafPV]]))</f>
        <v/>
      </c>
      <c r="BS148" s="111" t="str">
        <f aca="false">IF(Tasks[[#This Row],[Task Name]]="","",IF(Tasks[[#This Row],[_IsSummary]],SUM(INDEX(Tasks[_LeafAC],Tasks[[#This Row],[_Row]]+1):INDEX(Tasks[_LeafAC],Tasks[[#This Row],[_Row]]+Tasks[[#This Row],[_Descendants]])),Tasks[[#This Row],[_LeafAC]]))</f>
        <v/>
      </c>
      <c r="BT148" s="38" t="str">
        <f aca="false">IF(Tasks[[#This Row],[Task Name]]="","",MAX(1,N(Tasks[[#This Row],[Level]])))</f>
        <v/>
      </c>
      <c r="BU148" s="38" t="n">
        <f aca="false">ROW()-ROW(Tasks[[#Headers],[ID]])</f>
        <v>143</v>
      </c>
      <c r="BV148" s="38" t="n">
        <f aca="false">IF(OR(Tasks[[#This Row],[Task Name]]="",Tasks[[#This Row],[_Level]]&lt;=1),0,IFERROR(LOOKUP(2,1/(Tasks[[#Headers],[_Level]]:Tasks[[#This Row],[_Level]]=Tasks[[#This Row],[_Level]]-1),ROW(Tasks[[#Headers],[_Level]]:Tasks[[#This Row],[_Level]])),0))</f>
        <v>0</v>
      </c>
      <c r="BW148" s="38" t="n">
        <f aca="false">IFERROR(N(INDEX(Tasks[_Level],Tasks[[#This Row],[_Row]]+1)),0)</f>
        <v>0</v>
      </c>
      <c r="BX148" s="114" t="b">
        <f aca="false">AND(Tasks[[#This Row],[Task Name]]&lt;&gt;"",Tasks[[#This Row],[_NextLevel]]&gt;Tasks[[#This Row],[_Level]])</f>
        <v>0</v>
      </c>
      <c r="BY148" s="38" t="n">
        <f aca="false">IF(Tasks[[#This Row],[_IsSummary]],COUNTIF(Tasks[WBS],Tasks[[#This Row],[WBS]]&amp;".*"),0)</f>
        <v>0</v>
      </c>
      <c r="BZ148" s="38" t="n">
        <f aca="false">IF(AND(Tasks[[#This Row],[Task Name]]&lt;&gt;"",NOT(Tasks[[#This Row],[_IsSummary]])),1,0)</f>
        <v>0</v>
      </c>
      <c r="CA148" s="38" t="n">
        <f aca="false">IF(N(Tasks[[#This Row],[Pred1 UID]])=0,0,IFERROR(MATCH(Tasks[[#This Row],[Pred1 UID]],Tasks[UID],0),-1))</f>
        <v>0</v>
      </c>
      <c r="CB148" s="38" t="n">
        <f aca="false">IF(N(Tasks[[#This Row],[Pred2 UID]])=0,0,IFERROR(MATCH(Tasks[[#This Row],[Pred2 UID]],Tasks[UID],0),-1))</f>
        <v>0</v>
      </c>
      <c r="CC148" s="38" t="n">
        <f aca="false">IF(N(Tasks[[#This Row],[Pred3 UID]])=0,0,IFERROR(MATCH(Tasks[[#This Row],[Pred3 UID]],Tasks[UID],0),-1))</f>
        <v>0</v>
      </c>
      <c r="CD148" s="38" t="n">
        <f aca="false">IF(N(Tasks[[#This Row],[Pred4 UID]])=0,0,IFERROR(MATCH(Tasks[[#This Row],[Pred4 UID]],Tasks[UID],0),-1))</f>
        <v>0</v>
      </c>
      <c r="CE14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8" s="115" t="n">
        <f aca="false">IF(OR(Tasks[[#This Row],[_ConstraintCode]]=2,Tasks[[#This Row],[_ConstraintCode]]=3,Tasks[[#This Row],[_ConstraintCode]]=4,Tasks[[#This Row],[_ConstraintCode]]=6),Tasks[[#This Row],[_ConstraintStart]],0)</f>
        <v>0</v>
      </c>
      <c r="CH148" s="115" t="n">
        <f aca="false">IF(OR(Tasks[[#This Row],[_ConstraintCode]]=2,Tasks[[#This Row],[_ConstraintCode]]=3,Tasks[[#This Row],[_ConstraintCode]]=5,Tasks[[#This Row],[_ConstraintCode]]=7),Tasks[[#This Row],[_ConstraintStart]],2958465)</f>
        <v>2958465</v>
      </c>
      <c r="CI14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8" s="115" t="str">
        <f aca="false">IF(NOT(Tasks[[#This Row],[_IsLeaf]]=1),"",IF(N(Tasks[[#This Row],[Duration]])&lt;=0,Tasks[[#This Row],[_LeafCalcStart]],WORKDAY.INTL(Tasks[[#This Row],[_LeafCalcStart]],Tasks[[#This Row],[Duration]]-1,WorkWeek,Holidays)))</f>
        <v/>
      </c>
      <c r="CK14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8" s="38" t="n">
        <f aca="false">IF(NOT(Tasks[[#This Row],[_IsLeaf]]=1),0,IF(N(Tasks[[#This Row],[Actual Finish]])&gt;0,1,MIN(1,N(Tasks[[#This Row],[% Complete]]))))</f>
        <v>0</v>
      </c>
      <c r="CN148" s="38" t="n">
        <f aca="false">IF(OR(NOT(Tasks[[#This Row],[_IsLeaf]]=1),Tasks[[#This Row],[Resource]]=""),0,N(Tasks[[#This Row],[Duration]])*HoursPerDay*IF(Tasks[[#This Row],[Units]]="",DefaultUnits,Tasks[[#This Row],[Units]]))</f>
        <v>0</v>
      </c>
      <c r="CO148" s="38" t="n">
        <f aca="false">IF(Tasks[[#This Row],[_LeafWork]]=0,0,Tasks[[#This Row],[_LeafWork]]*IFERROR(INDEX(res_Rate,MATCH(Tasks[[#This Row],[Resource]],res_Name,0)),0))</f>
        <v>0</v>
      </c>
      <c r="CP148" s="38" t="n">
        <f aca="false">Tasks[[#This Row],[_LeafWork]]+IF(Tasks[[#This Row],[_IsLeaf]]=1,SUMIFS(asg_Work,asg_TaskUID,Tasks[[#This Row],[UID]],asg_Valid,1),0)</f>
        <v>0</v>
      </c>
      <c r="CQ148" s="38" t="n">
        <f aca="false">Tasks[[#This Row],[_LeafCost]]+IF(Tasks[[#This Row],[_IsLeaf]]=1,SUMIFS(asg_Cost,asg_TaskUID,Tasks[[#This Row],[UID]],asg_Valid,1),0)</f>
        <v>0</v>
      </c>
      <c r="CR148" s="38" t="n">
        <f aca="false">IF(Tasks[[#This Row],[_LeafTotalCost]]=0,Tasks[[#This Row],[_LeafAC]],Tasks[[#This Row],[_LeafAC]]*Tasks[[#This Row],[_LeafCost]]/Tasks[[#This Row],[_LeafTotalCost]])</f>
        <v>0</v>
      </c>
      <c r="CS14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8" s="38" t="n">
        <f aca="false">IF(NOT(Tasks[[#This Row],[_IsLeaf]]=1),0,MAX(_xlfn.MAXIFS(Tasks[_Row],Tasks[Pred1 UID],Tasks[[#This Row],[UID]]),_xlfn.MAXIFS(Tasks[_Row],Tasks[Pred2 UID],Tasks[[#This Row],[UID]]),_xlfn.MAXIFS(Tasks[_Row],Tasks[Pred3 UID],Tasks[[#This Row],[UID]]),_xlfn.MAXIFS(Tasks[_Row],Tasks[Pred4 UID],Tasks[[#This Row],[UID]])))</f>
        <v>0</v>
      </c>
      <c r="DB14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8" s="115" t="str">
        <f aca="false">IF(NOT(Tasks[[#This Row],[_IsLeaf]]=1),"",IF(N(Tasks[[#This Row],[Duration]])&lt;=0,Tasks[[#This Row],[_LeafLateFinish]],WORKDAY.INTL(Tasks[[#This Row],[_LeafLateFinish]],-(Tasks[[#This Row],[Duration]]-1),WorkWeek,Holidays)))</f>
        <v/>
      </c>
      <c r="DE14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8" s="114" t="b">
        <f aca="false">AND(Tasks[[#This Row],[_IsLeaf]]=1,Tasks[[#This Row],[_LeafProgress]]&lt;1,N(Tasks[[#This Row],[_LeafTotalSlack]])&lt;=CriticalSlackDays)</f>
        <v>0</v>
      </c>
      <c r="DG148" s="38" t="n">
        <f aca="false">IF(AND(Tasks[[#This Row],[_IsLeaf]]=1,Tasks[[#This Row],[_ConstraintCode]]=1,Tasks[[#This Row],[Mode]]&lt;&gt;"Manual",N(Tasks[[#This Row],[Actual Start]])=0),MAX(0,N(Tasks[[#This Row],[Free Slack]])),0)</f>
        <v>0</v>
      </c>
      <c r="DH148" s="115" t="str">
        <f aca="false">IF(NOT(Tasks[[#This Row],[_IsLeaf]]=1),"",IF(Tasks[[#This Row],[_AlapShift]]=0,Tasks[[#This Row],[_LeafCalcStart]],WORKDAY.INTL(Tasks[[#This Row],[_LeafCalcStart]],Tasks[[#This Row],[_AlapShift]],WorkWeek,Holidays)))</f>
        <v/>
      </c>
      <c r="DI148" s="115" t="str">
        <f aca="false">IF(NOT(Tasks[[#This Row],[_IsLeaf]]=1),"",IF(Tasks[[#This Row],[_AlapShift]]=0,Tasks[[#This Row],[_LeafCalcFinish]],WORKDAY.INTL(Tasks[[#This Row],[_LeafCalcFinish]],Tasks[[#This Row],[_AlapShift]],WorkWeek,Holidays)))</f>
        <v/>
      </c>
      <c r="DJ148" s="115" t="str">
        <f aca="false">IF(NOT(Tasks[[#This Row],[_IsLeaf]]=1),"",IF(Tasks[[#This Row],[_AlapShift]]=0,Tasks[[#This Row],[_LeafFcstStart]],WORKDAY.INTL(Tasks[[#This Row],[_LeafFcstStart]],Tasks[[#This Row],[_AlapShift]],WorkWeek,Holidays)))</f>
        <v/>
      </c>
      <c r="DK148" s="115" t="str">
        <f aca="false">IF(NOT(Tasks[[#This Row],[_IsLeaf]]=1),"",IF(Tasks[[#This Row],[_AlapShift]]=0,Tasks[[#This Row],[_LeafFcstFinish]],WORKDAY.INTL(Tasks[[#This Row],[_LeafFcstFinish]],Tasks[[#This Row],[_AlapShift]],WorkWeek,Holidays)))</f>
        <v/>
      </c>
      <c r="DL148" s="115" t="str">
        <f aca="false">IF(Tasks[[#This Row],[Task Name]]="","",IF(Tasks[[#This Row],[_IsSummary]],MIN(INDEX(Tasks[_ShownCalcStart],Tasks[[#This Row],[_Row]]+1):INDEX(Tasks[_ShownCalcStart],Tasks[[#This Row],[_Row]]+Tasks[[#This Row],[_Descendants]])),Tasks[[#This Row],[_ShownCalcStart]]))</f>
        <v/>
      </c>
      <c r="DM148" s="115" t="str">
        <f aca="false">IF(Tasks[[#This Row],[Task Name]]="","",IF(Tasks[[#This Row],[_IsSummary]],MAX(INDEX(Tasks[_ShownCalcFinish],Tasks[[#This Row],[_Row]]+1):INDEX(Tasks[_ShownCalcFinish],Tasks[[#This Row],[_Row]]+Tasks[[#This Row],[_Descendants]])),Tasks[[#This Row],[_ShownCalcFinish]]))</f>
        <v/>
      </c>
      <c r="DN14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8" s="38" t="n">
        <f aca="false">IF(AND(Tasks[[#This Row],[_IsLeaf]]=1,Tasks[[#This Row],[_LeafTotalWork]]&gt;0),NETWORKDAYS.INTL(ProjectStart,Tasks[[#This Row],[_ShownFcstStart]],WorkWeek,Holidays),0)</f>
        <v>0</v>
      </c>
      <c r="EA148" s="38" t="n">
        <f aca="false">IF(AND(Tasks[[#This Row],[_IsLeaf]]=1,Tasks[[#This Row],[_LeafTotalWork]]&gt;0),MAX(Tasks[[#This Row],[_StartWorkday]],NETWORKDAYS.INTL(ProjectStart,Tasks[[#This Row],[_ShownFcstFinish]],WorkWeek,Holidays)),0)</f>
        <v>0</v>
      </c>
      <c r="EB148" s="38" t="n">
        <f aca="false">IF(AND(Tasks[[#This Row],[_IsLeaf]]=1,Tasks[[#This Row],[_LeafTotalWork]]&gt;0),Tasks[[#This Row],[_LeafWork]]/(Tasks[[#This Row],[_FinishWorkday]]-Tasks[[#This Row],[_StartWorkday]]+1),0)</f>
        <v>0</v>
      </c>
      <c r="EC148" s="38" t="n">
        <f aca="false">Tasks[[#This Row],[_WorkPerWorkday]]*(Tasks[[#This Row],[_StartWorkday]]-1)</f>
        <v>-0</v>
      </c>
      <c r="ED148" s="38" t="n">
        <f aca="false">IF(Tasks[[#This Row],[_IsLeaf]]=1,MAX(N(Tasks[[#This Row],[Duration]]),0.1),0)</f>
        <v>0</v>
      </c>
      <c r="EE148" s="38" t="n">
        <f aca="false">Tasks[[#This Row],[_WeightDur]]*Tasks[[#This Row],[_LeafProgress]]</f>
        <v>0</v>
      </c>
      <c r="EF14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8" s="38" t="str">
        <f aca="false">IF(AND(Tasks[[#This Row],[_IsLeaf]]=1,N(Tasks[[#This Row],[Duration]])=0,Tasks[[#This Row],[_LeafProgress]]&lt;1),Tasks[[#This Row],[_ShownFcstFinish]]+Tasks[[#This Row],[_Row]]/100000,"")</f>
        <v/>
      </c>
      <c r="EH14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8" s="38" t="n">
        <f aca="false">IF(NOT(Tasks[[#This Row],[_IsLeaf]]=1),0,IF(Tasks[[#This Row],[Baseline Cost]]="",Tasks[[#This Row],[_LeafTotalCost]],N(Tasks[[#This Row],[Baseline Cost]])))</f>
        <v>0</v>
      </c>
      <c r="EJ148" s="38" t="n">
        <f aca="false">Tasks[[#This Row],[_LeafBudget]]*Tasks[[#This Row],[_PlannedPct]]</f>
        <v>0</v>
      </c>
      <c r="EK148" s="38" t="n">
        <f aca="false">Tasks[[#This Row],[_LeafBudget]]*Tasks[[#This Row],[_LeafProgress]]</f>
        <v>0</v>
      </c>
      <c r="EL148" s="38" t="n">
        <f aca="false">IF(NOT(Tasks[[#This Row],[_IsLeaf]]=1),0,IF(Tasks[[#This Row],[Actual Cost]]="",Tasks[[#This Row],[_LeafTotalCost]]*Tasks[[#This Row],[_LeafProgress]],N(Tasks[[#This Row],[Actual Cost]])))</f>
        <v>0</v>
      </c>
      <c r="EM148" s="38" t="str">
        <f aca="false">IF(Tasks[[#This Row],[Task Name]]="","",LEFT(Tasks[[#This Row],[WBS]],FIND(".",Tasks[[#This Row],[WBS]]&amp;".")-1))</f>
        <v/>
      </c>
      <c r="EN148" s="38" t="str">
        <f aca="false">IF(AND(Tasks[[#This Row],[Task Name]]&lt;&gt;"",Tasks[[#This Row],[_Level]]=1),Tasks[[#This Row],[_Row]],"")</f>
        <v/>
      </c>
      <c r="EO148" s="38" t="str">
        <f aca="false">IF(AND(Tasks[[#This Row],[_IsLeaf]]=1,N(Tasks[[#This Row],[Duration]])=0),Tasks[[#This Row],[Planned Finish]]+Tasks[[#This Row],[_Row]]/100000,"")</f>
        <v/>
      </c>
      <c r="EP148" s="38" t="str">
        <f aca="false">IF(AND(Tasks[[#This Row],[_IsLeaf]]=1,Tasks[[#This Row],[_LeafProgress]]&lt;1,OR(N(Tasks[[#This Row],[Finish Var]])&gt;0,Tasks[[#This Row],[Status]]="Late Start")),MAX(0,Tasks[[#This Row],[Finish Var]])+1-Tasks[[#This Row],[_Row]]/1000000,"")</f>
        <v/>
      </c>
      <c r="EQ148" s="38" t="str">
        <f aca="false">IF(AND(Tasks[[#This Row],[_IsLeaf]]=1,N(Tasks[[#This Row],[Actual Start]])=0,Tasks[[#This Row],[_ShownFcstStart]]&gt;=StatusDate,Tasks[[#This Row],[_ShownFcstStart]]&lt;=LookaheadEnd),Tasks[[#This Row],[_ShownFcstStart]]+Tasks[[#This Row],[_Row]]/100000,"")</f>
        <v/>
      </c>
      <c r="ER148" s="38" t="str">
        <f aca="false">IF(AND(Tasks[[#This Row],[_IsLeaf]]=1,Tasks[[#This Row],[_LeafProgress]]&lt;1,Tasks[[#This Row],[_ShownFcstFinish]]&gt;=StatusDate,Tasks[[#This Row],[_ShownFcstFinish]]&lt;=LookaheadEnd),Tasks[[#This Row],[_ShownFcstFinish]]+Tasks[[#This Row],[_Row]]/100000,"")</f>
        <v/>
      </c>
      <c r="ES148" s="38" t="str">
        <f aca="false">IF(Tasks[[#This Row],[_LeafCritical]],Tasks[[#This Row],[_ShownFcstStart]]+Tasks[[#This Row],[_Row]]/100000,"")</f>
        <v/>
      </c>
      <c r="ET148" s="38" t="n">
        <f aca="false">Tasks[[#This Row],[_LeafWork]]*Tasks[[#This Row],[_LeafProgress]]</f>
        <v>0</v>
      </c>
      <c r="EU148" s="115" t="str">
        <f aca="false">IF(AND(Tasks[[#This Row],[_IsLeaf]]=1,Tasks[[#This Row],[_LeafProgress]]&gt;=1),IF(N(Tasks[[#This Row],[Actual Finish]])&gt;0,Tasks[[#This Row],[Actual Finish]],Tasks[[#This Row],[_ShownFcstFinish]]),"")</f>
        <v/>
      </c>
      <c r="EV148" s="38" t="n">
        <f aca="false">IF(Tasks[[#This Row],[_IsLeaf]]=1,N(Tasks[[#This Row],[Story Points]]),0)</f>
        <v>0</v>
      </c>
      <c r="EW148" s="38" t="str">
        <f aca="false">IF(AND(Tasks[[#This Row],[_IsLeaf]]=1,CurrentSprint&lt;&gt;"",Tasks[[#This Row],[Sprint]]=CurrentSprint),Tasks[[#This Row],[_Row]],"")</f>
        <v/>
      </c>
    </row>
    <row r="149" customFormat="false" ht="15" hidden="false" customHeight="false" outlineLevel="0" collapsed="false">
      <c r="A149" s="51" t="str">
        <f aca="false">IF(Tasks[[#This Row],[Task Name]]="","",COUNTA(Tasks[[#Headers],[Task Name]]:Tasks[[#This Row],[Task Name]])-1)</f>
        <v/>
      </c>
      <c r="B149" s="52" t="n">
        <v>144</v>
      </c>
      <c r="C14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52"/>
      <c r="E149" s="53"/>
      <c r="F149" s="52"/>
      <c r="G149" s="52"/>
      <c r="H149" s="52"/>
      <c r="I149" s="52"/>
      <c r="J149" s="52"/>
      <c r="K149" s="52"/>
      <c r="L149" s="52"/>
      <c r="M149" s="52"/>
      <c r="N149" s="52"/>
      <c r="O149" s="52"/>
      <c r="P149" s="52"/>
      <c r="Q149" s="52"/>
      <c r="R149" s="52"/>
      <c r="S149" s="53"/>
      <c r="T149" s="102"/>
      <c r="U149" s="102"/>
      <c r="V149" s="7"/>
      <c r="W149" s="7"/>
      <c r="X149" s="53"/>
      <c r="Y149" s="31" t="str">
        <f aca="false">IF(Tasks[[#This Row],[Task Name]]="","",IF(Tasks[[#This Row],[_IsSummary]],MIN(INDEX(Tasks[_ShownFcstStart],Tasks[[#This Row],[_Row]]+1):INDEX(Tasks[_ShownFcstStart],Tasks[[#This Row],[_Row]]+Tasks[[#This Row],[_Descendants]])),Tasks[[#This Row],[_ShownFcstStart]]))</f>
        <v/>
      </c>
      <c r="Z149" s="31" t="str">
        <f aca="false">IF(Tasks[[#This Row],[Task Name]]="","",IF(Tasks[[#This Row],[_IsSummary]],MAX(INDEX(Tasks[_ShownFcstFinish],Tasks[[#This Row],[_Row]]+1):INDEX(Tasks[_ShownFcstFinish],Tasks[[#This Row],[_Row]]+Tasks[[#This Row],[_Descendants]])),Tasks[[#This Row],[_ShownFcstFinish]]))</f>
        <v/>
      </c>
      <c r="AA149" s="51" t="str">
        <f aca="false">IF(Tasks[[#This Row],[Task Name]]="","",IF(Tasks[[#This Row],[Progress]]&gt;=1,"Complete",IF(OR(N(Tasks[[#This Row],[Actual Start]])&gt;0,Tasks[[#This Row],[Progress]]&gt;0),IF(Tasks[[#This Row],[Finish Var]]&gt;0,"Behind","In Progress"),IF(Tasks[[#This Row],[Planned Start]]&lt;StatusDate,"Late Start","Not Started"))))</f>
        <v/>
      </c>
      <c r="AB149" s="51" t="str">
        <f aca="false">IF(Tasks[[#This Row],[Task Name]]="","",IF(IF(Tasks[[#This Row],[_IsSummary]],COUNTIF(INDEX(Tasks[_LeafCritical],Tasks[[#This Row],[_Row]]+1):INDEX(Tasks[_LeafCritical],Tasks[[#This Row],[_Row]]+Tasks[[#This Row],[_Descendants]]),TRUE())&gt;0,Tasks[[#This Row],[_LeafCritical]]),"Yes",""))</f>
        <v/>
      </c>
      <c r="AC14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9" s="51" t="str">
        <f aca="false">IF(Tasks[[#This Row],[Task Name]]="","",IF(Tasks[[#This Row],[_Level]]&lt;=OutlineShowLevel,"Yes","No"))</f>
        <v/>
      </c>
      <c r="AE149" s="7"/>
      <c r="AF149" s="52"/>
      <c r="AG149" s="53"/>
      <c r="AH149" s="7"/>
      <c r="AI14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9" s="31" t="str">
        <f aca="false">IF(Tasks[[#This Row],[Task Name]]="","",IF(N(Tasks[[#This Row],[Baseline Start]])&gt;0,Tasks[[#This Row],[Baseline Start]],Tasks[[#This Row],[_CalcStart]]))</f>
        <v/>
      </c>
      <c r="AK149" s="31" t="str">
        <f aca="false">IF(Tasks[[#This Row],[Task Name]]="","",IF(N(Tasks[[#This Row],[Baseline Finish]])&gt;0,Tasks[[#This Row],[Baseline Finish]],Tasks[[#This Row],[_CalcFinish]]))</f>
        <v/>
      </c>
      <c r="AL14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9" s="31" t="str">
        <f aca="false">IF(Tasks[[#This Row],[Task Name]]="","",IF(Tasks[[#This Row],[_IsSummary]],MIN(INDEX(Tasks[_LeafLateStart],Tasks[[#This Row],[_Row]]+1):INDEX(Tasks[_LeafLateStart],Tasks[[#This Row],[_Row]]+Tasks[[#This Row],[_Descendants]])),Tasks[[#This Row],[_LeafLateStart]]))</f>
        <v/>
      </c>
      <c r="AN149" s="31" t="str">
        <f aca="false">IF(Tasks[[#This Row],[Task Name]]="","",IF(Tasks[[#This Row],[_IsSummary]],MAX(INDEX(Tasks[_LeafLateFinish],Tasks[[#This Row],[_Row]]+1):INDEX(Tasks[_LeafLateFinish],Tasks[[#This Row],[_Row]]+Tasks[[#This Row],[_Descendants]])),Tasks[[#This Row],[_LeafLateFinish]]))</f>
        <v/>
      </c>
      <c r="AO149" s="51" t="str">
        <f aca="false">IF(Tasks[[#This Row],[Task Name]]="","",IF(Tasks[[#This Row],[_IsSummary]],MIN(INDEX(Tasks[_LeafTotalSlack],Tasks[[#This Row],[_Row]]+1):INDEX(Tasks[_LeafTotalSlack],Tasks[[#This Row],[_Row]]+Tasks[[#This Row],[_Descendants]])),Tasks[[#This Row],[_LeafTotalSlack]]))</f>
        <v/>
      </c>
      <c r="AP14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9" s="110" t="str">
        <f aca="false">IF(Tasks[[#This Row],[Task Name]]="","",IF(Tasks[[#This Row],[_IsSummary]],SUM(INDEX(Tasks[_LeafTotalWork],Tasks[[#This Row],[_Row]]+1):INDEX(Tasks[_LeafTotalWork],Tasks[[#This Row],[_Row]]+Tasks[[#This Row],[_Descendants]])),Tasks[[#This Row],[_LeafTotalWork]]))</f>
        <v/>
      </c>
      <c r="AV14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9" s="111" t="str">
        <f aca="false">IF(Tasks[[#This Row],[Task Name]]="","",IF(Tasks[[#This Row],[_IsSummary]],SUM(INDEX(Tasks[_LeafTotalCost],Tasks[[#This Row],[_Row]]+1):INDEX(Tasks[_LeafTotalCost],Tasks[[#This Row],[_Row]]+Tasks[[#This Row],[_Descendants]])),Tasks[[#This Row],[_LeafTotalCost]]))</f>
        <v/>
      </c>
      <c r="AY149" s="112"/>
      <c r="AZ14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9" s="52"/>
      <c r="BB149" s="98"/>
      <c r="BC149" s="51" t="str">
        <f aca="false">IF(OR(Tasks[[#This Row],[Task Name]]="",Tasks[[#This Row],[Baseline Duration]]=""),"",Tasks[[#This Row],[BL Source Duration]]-N(Tasks[[#This Row],[Baseline Duration]]))</f>
        <v/>
      </c>
      <c r="BD149" s="110" t="str">
        <f aca="false">IF(OR(Tasks[[#This Row],[Task Name]]="",Tasks[[#This Row],[Baseline Work]]=""),"",Tasks[[#This Row],[Work]]-N(Tasks[[#This Row],[Baseline Work]]))</f>
        <v/>
      </c>
      <c r="BE149" s="111" t="str">
        <f aca="false">IF(OR(Tasks[[#This Row],[Task Name]]="",Tasks[[#This Row],[Baseline Cost]]=""),"",Tasks[[#This Row],[Cost]]-N(Tasks[[#This Row],[Baseline Cost]]))</f>
        <v/>
      </c>
      <c r="BF149" s="31" t="str">
        <f aca="false">IF(Tasks[[#This Row],[Task Name]]="","",Tasks[[#This Row],[Forecast Start]])</f>
        <v/>
      </c>
      <c r="BG149" s="31" t="str">
        <f aca="false">IF(Tasks[[#This Row],[Task Name]]="","",Tasks[[#This Row],[Forecast Finish]])</f>
        <v/>
      </c>
      <c r="BH149" s="51" t="str">
        <f aca="false">IF(Tasks[[#This Row],[Task Name]]="","",IF(Tasks[[#This Row],[_IsSummary]],NETWORKDAYS.INTL(Tasks[[#This Row],[Forecast Start]],Tasks[[#This Row],[Forecast Finish]],WorkWeek,Holidays),N(Tasks[[#This Row],[Duration]])))</f>
        <v/>
      </c>
      <c r="BI149" s="110" t="str">
        <f aca="false">IF(Tasks[[#This Row],[Task Name]]="","",Tasks[[#This Row],[Work]])</f>
        <v/>
      </c>
      <c r="BJ149" s="111" t="str">
        <f aca="false">IF(Tasks[[#This Row],[Task Name]]="","",Tasks[[#This Row],[Cost]])</f>
        <v/>
      </c>
      <c r="BK149" s="7"/>
      <c r="BL149" s="7"/>
      <c r="BM149" s="52"/>
      <c r="BN149" s="113"/>
      <c r="BO149" s="112"/>
      <c r="BP149" s="111" t="str">
        <f aca="false">IF(Tasks[[#This Row],[Task Name]]="","",IF(Tasks[[#This Row],[_IsSummary]],SUM(INDEX(Tasks[_LeafEV],Tasks[[#This Row],[_Row]]+1):INDEX(Tasks[_LeafEV],Tasks[[#This Row],[_Row]]+Tasks[[#This Row],[_Descendants]])),Tasks[[#This Row],[_LeafEV]]))</f>
        <v/>
      </c>
      <c r="BQ149" s="111" t="str">
        <f aca="false">IF(Tasks[[#This Row],[Task Name]]="","",IF(Tasks[[#This Row],[_IsSummary]],SUM(INDEX(Tasks[_LeafBudget],Tasks[[#This Row],[_Row]]+1):INDEX(Tasks[_LeafBudget],Tasks[[#This Row],[_Row]]+Tasks[[#This Row],[_Descendants]])),Tasks[[#This Row],[_LeafBudget]]))</f>
        <v/>
      </c>
      <c r="BR149" s="111" t="str">
        <f aca="false">IF(Tasks[[#This Row],[Task Name]]="","",IF(Tasks[[#This Row],[_IsSummary]],SUM(INDEX(Tasks[_LeafPV],Tasks[[#This Row],[_Row]]+1):INDEX(Tasks[_LeafPV],Tasks[[#This Row],[_Row]]+Tasks[[#This Row],[_Descendants]])),Tasks[[#This Row],[_LeafPV]]))</f>
        <v/>
      </c>
      <c r="BS149" s="111" t="str">
        <f aca="false">IF(Tasks[[#This Row],[Task Name]]="","",IF(Tasks[[#This Row],[_IsSummary]],SUM(INDEX(Tasks[_LeafAC],Tasks[[#This Row],[_Row]]+1):INDEX(Tasks[_LeafAC],Tasks[[#This Row],[_Row]]+Tasks[[#This Row],[_Descendants]])),Tasks[[#This Row],[_LeafAC]]))</f>
        <v/>
      </c>
      <c r="BT149" s="38" t="str">
        <f aca="false">IF(Tasks[[#This Row],[Task Name]]="","",MAX(1,N(Tasks[[#This Row],[Level]])))</f>
        <v/>
      </c>
      <c r="BU149" s="38" t="n">
        <f aca="false">ROW()-ROW(Tasks[[#Headers],[ID]])</f>
        <v>144</v>
      </c>
      <c r="BV149" s="38" t="n">
        <f aca="false">IF(OR(Tasks[[#This Row],[Task Name]]="",Tasks[[#This Row],[_Level]]&lt;=1),0,IFERROR(LOOKUP(2,1/(Tasks[[#Headers],[_Level]]:Tasks[[#This Row],[_Level]]=Tasks[[#This Row],[_Level]]-1),ROW(Tasks[[#Headers],[_Level]]:Tasks[[#This Row],[_Level]])),0))</f>
        <v>0</v>
      </c>
      <c r="BW149" s="38" t="n">
        <f aca="false">IFERROR(N(INDEX(Tasks[_Level],Tasks[[#This Row],[_Row]]+1)),0)</f>
        <v>0</v>
      </c>
      <c r="BX149" s="114" t="b">
        <f aca="false">AND(Tasks[[#This Row],[Task Name]]&lt;&gt;"",Tasks[[#This Row],[_NextLevel]]&gt;Tasks[[#This Row],[_Level]])</f>
        <v>0</v>
      </c>
      <c r="BY149" s="38" t="n">
        <f aca="false">IF(Tasks[[#This Row],[_IsSummary]],COUNTIF(Tasks[WBS],Tasks[[#This Row],[WBS]]&amp;".*"),0)</f>
        <v>0</v>
      </c>
      <c r="BZ149" s="38" t="n">
        <f aca="false">IF(AND(Tasks[[#This Row],[Task Name]]&lt;&gt;"",NOT(Tasks[[#This Row],[_IsSummary]])),1,0)</f>
        <v>0</v>
      </c>
      <c r="CA149" s="38" t="n">
        <f aca="false">IF(N(Tasks[[#This Row],[Pred1 UID]])=0,0,IFERROR(MATCH(Tasks[[#This Row],[Pred1 UID]],Tasks[UID],0),-1))</f>
        <v>0</v>
      </c>
      <c r="CB149" s="38" t="n">
        <f aca="false">IF(N(Tasks[[#This Row],[Pred2 UID]])=0,0,IFERROR(MATCH(Tasks[[#This Row],[Pred2 UID]],Tasks[UID],0),-1))</f>
        <v>0</v>
      </c>
      <c r="CC149" s="38" t="n">
        <f aca="false">IF(N(Tasks[[#This Row],[Pred3 UID]])=0,0,IFERROR(MATCH(Tasks[[#This Row],[Pred3 UID]],Tasks[UID],0),-1))</f>
        <v>0</v>
      </c>
      <c r="CD149" s="38" t="n">
        <f aca="false">IF(N(Tasks[[#This Row],[Pred4 UID]])=0,0,IFERROR(MATCH(Tasks[[#This Row],[Pred4 UID]],Tasks[UID],0),-1))</f>
        <v>0</v>
      </c>
      <c r="CE14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9" s="115" t="n">
        <f aca="false">IF(OR(Tasks[[#This Row],[_ConstraintCode]]=2,Tasks[[#This Row],[_ConstraintCode]]=3,Tasks[[#This Row],[_ConstraintCode]]=4,Tasks[[#This Row],[_ConstraintCode]]=6),Tasks[[#This Row],[_ConstraintStart]],0)</f>
        <v>0</v>
      </c>
      <c r="CH149" s="115" t="n">
        <f aca="false">IF(OR(Tasks[[#This Row],[_ConstraintCode]]=2,Tasks[[#This Row],[_ConstraintCode]]=3,Tasks[[#This Row],[_ConstraintCode]]=5,Tasks[[#This Row],[_ConstraintCode]]=7),Tasks[[#This Row],[_ConstraintStart]],2958465)</f>
        <v>2958465</v>
      </c>
      <c r="CI14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9" s="115" t="str">
        <f aca="false">IF(NOT(Tasks[[#This Row],[_IsLeaf]]=1),"",IF(N(Tasks[[#This Row],[Duration]])&lt;=0,Tasks[[#This Row],[_LeafCalcStart]],WORKDAY.INTL(Tasks[[#This Row],[_LeafCalcStart]],Tasks[[#This Row],[Duration]]-1,WorkWeek,Holidays)))</f>
        <v/>
      </c>
      <c r="CK14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9" s="38" t="n">
        <f aca="false">IF(NOT(Tasks[[#This Row],[_IsLeaf]]=1),0,IF(N(Tasks[[#This Row],[Actual Finish]])&gt;0,1,MIN(1,N(Tasks[[#This Row],[% Complete]]))))</f>
        <v>0</v>
      </c>
      <c r="CN149" s="38" t="n">
        <f aca="false">IF(OR(NOT(Tasks[[#This Row],[_IsLeaf]]=1),Tasks[[#This Row],[Resource]]=""),0,N(Tasks[[#This Row],[Duration]])*HoursPerDay*IF(Tasks[[#This Row],[Units]]="",DefaultUnits,Tasks[[#This Row],[Units]]))</f>
        <v>0</v>
      </c>
      <c r="CO149" s="38" t="n">
        <f aca="false">IF(Tasks[[#This Row],[_LeafWork]]=0,0,Tasks[[#This Row],[_LeafWork]]*IFERROR(INDEX(res_Rate,MATCH(Tasks[[#This Row],[Resource]],res_Name,0)),0))</f>
        <v>0</v>
      </c>
      <c r="CP149" s="38" t="n">
        <f aca="false">Tasks[[#This Row],[_LeafWork]]+IF(Tasks[[#This Row],[_IsLeaf]]=1,SUMIFS(asg_Work,asg_TaskUID,Tasks[[#This Row],[UID]],asg_Valid,1),0)</f>
        <v>0</v>
      </c>
      <c r="CQ149" s="38" t="n">
        <f aca="false">Tasks[[#This Row],[_LeafCost]]+IF(Tasks[[#This Row],[_IsLeaf]]=1,SUMIFS(asg_Cost,asg_TaskUID,Tasks[[#This Row],[UID]],asg_Valid,1),0)</f>
        <v>0</v>
      </c>
      <c r="CR149" s="38" t="n">
        <f aca="false">IF(Tasks[[#This Row],[_LeafTotalCost]]=0,Tasks[[#This Row],[_LeafAC]],Tasks[[#This Row],[_LeafAC]]*Tasks[[#This Row],[_LeafCost]]/Tasks[[#This Row],[_LeafTotalCost]])</f>
        <v>0</v>
      </c>
      <c r="CS14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9" s="38" t="n">
        <f aca="false">IF(NOT(Tasks[[#This Row],[_IsLeaf]]=1),0,MAX(_xlfn.MAXIFS(Tasks[_Row],Tasks[Pred1 UID],Tasks[[#This Row],[UID]]),_xlfn.MAXIFS(Tasks[_Row],Tasks[Pred2 UID],Tasks[[#This Row],[UID]]),_xlfn.MAXIFS(Tasks[_Row],Tasks[Pred3 UID],Tasks[[#This Row],[UID]]),_xlfn.MAXIFS(Tasks[_Row],Tasks[Pred4 UID],Tasks[[#This Row],[UID]])))</f>
        <v>0</v>
      </c>
      <c r="DB14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9" s="115" t="str">
        <f aca="false">IF(NOT(Tasks[[#This Row],[_IsLeaf]]=1),"",IF(N(Tasks[[#This Row],[Duration]])&lt;=0,Tasks[[#This Row],[_LeafLateFinish]],WORKDAY.INTL(Tasks[[#This Row],[_LeafLateFinish]],-(Tasks[[#This Row],[Duration]]-1),WorkWeek,Holidays)))</f>
        <v/>
      </c>
      <c r="DE14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9" s="114" t="b">
        <f aca="false">AND(Tasks[[#This Row],[_IsLeaf]]=1,Tasks[[#This Row],[_LeafProgress]]&lt;1,N(Tasks[[#This Row],[_LeafTotalSlack]])&lt;=CriticalSlackDays)</f>
        <v>0</v>
      </c>
      <c r="DG149" s="38" t="n">
        <f aca="false">IF(AND(Tasks[[#This Row],[_IsLeaf]]=1,Tasks[[#This Row],[_ConstraintCode]]=1,Tasks[[#This Row],[Mode]]&lt;&gt;"Manual",N(Tasks[[#This Row],[Actual Start]])=0),MAX(0,N(Tasks[[#This Row],[Free Slack]])),0)</f>
        <v>0</v>
      </c>
      <c r="DH149" s="115" t="str">
        <f aca="false">IF(NOT(Tasks[[#This Row],[_IsLeaf]]=1),"",IF(Tasks[[#This Row],[_AlapShift]]=0,Tasks[[#This Row],[_LeafCalcStart]],WORKDAY.INTL(Tasks[[#This Row],[_LeafCalcStart]],Tasks[[#This Row],[_AlapShift]],WorkWeek,Holidays)))</f>
        <v/>
      </c>
      <c r="DI149" s="115" t="str">
        <f aca="false">IF(NOT(Tasks[[#This Row],[_IsLeaf]]=1),"",IF(Tasks[[#This Row],[_AlapShift]]=0,Tasks[[#This Row],[_LeafCalcFinish]],WORKDAY.INTL(Tasks[[#This Row],[_LeafCalcFinish]],Tasks[[#This Row],[_AlapShift]],WorkWeek,Holidays)))</f>
        <v/>
      </c>
      <c r="DJ149" s="115" t="str">
        <f aca="false">IF(NOT(Tasks[[#This Row],[_IsLeaf]]=1),"",IF(Tasks[[#This Row],[_AlapShift]]=0,Tasks[[#This Row],[_LeafFcstStart]],WORKDAY.INTL(Tasks[[#This Row],[_LeafFcstStart]],Tasks[[#This Row],[_AlapShift]],WorkWeek,Holidays)))</f>
        <v/>
      </c>
      <c r="DK149" s="115" t="str">
        <f aca="false">IF(NOT(Tasks[[#This Row],[_IsLeaf]]=1),"",IF(Tasks[[#This Row],[_AlapShift]]=0,Tasks[[#This Row],[_LeafFcstFinish]],WORKDAY.INTL(Tasks[[#This Row],[_LeafFcstFinish]],Tasks[[#This Row],[_AlapShift]],WorkWeek,Holidays)))</f>
        <v/>
      </c>
      <c r="DL149" s="115" t="str">
        <f aca="false">IF(Tasks[[#This Row],[Task Name]]="","",IF(Tasks[[#This Row],[_IsSummary]],MIN(INDEX(Tasks[_ShownCalcStart],Tasks[[#This Row],[_Row]]+1):INDEX(Tasks[_ShownCalcStart],Tasks[[#This Row],[_Row]]+Tasks[[#This Row],[_Descendants]])),Tasks[[#This Row],[_ShownCalcStart]]))</f>
        <v/>
      </c>
      <c r="DM149" s="115" t="str">
        <f aca="false">IF(Tasks[[#This Row],[Task Name]]="","",IF(Tasks[[#This Row],[_IsSummary]],MAX(INDEX(Tasks[_ShownCalcFinish],Tasks[[#This Row],[_Row]]+1):INDEX(Tasks[_ShownCalcFinish],Tasks[[#This Row],[_Row]]+Tasks[[#This Row],[_Descendants]])),Tasks[[#This Row],[_ShownCalcFinish]]))</f>
        <v/>
      </c>
      <c r="DN14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9" s="38" t="n">
        <f aca="false">IF(AND(Tasks[[#This Row],[_IsLeaf]]=1,Tasks[[#This Row],[_LeafTotalWork]]&gt;0),NETWORKDAYS.INTL(ProjectStart,Tasks[[#This Row],[_ShownFcstStart]],WorkWeek,Holidays),0)</f>
        <v>0</v>
      </c>
      <c r="EA149" s="38" t="n">
        <f aca="false">IF(AND(Tasks[[#This Row],[_IsLeaf]]=1,Tasks[[#This Row],[_LeafTotalWork]]&gt;0),MAX(Tasks[[#This Row],[_StartWorkday]],NETWORKDAYS.INTL(ProjectStart,Tasks[[#This Row],[_ShownFcstFinish]],WorkWeek,Holidays)),0)</f>
        <v>0</v>
      </c>
      <c r="EB149" s="38" t="n">
        <f aca="false">IF(AND(Tasks[[#This Row],[_IsLeaf]]=1,Tasks[[#This Row],[_LeafTotalWork]]&gt;0),Tasks[[#This Row],[_LeafWork]]/(Tasks[[#This Row],[_FinishWorkday]]-Tasks[[#This Row],[_StartWorkday]]+1),0)</f>
        <v>0</v>
      </c>
      <c r="EC149" s="38" t="n">
        <f aca="false">Tasks[[#This Row],[_WorkPerWorkday]]*(Tasks[[#This Row],[_StartWorkday]]-1)</f>
        <v>-0</v>
      </c>
      <c r="ED149" s="38" t="n">
        <f aca="false">IF(Tasks[[#This Row],[_IsLeaf]]=1,MAX(N(Tasks[[#This Row],[Duration]]),0.1),0)</f>
        <v>0</v>
      </c>
      <c r="EE149" s="38" t="n">
        <f aca="false">Tasks[[#This Row],[_WeightDur]]*Tasks[[#This Row],[_LeafProgress]]</f>
        <v>0</v>
      </c>
      <c r="EF14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9" s="38" t="str">
        <f aca="false">IF(AND(Tasks[[#This Row],[_IsLeaf]]=1,N(Tasks[[#This Row],[Duration]])=0,Tasks[[#This Row],[_LeafProgress]]&lt;1),Tasks[[#This Row],[_ShownFcstFinish]]+Tasks[[#This Row],[_Row]]/100000,"")</f>
        <v/>
      </c>
      <c r="EH14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9" s="38" t="n">
        <f aca="false">IF(NOT(Tasks[[#This Row],[_IsLeaf]]=1),0,IF(Tasks[[#This Row],[Baseline Cost]]="",Tasks[[#This Row],[_LeafTotalCost]],N(Tasks[[#This Row],[Baseline Cost]])))</f>
        <v>0</v>
      </c>
      <c r="EJ149" s="38" t="n">
        <f aca="false">Tasks[[#This Row],[_LeafBudget]]*Tasks[[#This Row],[_PlannedPct]]</f>
        <v>0</v>
      </c>
      <c r="EK149" s="38" t="n">
        <f aca="false">Tasks[[#This Row],[_LeafBudget]]*Tasks[[#This Row],[_LeafProgress]]</f>
        <v>0</v>
      </c>
      <c r="EL149" s="38" t="n">
        <f aca="false">IF(NOT(Tasks[[#This Row],[_IsLeaf]]=1),0,IF(Tasks[[#This Row],[Actual Cost]]="",Tasks[[#This Row],[_LeafTotalCost]]*Tasks[[#This Row],[_LeafProgress]],N(Tasks[[#This Row],[Actual Cost]])))</f>
        <v>0</v>
      </c>
      <c r="EM149" s="38" t="str">
        <f aca="false">IF(Tasks[[#This Row],[Task Name]]="","",LEFT(Tasks[[#This Row],[WBS]],FIND(".",Tasks[[#This Row],[WBS]]&amp;".")-1))</f>
        <v/>
      </c>
      <c r="EN149" s="38" t="str">
        <f aca="false">IF(AND(Tasks[[#This Row],[Task Name]]&lt;&gt;"",Tasks[[#This Row],[_Level]]=1),Tasks[[#This Row],[_Row]],"")</f>
        <v/>
      </c>
      <c r="EO149" s="38" t="str">
        <f aca="false">IF(AND(Tasks[[#This Row],[_IsLeaf]]=1,N(Tasks[[#This Row],[Duration]])=0),Tasks[[#This Row],[Planned Finish]]+Tasks[[#This Row],[_Row]]/100000,"")</f>
        <v/>
      </c>
      <c r="EP149" s="38" t="str">
        <f aca="false">IF(AND(Tasks[[#This Row],[_IsLeaf]]=1,Tasks[[#This Row],[_LeafProgress]]&lt;1,OR(N(Tasks[[#This Row],[Finish Var]])&gt;0,Tasks[[#This Row],[Status]]="Late Start")),MAX(0,Tasks[[#This Row],[Finish Var]])+1-Tasks[[#This Row],[_Row]]/1000000,"")</f>
        <v/>
      </c>
      <c r="EQ149" s="38" t="str">
        <f aca="false">IF(AND(Tasks[[#This Row],[_IsLeaf]]=1,N(Tasks[[#This Row],[Actual Start]])=0,Tasks[[#This Row],[_ShownFcstStart]]&gt;=StatusDate,Tasks[[#This Row],[_ShownFcstStart]]&lt;=LookaheadEnd),Tasks[[#This Row],[_ShownFcstStart]]+Tasks[[#This Row],[_Row]]/100000,"")</f>
        <v/>
      </c>
      <c r="ER149" s="38" t="str">
        <f aca="false">IF(AND(Tasks[[#This Row],[_IsLeaf]]=1,Tasks[[#This Row],[_LeafProgress]]&lt;1,Tasks[[#This Row],[_ShownFcstFinish]]&gt;=StatusDate,Tasks[[#This Row],[_ShownFcstFinish]]&lt;=LookaheadEnd),Tasks[[#This Row],[_ShownFcstFinish]]+Tasks[[#This Row],[_Row]]/100000,"")</f>
        <v/>
      </c>
      <c r="ES149" s="38" t="str">
        <f aca="false">IF(Tasks[[#This Row],[_LeafCritical]],Tasks[[#This Row],[_ShownFcstStart]]+Tasks[[#This Row],[_Row]]/100000,"")</f>
        <v/>
      </c>
      <c r="ET149" s="38" t="n">
        <f aca="false">Tasks[[#This Row],[_LeafWork]]*Tasks[[#This Row],[_LeafProgress]]</f>
        <v>0</v>
      </c>
      <c r="EU149" s="115" t="str">
        <f aca="false">IF(AND(Tasks[[#This Row],[_IsLeaf]]=1,Tasks[[#This Row],[_LeafProgress]]&gt;=1),IF(N(Tasks[[#This Row],[Actual Finish]])&gt;0,Tasks[[#This Row],[Actual Finish]],Tasks[[#This Row],[_ShownFcstFinish]]),"")</f>
        <v/>
      </c>
      <c r="EV149" s="38" t="n">
        <f aca="false">IF(Tasks[[#This Row],[_IsLeaf]]=1,N(Tasks[[#This Row],[Story Points]]),0)</f>
        <v>0</v>
      </c>
      <c r="EW149" s="38" t="str">
        <f aca="false">IF(AND(Tasks[[#This Row],[_IsLeaf]]=1,CurrentSprint&lt;&gt;"",Tasks[[#This Row],[Sprint]]=CurrentSprint),Tasks[[#This Row],[_Row]],"")</f>
        <v/>
      </c>
    </row>
    <row r="150" customFormat="false" ht="15" hidden="false" customHeight="false" outlineLevel="0" collapsed="false">
      <c r="A150" s="51" t="str">
        <f aca="false">IF(Tasks[[#This Row],[Task Name]]="","",COUNTA(Tasks[[#Headers],[Task Name]]:Tasks[[#This Row],[Task Name]])-1)</f>
        <v/>
      </c>
      <c r="B150" s="52" t="n">
        <v>145</v>
      </c>
      <c r="C15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52"/>
      <c r="E150" s="53"/>
      <c r="F150" s="52"/>
      <c r="G150" s="52"/>
      <c r="H150" s="52"/>
      <c r="I150" s="52"/>
      <c r="J150" s="52"/>
      <c r="K150" s="52"/>
      <c r="L150" s="52"/>
      <c r="M150" s="52"/>
      <c r="N150" s="52"/>
      <c r="O150" s="52"/>
      <c r="P150" s="52"/>
      <c r="Q150" s="52"/>
      <c r="R150" s="52"/>
      <c r="S150" s="53"/>
      <c r="T150" s="102"/>
      <c r="U150" s="102"/>
      <c r="V150" s="7"/>
      <c r="W150" s="7"/>
      <c r="X150" s="53"/>
      <c r="Y150" s="31" t="str">
        <f aca="false">IF(Tasks[[#This Row],[Task Name]]="","",IF(Tasks[[#This Row],[_IsSummary]],MIN(INDEX(Tasks[_ShownFcstStart],Tasks[[#This Row],[_Row]]+1):INDEX(Tasks[_ShownFcstStart],Tasks[[#This Row],[_Row]]+Tasks[[#This Row],[_Descendants]])),Tasks[[#This Row],[_ShownFcstStart]]))</f>
        <v/>
      </c>
      <c r="Z150" s="31" t="str">
        <f aca="false">IF(Tasks[[#This Row],[Task Name]]="","",IF(Tasks[[#This Row],[_IsSummary]],MAX(INDEX(Tasks[_ShownFcstFinish],Tasks[[#This Row],[_Row]]+1):INDEX(Tasks[_ShownFcstFinish],Tasks[[#This Row],[_Row]]+Tasks[[#This Row],[_Descendants]])),Tasks[[#This Row],[_ShownFcstFinish]]))</f>
        <v/>
      </c>
      <c r="AA150" s="51" t="str">
        <f aca="false">IF(Tasks[[#This Row],[Task Name]]="","",IF(Tasks[[#This Row],[Progress]]&gt;=1,"Complete",IF(OR(N(Tasks[[#This Row],[Actual Start]])&gt;0,Tasks[[#This Row],[Progress]]&gt;0),IF(Tasks[[#This Row],[Finish Var]]&gt;0,"Behind","In Progress"),IF(Tasks[[#This Row],[Planned Start]]&lt;StatusDate,"Late Start","Not Started"))))</f>
        <v/>
      </c>
      <c r="AB150" s="51" t="str">
        <f aca="false">IF(Tasks[[#This Row],[Task Name]]="","",IF(IF(Tasks[[#This Row],[_IsSummary]],COUNTIF(INDEX(Tasks[_LeafCritical],Tasks[[#This Row],[_Row]]+1):INDEX(Tasks[_LeafCritical],Tasks[[#This Row],[_Row]]+Tasks[[#This Row],[_Descendants]]),TRUE())&gt;0,Tasks[[#This Row],[_LeafCritical]]),"Yes",""))</f>
        <v/>
      </c>
      <c r="AC15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0" s="51" t="str">
        <f aca="false">IF(Tasks[[#This Row],[Task Name]]="","",IF(Tasks[[#This Row],[_Level]]&lt;=OutlineShowLevel,"Yes","No"))</f>
        <v/>
      </c>
      <c r="AE150" s="7"/>
      <c r="AF150" s="52"/>
      <c r="AG150" s="53"/>
      <c r="AH150" s="7"/>
      <c r="AI15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0" s="31" t="str">
        <f aca="false">IF(Tasks[[#This Row],[Task Name]]="","",IF(N(Tasks[[#This Row],[Baseline Start]])&gt;0,Tasks[[#This Row],[Baseline Start]],Tasks[[#This Row],[_CalcStart]]))</f>
        <v/>
      </c>
      <c r="AK150" s="31" t="str">
        <f aca="false">IF(Tasks[[#This Row],[Task Name]]="","",IF(N(Tasks[[#This Row],[Baseline Finish]])&gt;0,Tasks[[#This Row],[Baseline Finish]],Tasks[[#This Row],[_CalcFinish]]))</f>
        <v/>
      </c>
      <c r="AL15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0" s="31" t="str">
        <f aca="false">IF(Tasks[[#This Row],[Task Name]]="","",IF(Tasks[[#This Row],[_IsSummary]],MIN(INDEX(Tasks[_LeafLateStart],Tasks[[#This Row],[_Row]]+1):INDEX(Tasks[_LeafLateStart],Tasks[[#This Row],[_Row]]+Tasks[[#This Row],[_Descendants]])),Tasks[[#This Row],[_LeafLateStart]]))</f>
        <v/>
      </c>
      <c r="AN150" s="31" t="str">
        <f aca="false">IF(Tasks[[#This Row],[Task Name]]="","",IF(Tasks[[#This Row],[_IsSummary]],MAX(INDEX(Tasks[_LeafLateFinish],Tasks[[#This Row],[_Row]]+1):INDEX(Tasks[_LeafLateFinish],Tasks[[#This Row],[_Row]]+Tasks[[#This Row],[_Descendants]])),Tasks[[#This Row],[_LeafLateFinish]]))</f>
        <v/>
      </c>
      <c r="AO150" s="51" t="str">
        <f aca="false">IF(Tasks[[#This Row],[Task Name]]="","",IF(Tasks[[#This Row],[_IsSummary]],MIN(INDEX(Tasks[_LeafTotalSlack],Tasks[[#This Row],[_Row]]+1):INDEX(Tasks[_LeafTotalSlack],Tasks[[#This Row],[_Row]]+Tasks[[#This Row],[_Descendants]])),Tasks[[#This Row],[_LeafTotalSlack]]))</f>
        <v/>
      </c>
      <c r="AP15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0" s="110" t="str">
        <f aca="false">IF(Tasks[[#This Row],[Task Name]]="","",IF(Tasks[[#This Row],[_IsSummary]],SUM(INDEX(Tasks[_LeafTotalWork],Tasks[[#This Row],[_Row]]+1):INDEX(Tasks[_LeafTotalWork],Tasks[[#This Row],[_Row]]+Tasks[[#This Row],[_Descendants]])),Tasks[[#This Row],[_LeafTotalWork]]))</f>
        <v/>
      </c>
      <c r="AV15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0" s="111" t="str">
        <f aca="false">IF(Tasks[[#This Row],[Task Name]]="","",IF(Tasks[[#This Row],[_IsSummary]],SUM(INDEX(Tasks[_LeafTotalCost],Tasks[[#This Row],[_Row]]+1):INDEX(Tasks[_LeafTotalCost],Tasks[[#This Row],[_Row]]+Tasks[[#This Row],[_Descendants]])),Tasks[[#This Row],[_LeafTotalCost]]))</f>
        <v/>
      </c>
      <c r="AY150" s="112"/>
      <c r="AZ15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0" s="52"/>
      <c r="BB150" s="98"/>
      <c r="BC150" s="51" t="str">
        <f aca="false">IF(OR(Tasks[[#This Row],[Task Name]]="",Tasks[[#This Row],[Baseline Duration]]=""),"",Tasks[[#This Row],[BL Source Duration]]-N(Tasks[[#This Row],[Baseline Duration]]))</f>
        <v/>
      </c>
      <c r="BD150" s="110" t="str">
        <f aca="false">IF(OR(Tasks[[#This Row],[Task Name]]="",Tasks[[#This Row],[Baseline Work]]=""),"",Tasks[[#This Row],[Work]]-N(Tasks[[#This Row],[Baseline Work]]))</f>
        <v/>
      </c>
      <c r="BE150" s="111" t="str">
        <f aca="false">IF(OR(Tasks[[#This Row],[Task Name]]="",Tasks[[#This Row],[Baseline Cost]]=""),"",Tasks[[#This Row],[Cost]]-N(Tasks[[#This Row],[Baseline Cost]]))</f>
        <v/>
      </c>
      <c r="BF150" s="31" t="str">
        <f aca="false">IF(Tasks[[#This Row],[Task Name]]="","",Tasks[[#This Row],[Forecast Start]])</f>
        <v/>
      </c>
      <c r="BG150" s="31" t="str">
        <f aca="false">IF(Tasks[[#This Row],[Task Name]]="","",Tasks[[#This Row],[Forecast Finish]])</f>
        <v/>
      </c>
      <c r="BH150" s="51" t="str">
        <f aca="false">IF(Tasks[[#This Row],[Task Name]]="","",IF(Tasks[[#This Row],[_IsSummary]],NETWORKDAYS.INTL(Tasks[[#This Row],[Forecast Start]],Tasks[[#This Row],[Forecast Finish]],WorkWeek,Holidays),N(Tasks[[#This Row],[Duration]])))</f>
        <v/>
      </c>
      <c r="BI150" s="110" t="str">
        <f aca="false">IF(Tasks[[#This Row],[Task Name]]="","",Tasks[[#This Row],[Work]])</f>
        <v/>
      </c>
      <c r="BJ150" s="111" t="str">
        <f aca="false">IF(Tasks[[#This Row],[Task Name]]="","",Tasks[[#This Row],[Cost]])</f>
        <v/>
      </c>
      <c r="BK150" s="7"/>
      <c r="BL150" s="7"/>
      <c r="BM150" s="52"/>
      <c r="BN150" s="113"/>
      <c r="BO150" s="112"/>
      <c r="BP150" s="111" t="str">
        <f aca="false">IF(Tasks[[#This Row],[Task Name]]="","",IF(Tasks[[#This Row],[_IsSummary]],SUM(INDEX(Tasks[_LeafEV],Tasks[[#This Row],[_Row]]+1):INDEX(Tasks[_LeafEV],Tasks[[#This Row],[_Row]]+Tasks[[#This Row],[_Descendants]])),Tasks[[#This Row],[_LeafEV]]))</f>
        <v/>
      </c>
      <c r="BQ150" s="111" t="str">
        <f aca="false">IF(Tasks[[#This Row],[Task Name]]="","",IF(Tasks[[#This Row],[_IsSummary]],SUM(INDEX(Tasks[_LeafBudget],Tasks[[#This Row],[_Row]]+1):INDEX(Tasks[_LeafBudget],Tasks[[#This Row],[_Row]]+Tasks[[#This Row],[_Descendants]])),Tasks[[#This Row],[_LeafBudget]]))</f>
        <v/>
      </c>
      <c r="BR150" s="111" t="str">
        <f aca="false">IF(Tasks[[#This Row],[Task Name]]="","",IF(Tasks[[#This Row],[_IsSummary]],SUM(INDEX(Tasks[_LeafPV],Tasks[[#This Row],[_Row]]+1):INDEX(Tasks[_LeafPV],Tasks[[#This Row],[_Row]]+Tasks[[#This Row],[_Descendants]])),Tasks[[#This Row],[_LeafPV]]))</f>
        <v/>
      </c>
      <c r="BS150" s="111" t="str">
        <f aca="false">IF(Tasks[[#This Row],[Task Name]]="","",IF(Tasks[[#This Row],[_IsSummary]],SUM(INDEX(Tasks[_LeafAC],Tasks[[#This Row],[_Row]]+1):INDEX(Tasks[_LeafAC],Tasks[[#This Row],[_Row]]+Tasks[[#This Row],[_Descendants]])),Tasks[[#This Row],[_LeafAC]]))</f>
        <v/>
      </c>
      <c r="BT150" s="38" t="str">
        <f aca="false">IF(Tasks[[#This Row],[Task Name]]="","",MAX(1,N(Tasks[[#This Row],[Level]])))</f>
        <v/>
      </c>
      <c r="BU150" s="38" t="n">
        <f aca="false">ROW()-ROW(Tasks[[#Headers],[ID]])</f>
        <v>145</v>
      </c>
      <c r="BV150" s="38" t="n">
        <f aca="false">IF(OR(Tasks[[#This Row],[Task Name]]="",Tasks[[#This Row],[_Level]]&lt;=1),0,IFERROR(LOOKUP(2,1/(Tasks[[#Headers],[_Level]]:Tasks[[#This Row],[_Level]]=Tasks[[#This Row],[_Level]]-1),ROW(Tasks[[#Headers],[_Level]]:Tasks[[#This Row],[_Level]])),0))</f>
        <v>0</v>
      </c>
      <c r="BW150" s="38" t="n">
        <f aca="false">IFERROR(N(INDEX(Tasks[_Level],Tasks[[#This Row],[_Row]]+1)),0)</f>
        <v>0</v>
      </c>
      <c r="BX150" s="114" t="b">
        <f aca="false">AND(Tasks[[#This Row],[Task Name]]&lt;&gt;"",Tasks[[#This Row],[_NextLevel]]&gt;Tasks[[#This Row],[_Level]])</f>
        <v>0</v>
      </c>
      <c r="BY150" s="38" t="n">
        <f aca="false">IF(Tasks[[#This Row],[_IsSummary]],COUNTIF(Tasks[WBS],Tasks[[#This Row],[WBS]]&amp;".*"),0)</f>
        <v>0</v>
      </c>
      <c r="BZ150" s="38" t="n">
        <f aca="false">IF(AND(Tasks[[#This Row],[Task Name]]&lt;&gt;"",NOT(Tasks[[#This Row],[_IsSummary]])),1,0)</f>
        <v>0</v>
      </c>
      <c r="CA150" s="38" t="n">
        <f aca="false">IF(N(Tasks[[#This Row],[Pred1 UID]])=0,0,IFERROR(MATCH(Tasks[[#This Row],[Pred1 UID]],Tasks[UID],0),-1))</f>
        <v>0</v>
      </c>
      <c r="CB150" s="38" t="n">
        <f aca="false">IF(N(Tasks[[#This Row],[Pred2 UID]])=0,0,IFERROR(MATCH(Tasks[[#This Row],[Pred2 UID]],Tasks[UID],0),-1))</f>
        <v>0</v>
      </c>
      <c r="CC150" s="38" t="n">
        <f aca="false">IF(N(Tasks[[#This Row],[Pred3 UID]])=0,0,IFERROR(MATCH(Tasks[[#This Row],[Pred3 UID]],Tasks[UID],0),-1))</f>
        <v>0</v>
      </c>
      <c r="CD150" s="38" t="n">
        <f aca="false">IF(N(Tasks[[#This Row],[Pred4 UID]])=0,0,IFERROR(MATCH(Tasks[[#This Row],[Pred4 UID]],Tasks[UID],0),-1))</f>
        <v>0</v>
      </c>
      <c r="CE15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0" s="115" t="n">
        <f aca="false">IF(OR(Tasks[[#This Row],[_ConstraintCode]]=2,Tasks[[#This Row],[_ConstraintCode]]=3,Tasks[[#This Row],[_ConstraintCode]]=4,Tasks[[#This Row],[_ConstraintCode]]=6),Tasks[[#This Row],[_ConstraintStart]],0)</f>
        <v>0</v>
      </c>
      <c r="CH150" s="115" t="n">
        <f aca="false">IF(OR(Tasks[[#This Row],[_ConstraintCode]]=2,Tasks[[#This Row],[_ConstraintCode]]=3,Tasks[[#This Row],[_ConstraintCode]]=5,Tasks[[#This Row],[_ConstraintCode]]=7),Tasks[[#This Row],[_ConstraintStart]],2958465)</f>
        <v>2958465</v>
      </c>
      <c r="CI15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0" s="115" t="str">
        <f aca="false">IF(NOT(Tasks[[#This Row],[_IsLeaf]]=1),"",IF(N(Tasks[[#This Row],[Duration]])&lt;=0,Tasks[[#This Row],[_LeafCalcStart]],WORKDAY.INTL(Tasks[[#This Row],[_LeafCalcStart]],Tasks[[#This Row],[Duration]]-1,WorkWeek,Holidays)))</f>
        <v/>
      </c>
      <c r="CK15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0" s="38" t="n">
        <f aca="false">IF(NOT(Tasks[[#This Row],[_IsLeaf]]=1),0,IF(N(Tasks[[#This Row],[Actual Finish]])&gt;0,1,MIN(1,N(Tasks[[#This Row],[% Complete]]))))</f>
        <v>0</v>
      </c>
      <c r="CN150" s="38" t="n">
        <f aca="false">IF(OR(NOT(Tasks[[#This Row],[_IsLeaf]]=1),Tasks[[#This Row],[Resource]]=""),0,N(Tasks[[#This Row],[Duration]])*HoursPerDay*IF(Tasks[[#This Row],[Units]]="",DefaultUnits,Tasks[[#This Row],[Units]]))</f>
        <v>0</v>
      </c>
      <c r="CO150" s="38" t="n">
        <f aca="false">IF(Tasks[[#This Row],[_LeafWork]]=0,0,Tasks[[#This Row],[_LeafWork]]*IFERROR(INDEX(res_Rate,MATCH(Tasks[[#This Row],[Resource]],res_Name,0)),0))</f>
        <v>0</v>
      </c>
      <c r="CP150" s="38" t="n">
        <f aca="false">Tasks[[#This Row],[_LeafWork]]+IF(Tasks[[#This Row],[_IsLeaf]]=1,SUMIFS(asg_Work,asg_TaskUID,Tasks[[#This Row],[UID]],asg_Valid,1),0)</f>
        <v>0</v>
      </c>
      <c r="CQ150" s="38" t="n">
        <f aca="false">Tasks[[#This Row],[_LeafCost]]+IF(Tasks[[#This Row],[_IsLeaf]]=1,SUMIFS(asg_Cost,asg_TaskUID,Tasks[[#This Row],[UID]],asg_Valid,1),0)</f>
        <v>0</v>
      </c>
      <c r="CR150" s="38" t="n">
        <f aca="false">IF(Tasks[[#This Row],[_LeafTotalCost]]=0,Tasks[[#This Row],[_LeafAC]],Tasks[[#This Row],[_LeafAC]]*Tasks[[#This Row],[_LeafCost]]/Tasks[[#This Row],[_LeafTotalCost]])</f>
        <v>0</v>
      </c>
      <c r="CS15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0" s="38" t="n">
        <f aca="false">IF(NOT(Tasks[[#This Row],[_IsLeaf]]=1),0,MAX(_xlfn.MAXIFS(Tasks[_Row],Tasks[Pred1 UID],Tasks[[#This Row],[UID]]),_xlfn.MAXIFS(Tasks[_Row],Tasks[Pred2 UID],Tasks[[#This Row],[UID]]),_xlfn.MAXIFS(Tasks[_Row],Tasks[Pred3 UID],Tasks[[#This Row],[UID]]),_xlfn.MAXIFS(Tasks[_Row],Tasks[Pred4 UID],Tasks[[#This Row],[UID]])))</f>
        <v>0</v>
      </c>
      <c r="DB15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0" s="115" t="str">
        <f aca="false">IF(NOT(Tasks[[#This Row],[_IsLeaf]]=1),"",IF(N(Tasks[[#This Row],[Duration]])&lt;=0,Tasks[[#This Row],[_LeafLateFinish]],WORKDAY.INTL(Tasks[[#This Row],[_LeafLateFinish]],-(Tasks[[#This Row],[Duration]]-1),WorkWeek,Holidays)))</f>
        <v/>
      </c>
      <c r="DE15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0" s="114" t="b">
        <f aca="false">AND(Tasks[[#This Row],[_IsLeaf]]=1,Tasks[[#This Row],[_LeafProgress]]&lt;1,N(Tasks[[#This Row],[_LeafTotalSlack]])&lt;=CriticalSlackDays)</f>
        <v>0</v>
      </c>
      <c r="DG150" s="38" t="n">
        <f aca="false">IF(AND(Tasks[[#This Row],[_IsLeaf]]=1,Tasks[[#This Row],[_ConstraintCode]]=1,Tasks[[#This Row],[Mode]]&lt;&gt;"Manual",N(Tasks[[#This Row],[Actual Start]])=0),MAX(0,N(Tasks[[#This Row],[Free Slack]])),0)</f>
        <v>0</v>
      </c>
      <c r="DH150" s="115" t="str">
        <f aca="false">IF(NOT(Tasks[[#This Row],[_IsLeaf]]=1),"",IF(Tasks[[#This Row],[_AlapShift]]=0,Tasks[[#This Row],[_LeafCalcStart]],WORKDAY.INTL(Tasks[[#This Row],[_LeafCalcStart]],Tasks[[#This Row],[_AlapShift]],WorkWeek,Holidays)))</f>
        <v/>
      </c>
      <c r="DI150" s="115" t="str">
        <f aca="false">IF(NOT(Tasks[[#This Row],[_IsLeaf]]=1),"",IF(Tasks[[#This Row],[_AlapShift]]=0,Tasks[[#This Row],[_LeafCalcFinish]],WORKDAY.INTL(Tasks[[#This Row],[_LeafCalcFinish]],Tasks[[#This Row],[_AlapShift]],WorkWeek,Holidays)))</f>
        <v/>
      </c>
      <c r="DJ150" s="115" t="str">
        <f aca="false">IF(NOT(Tasks[[#This Row],[_IsLeaf]]=1),"",IF(Tasks[[#This Row],[_AlapShift]]=0,Tasks[[#This Row],[_LeafFcstStart]],WORKDAY.INTL(Tasks[[#This Row],[_LeafFcstStart]],Tasks[[#This Row],[_AlapShift]],WorkWeek,Holidays)))</f>
        <v/>
      </c>
      <c r="DK150" s="115" t="str">
        <f aca="false">IF(NOT(Tasks[[#This Row],[_IsLeaf]]=1),"",IF(Tasks[[#This Row],[_AlapShift]]=0,Tasks[[#This Row],[_LeafFcstFinish]],WORKDAY.INTL(Tasks[[#This Row],[_LeafFcstFinish]],Tasks[[#This Row],[_AlapShift]],WorkWeek,Holidays)))</f>
        <v/>
      </c>
      <c r="DL150" s="115" t="str">
        <f aca="false">IF(Tasks[[#This Row],[Task Name]]="","",IF(Tasks[[#This Row],[_IsSummary]],MIN(INDEX(Tasks[_ShownCalcStart],Tasks[[#This Row],[_Row]]+1):INDEX(Tasks[_ShownCalcStart],Tasks[[#This Row],[_Row]]+Tasks[[#This Row],[_Descendants]])),Tasks[[#This Row],[_ShownCalcStart]]))</f>
        <v/>
      </c>
      <c r="DM150" s="115" t="str">
        <f aca="false">IF(Tasks[[#This Row],[Task Name]]="","",IF(Tasks[[#This Row],[_IsSummary]],MAX(INDEX(Tasks[_ShownCalcFinish],Tasks[[#This Row],[_Row]]+1):INDEX(Tasks[_ShownCalcFinish],Tasks[[#This Row],[_Row]]+Tasks[[#This Row],[_Descendants]])),Tasks[[#This Row],[_ShownCalcFinish]]))</f>
        <v/>
      </c>
      <c r="DN15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0" s="38" t="n">
        <f aca="false">IF(AND(Tasks[[#This Row],[_IsLeaf]]=1,Tasks[[#This Row],[_LeafTotalWork]]&gt;0),NETWORKDAYS.INTL(ProjectStart,Tasks[[#This Row],[_ShownFcstStart]],WorkWeek,Holidays),0)</f>
        <v>0</v>
      </c>
      <c r="EA150" s="38" t="n">
        <f aca="false">IF(AND(Tasks[[#This Row],[_IsLeaf]]=1,Tasks[[#This Row],[_LeafTotalWork]]&gt;0),MAX(Tasks[[#This Row],[_StartWorkday]],NETWORKDAYS.INTL(ProjectStart,Tasks[[#This Row],[_ShownFcstFinish]],WorkWeek,Holidays)),0)</f>
        <v>0</v>
      </c>
      <c r="EB150" s="38" t="n">
        <f aca="false">IF(AND(Tasks[[#This Row],[_IsLeaf]]=1,Tasks[[#This Row],[_LeafTotalWork]]&gt;0),Tasks[[#This Row],[_LeafWork]]/(Tasks[[#This Row],[_FinishWorkday]]-Tasks[[#This Row],[_StartWorkday]]+1),0)</f>
        <v>0</v>
      </c>
      <c r="EC150" s="38" t="n">
        <f aca="false">Tasks[[#This Row],[_WorkPerWorkday]]*(Tasks[[#This Row],[_StartWorkday]]-1)</f>
        <v>-0</v>
      </c>
      <c r="ED150" s="38" t="n">
        <f aca="false">IF(Tasks[[#This Row],[_IsLeaf]]=1,MAX(N(Tasks[[#This Row],[Duration]]),0.1),0)</f>
        <v>0</v>
      </c>
      <c r="EE150" s="38" t="n">
        <f aca="false">Tasks[[#This Row],[_WeightDur]]*Tasks[[#This Row],[_LeafProgress]]</f>
        <v>0</v>
      </c>
      <c r="EF15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0" s="38" t="str">
        <f aca="false">IF(AND(Tasks[[#This Row],[_IsLeaf]]=1,N(Tasks[[#This Row],[Duration]])=0,Tasks[[#This Row],[_LeafProgress]]&lt;1),Tasks[[#This Row],[_ShownFcstFinish]]+Tasks[[#This Row],[_Row]]/100000,"")</f>
        <v/>
      </c>
      <c r="EH15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0" s="38" t="n">
        <f aca="false">IF(NOT(Tasks[[#This Row],[_IsLeaf]]=1),0,IF(Tasks[[#This Row],[Baseline Cost]]="",Tasks[[#This Row],[_LeafTotalCost]],N(Tasks[[#This Row],[Baseline Cost]])))</f>
        <v>0</v>
      </c>
      <c r="EJ150" s="38" t="n">
        <f aca="false">Tasks[[#This Row],[_LeafBudget]]*Tasks[[#This Row],[_PlannedPct]]</f>
        <v>0</v>
      </c>
      <c r="EK150" s="38" t="n">
        <f aca="false">Tasks[[#This Row],[_LeafBudget]]*Tasks[[#This Row],[_LeafProgress]]</f>
        <v>0</v>
      </c>
      <c r="EL150" s="38" t="n">
        <f aca="false">IF(NOT(Tasks[[#This Row],[_IsLeaf]]=1),0,IF(Tasks[[#This Row],[Actual Cost]]="",Tasks[[#This Row],[_LeafTotalCost]]*Tasks[[#This Row],[_LeafProgress]],N(Tasks[[#This Row],[Actual Cost]])))</f>
        <v>0</v>
      </c>
      <c r="EM150" s="38" t="str">
        <f aca="false">IF(Tasks[[#This Row],[Task Name]]="","",LEFT(Tasks[[#This Row],[WBS]],FIND(".",Tasks[[#This Row],[WBS]]&amp;".")-1))</f>
        <v/>
      </c>
      <c r="EN150" s="38" t="str">
        <f aca="false">IF(AND(Tasks[[#This Row],[Task Name]]&lt;&gt;"",Tasks[[#This Row],[_Level]]=1),Tasks[[#This Row],[_Row]],"")</f>
        <v/>
      </c>
      <c r="EO150" s="38" t="str">
        <f aca="false">IF(AND(Tasks[[#This Row],[_IsLeaf]]=1,N(Tasks[[#This Row],[Duration]])=0),Tasks[[#This Row],[Planned Finish]]+Tasks[[#This Row],[_Row]]/100000,"")</f>
        <v/>
      </c>
      <c r="EP150" s="38" t="str">
        <f aca="false">IF(AND(Tasks[[#This Row],[_IsLeaf]]=1,Tasks[[#This Row],[_LeafProgress]]&lt;1,OR(N(Tasks[[#This Row],[Finish Var]])&gt;0,Tasks[[#This Row],[Status]]="Late Start")),MAX(0,Tasks[[#This Row],[Finish Var]])+1-Tasks[[#This Row],[_Row]]/1000000,"")</f>
        <v/>
      </c>
      <c r="EQ150" s="38" t="str">
        <f aca="false">IF(AND(Tasks[[#This Row],[_IsLeaf]]=1,N(Tasks[[#This Row],[Actual Start]])=0,Tasks[[#This Row],[_ShownFcstStart]]&gt;=StatusDate,Tasks[[#This Row],[_ShownFcstStart]]&lt;=LookaheadEnd),Tasks[[#This Row],[_ShownFcstStart]]+Tasks[[#This Row],[_Row]]/100000,"")</f>
        <v/>
      </c>
      <c r="ER150" s="38" t="str">
        <f aca="false">IF(AND(Tasks[[#This Row],[_IsLeaf]]=1,Tasks[[#This Row],[_LeafProgress]]&lt;1,Tasks[[#This Row],[_ShownFcstFinish]]&gt;=StatusDate,Tasks[[#This Row],[_ShownFcstFinish]]&lt;=LookaheadEnd),Tasks[[#This Row],[_ShownFcstFinish]]+Tasks[[#This Row],[_Row]]/100000,"")</f>
        <v/>
      </c>
      <c r="ES150" s="38" t="str">
        <f aca="false">IF(Tasks[[#This Row],[_LeafCritical]],Tasks[[#This Row],[_ShownFcstStart]]+Tasks[[#This Row],[_Row]]/100000,"")</f>
        <v/>
      </c>
      <c r="ET150" s="38" t="n">
        <f aca="false">Tasks[[#This Row],[_LeafWork]]*Tasks[[#This Row],[_LeafProgress]]</f>
        <v>0</v>
      </c>
      <c r="EU150" s="115" t="str">
        <f aca="false">IF(AND(Tasks[[#This Row],[_IsLeaf]]=1,Tasks[[#This Row],[_LeafProgress]]&gt;=1),IF(N(Tasks[[#This Row],[Actual Finish]])&gt;0,Tasks[[#This Row],[Actual Finish]],Tasks[[#This Row],[_ShownFcstFinish]]),"")</f>
        <v/>
      </c>
      <c r="EV150" s="38" t="n">
        <f aca="false">IF(Tasks[[#This Row],[_IsLeaf]]=1,N(Tasks[[#This Row],[Story Points]]),0)</f>
        <v>0</v>
      </c>
      <c r="EW150" s="38" t="str">
        <f aca="false">IF(AND(Tasks[[#This Row],[_IsLeaf]]=1,CurrentSprint&lt;&gt;"",Tasks[[#This Row],[Sprint]]=CurrentSprint),Tasks[[#This Row],[_Row]],"")</f>
        <v/>
      </c>
    </row>
    <row r="151" customFormat="false" ht="15" hidden="false" customHeight="false" outlineLevel="0" collapsed="false">
      <c r="A151" s="51" t="str">
        <f aca="false">IF(Tasks[[#This Row],[Task Name]]="","",COUNTA(Tasks[[#Headers],[Task Name]]:Tasks[[#This Row],[Task Name]])-1)</f>
        <v/>
      </c>
      <c r="B151" s="52" t="n">
        <v>146</v>
      </c>
      <c r="C15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52"/>
      <c r="E151" s="53"/>
      <c r="F151" s="52"/>
      <c r="G151" s="52"/>
      <c r="H151" s="52"/>
      <c r="I151" s="52"/>
      <c r="J151" s="52"/>
      <c r="K151" s="52"/>
      <c r="L151" s="52"/>
      <c r="M151" s="52"/>
      <c r="N151" s="52"/>
      <c r="O151" s="52"/>
      <c r="P151" s="52"/>
      <c r="Q151" s="52"/>
      <c r="R151" s="52"/>
      <c r="S151" s="53"/>
      <c r="T151" s="102"/>
      <c r="U151" s="102"/>
      <c r="V151" s="7"/>
      <c r="W151" s="7"/>
      <c r="X151" s="53"/>
      <c r="Y151" s="31" t="str">
        <f aca="false">IF(Tasks[[#This Row],[Task Name]]="","",IF(Tasks[[#This Row],[_IsSummary]],MIN(INDEX(Tasks[_ShownFcstStart],Tasks[[#This Row],[_Row]]+1):INDEX(Tasks[_ShownFcstStart],Tasks[[#This Row],[_Row]]+Tasks[[#This Row],[_Descendants]])),Tasks[[#This Row],[_ShownFcstStart]]))</f>
        <v/>
      </c>
      <c r="Z151" s="31" t="str">
        <f aca="false">IF(Tasks[[#This Row],[Task Name]]="","",IF(Tasks[[#This Row],[_IsSummary]],MAX(INDEX(Tasks[_ShownFcstFinish],Tasks[[#This Row],[_Row]]+1):INDEX(Tasks[_ShownFcstFinish],Tasks[[#This Row],[_Row]]+Tasks[[#This Row],[_Descendants]])),Tasks[[#This Row],[_ShownFcstFinish]]))</f>
        <v/>
      </c>
      <c r="AA151" s="51" t="str">
        <f aca="false">IF(Tasks[[#This Row],[Task Name]]="","",IF(Tasks[[#This Row],[Progress]]&gt;=1,"Complete",IF(OR(N(Tasks[[#This Row],[Actual Start]])&gt;0,Tasks[[#This Row],[Progress]]&gt;0),IF(Tasks[[#This Row],[Finish Var]]&gt;0,"Behind","In Progress"),IF(Tasks[[#This Row],[Planned Start]]&lt;StatusDate,"Late Start","Not Started"))))</f>
        <v/>
      </c>
      <c r="AB151" s="51" t="str">
        <f aca="false">IF(Tasks[[#This Row],[Task Name]]="","",IF(IF(Tasks[[#This Row],[_IsSummary]],COUNTIF(INDEX(Tasks[_LeafCritical],Tasks[[#This Row],[_Row]]+1):INDEX(Tasks[_LeafCritical],Tasks[[#This Row],[_Row]]+Tasks[[#This Row],[_Descendants]]),TRUE())&gt;0,Tasks[[#This Row],[_LeafCritical]]),"Yes",""))</f>
        <v/>
      </c>
      <c r="AC15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1" s="51" t="str">
        <f aca="false">IF(Tasks[[#This Row],[Task Name]]="","",IF(Tasks[[#This Row],[_Level]]&lt;=OutlineShowLevel,"Yes","No"))</f>
        <v/>
      </c>
      <c r="AE151" s="7"/>
      <c r="AF151" s="52"/>
      <c r="AG151" s="53"/>
      <c r="AH151" s="7"/>
      <c r="AI15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1" s="31" t="str">
        <f aca="false">IF(Tasks[[#This Row],[Task Name]]="","",IF(N(Tasks[[#This Row],[Baseline Start]])&gt;0,Tasks[[#This Row],[Baseline Start]],Tasks[[#This Row],[_CalcStart]]))</f>
        <v/>
      </c>
      <c r="AK151" s="31" t="str">
        <f aca="false">IF(Tasks[[#This Row],[Task Name]]="","",IF(N(Tasks[[#This Row],[Baseline Finish]])&gt;0,Tasks[[#This Row],[Baseline Finish]],Tasks[[#This Row],[_CalcFinish]]))</f>
        <v/>
      </c>
      <c r="AL15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1" s="31" t="str">
        <f aca="false">IF(Tasks[[#This Row],[Task Name]]="","",IF(Tasks[[#This Row],[_IsSummary]],MIN(INDEX(Tasks[_LeafLateStart],Tasks[[#This Row],[_Row]]+1):INDEX(Tasks[_LeafLateStart],Tasks[[#This Row],[_Row]]+Tasks[[#This Row],[_Descendants]])),Tasks[[#This Row],[_LeafLateStart]]))</f>
        <v/>
      </c>
      <c r="AN151" s="31" t="str">
        <f aca="false">IF(Tasks[[#This Row],[Task Name]]="","",IF(Tasks[[#This Row],[_IsSummary]],MAX(INDEX(Tasks[_LeafLateFinish],Tasks[[#This Row],[_Row]]+1):INDEX(Tasks[_LeafLateFinish],Tasks[[#This Row],[_Row]]+Tasks[[#This Row],[_Descendants]])),Tasks[[#This Row],[_LeafLateFinish]]))</f>
        <v/>
      </c>
      <c r="AO151" s="51" t="str">
        <f aca="false">IF(Tasks[[#This Row],[Task Name]]="","",IF(Tasks[[#This Row],[_IsSummary]],MIN(INDEX(Tasks[_LeafTotalSlack],Tasks[[#This Row],[_Row]]+1):INDEX(Tasks[_LeafTotalSlack],Tasks[[#This Row],[_Row]]+Tasks[[#This Row],[_Descendants]])),Tasks[[#This Row],[_LeafTotalSlack]]))</f>
        <v/>
      </c>
      <c r="AP15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1" s="110" t="str">
        <f aca="false">IF(Tasks[[#This Row],[Task Name]]="","",IF(Tasks[[#This Row],[_IsSummary]],SUM(INDEX(Tasks[_LeafTotalWork],Tasks[[#This Row],[_Row]]+1):INDEX(Tasks[_LeafTotalWork],Tasks[[#This Row],[_Row]]+Tasks[[#This Row],[_Descendants]])),Tasks[[#This Row],[_LeafTotalWork]]))</f>
        <v/>
      </c>
      <c r="AV15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1" s="111" t="str">
        <f aca="false">IF(Tasks[[#This Row],[Task Name]]="","",IF(Tasks[[#This Row],[_IsSummary]],SUM(INDEX(Tasks[_LeafTotalCost],Tasks[[#This Row],[_Row]]+1):INDEX(Tasks[_LeafTotalCost],Tasks[[#This Row],[_Row]]+Tasks[[#This Row],[_Descendants]])),Tasks[[#This Row],[_LeafTotalCost]]))</f>
        <v/>
      </c>
      <c r="AY151" s="112"/>
      <c r="AZ15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1" s="52"/>
      <c r="BB151" s="98"/>
      <c r="BC151" s="51" t="str">
        <f aca="false">IF(OR(Tasks[[#This Row],[Task Name]]="",Tasks[[#This Row],[Baseline Duration]]=""),"",Tasks[[#This Row],[BL Source Duration]]-N(Tasks[[#This Row],[Baseline Duration]]))</f>
        <v/>
      </c>
      <c r="BD151" s="110" t="str">
        <f aca="false">IF(OR(Tasks[[#This Row],[Task Name]]="",Tasks[[#This Row],[Baseline Work]]=""),"",Tasks[[#This Row],[Work]]-N(Tasks[[#This Row],[Baseline Work]]))</f>
        <v/>
      </c>
      <c r="BE151" s="111" t="str">
        <f aca="false">IF(OR(Tasks[[#This Row],[Task Name]]="",Tasks[[#This Row],[Baseline Cost]]=""),"",Tasks[[#This Row],[Cost]]-N(Tasks[[#This Row],[Baseline Cost]]))</f>
        <v/>
      </c>
      <c r="BF151" s="31" t="str">
        <f aca="false">IF(Tasks[[#This Row],[Task Name]]="","",Tasks[[#This Row],[Forecast Start]])</f>
        <v/>
      </c>
      <c r="BG151" s="31" t="str">
        <f aca="false">IF(Tasks[[#This Row],[Task Name]]="","",Tasks[[#This Row],[Forecast Finish]])</f>
        <v/>
      </c>
      <c r="BH151" s="51" t="str">
        <f aca="false">IF(Tasks[[#This Row],[Task Name]]="","",IF(Tasks[[#This Row],[_IsSummary]],NETWORKDAYS.INTL(Tasks[[#This Row],[Forecast Start]],Tasks[[#This Row],[Forecast Finish]],WorkWeek,Holidays),N(Tasks[[#This Row],[Duration]])))</f>
        <v/>
      </c>
      <c r="BI151" s="110" t="str">
        <f aca="false">IF(Tasks[[#This Row],[Task Name]]="","",Tasks[[#This Row],[Work]])</f>
        <v/>
      </c>
      <c r="BJ151" s="111" t="str">
        <f aca="false">IF(Tasks[[#This Row],[Task Name]]="","",Tasks[[#This Row],[Cost]])</f>
        <v/>
      </c>
      <c r="BK151" s="7"/>
      <c r="BL151" s="7"/>
      <c r="BM151" s="52"/>
      <c r="BN151" s="113"/>
      <c r="BO151" s="112"/>
      <c r="BP151" s="111" t="str">
        <f aca="false">IF(Tasks[[#This Row],[Task Name]]="","",IF(Tasks[[#This Row],[_IsSummary]],SUM(INDEX(Tasks[_LeafEV],Tasks[[#This Row],[_Row]]+1):INDEX(Tasks[_LeafEV],Tasks[[#This Row],[_Row]]+Tasks[[#This Row],[_Descendants]])),Tasks[[#This Row],[_LeafEV]]))</f>
        <v/>
      </c>
      <c r="BQ151" s="111" t="str">
        <f aca="false">IF(Tasks[[#This Row],[Task Name]]="","",IF(Tasks[[#This Row],[_IsSummary]],SUM(INDEX(Tasks[_LeafBudget],Tasks[[#This Row],[_Row]]+1):INDEX(Tasks[_LeafBudget],Tasks[[#This Row],[_Row]]+Tasks[[#This Row],[_Descendants]])),Tasks[[#This Row],[_LeafBudget]]))</f>
        <v/>
      </c>
      <c r="BR151" s="111" t="str">
        <f aca="false">IF(Tasks[[#This Row],[Task Name]]="","",IF(Tasks[[#This Row],[_IsSummary]],SUM(INDEX(Tasks[_LeafPV],Tasks[[#This Row],[_Row]]+1):INDEX(Tasks[_LeafPV],Tasks[[#This Row],[_Row]]+Tasks[[#This Row],[_Descendants]])),Tasks[[#This Row],[_LeafPV]]))</f>
        <v/>
      </c>
      <c r="BS151" s="111" t="str">
        <f aca="false">IF(Tasks[[#This Row],[Task Name]]="","",IF(Tasks[[#This Row],[_IsSummary]],SUM(INDEX(Tasks[_LeafAC],Tasks[[#This Row],[_Row]]+1):INDEX(Tasks[_LeafAC],Tasks[[#This Row],[_Row]]+Tasks[[#This Row],[_Descendants]])),Tasks[[#This Row],[_LeafAC]]))</f>
        <v/>
      </c>
      <c r="BT151" s="38" t="str">
        <f aca="false">IF(Tasks[[#This Row],[Task Name]]="","",MAX(1,N(Tasks[[#This Row],[Level]])))</f>
        <v/>
      </c>
      <c r="BU151" s="38" t="n">
        <f aca="false">ROW()-ROW(Tasks[[#Headers],[ID]])</f>
        <v>146</v>
      </c>
      <c r="BV151" s="38" t="n">
        <f aca="false">IF(OR(Tasks[[#This Row],[Task Name]]="",Tasks[[#This Row],[_Level]]&lt;=1),0,IFERROR(LOOKUP(2,1/(Tasks[[#Headers],[_Level]]:Tasks[[#This Row],[_Level]]=Tasks[[#This Row],[_Level]]-1),ROW(Tasks[[#Headers],[_Level]]:Tasks[[#This Row],[_Level]])),0))</f>
        <v>0</v>
      </c>
      <c r="BW151" s="38" t="n">
        <f aca="false">IFERROR(N(INDEX(Tasks[_Level],Tasks[[#This Row],[_Row]]+1)),0)</f>
        <v>0</v>
      </c>
      <c r="BX151" s="114" t="b">
        <f aca="false">AND(Tasks[[#This Row],[Task Name]]&lt;&gt;"",Tasks[[#This Row],[_NextLevel]]&gt;Tasks[[#This Row],[_Level]])</f>
        <v>0</v>
      </c>
      <c r="BY151" s="38" t="n">
        <f aca="false">IF(Tasks[[#This Row],[_IsSummary]],COUNTIF(Tasks[WBS],Tasks[[#This Row],[WBS]]&amp;".*"),0)</f>
        <v>0</v>
      </c>
      <c r="BZ151" s="38" t="n">
        <f aca="false">IF(AND(Tasks[[#This Row],[Task Name]]&lt;&gt;"",NOT(Tasks[[#This Row],[_IsSummary]])),1,0)</f>
        <v>0</v>
      </c>
      <c r="CA151" s="38" t="n">
        <f aca="false">IF(N(Tasks[[#This Row],[Pred1 UID]])=0,0,IFERROR(MATCH(Tasks[[#This Row],[Pred1 UID]],Tasks[UID],0),-1))</f>
        <v>0</v>
      </c>
      <c r="CB151" s="38" t="n">
        <f aca="false">IF(N(Tasks[[#This Row],[Pred2 UID]])=0,0,IFERROR(MATCH(Tasks[[#This Row],[Pred2 UID]],Tasks[UID],0),-1))</f>
        <v>0</v>
      </c>
      <c r="CC151" s="38" t="n">
        <f aca="false">IF(N(Tasks[[#This Row],[Pred3 UID]])=0,0,IFERROR(MATCH(Tasks[[#This Row],[Pred3 UID]],Tasks[UID],0),-1))</f>
        <v>0</v>
      </c>
      <c r="CD151" s="38" t="n">
        <f aca="false">IF(N(Tasks[[#This Row],[Pred4 UID]])=0,0,IFERROR(MATCH(Tasks[[#This Row],[Pred4 UID]],Tasks[UID],0),-1))</f>
        <v>0</v>
      </c>
      <c r="CE15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1" s="115" t="n">
        <f aca="false">IF(OR(Tasks[[#This Row],[_ConstraintCode]]=2,Tasks[[#This Row],[_ConstraintCode]]=3,Tasks[[#This Row],[_ConstraintCode]]=4,Tasks[[#This Row],[_ConstraintCode]]=6),Tasks[[#This Row],[_ConstraintStart]],0)</f>
        <v>0</v>
      </c>
      <c r="CH151" s="115" t="n">
        <f aca="false">IF(OR(Tasks[[#This Row],[_ConstraintCode]]=2,Tasks[[#This Row],[_ConstraintCode]]=3,Tasks[[#This Row],[_ConstraintCode]]=5,Tasks[[#This Row],[_ConstraintCode]]=7),Tasks[[#This Row],[_ConstraintStart]],2958465)</f>
        <v>2958465</v>
      </c>
      <c r="CI15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1" s="115" t="str">
        <f aca="false">IF(NOT(Tasks[[#This Row],[_IsLeaf]]=1),"",IF(N(Tasks[[#This Row],[Duration]])&lt;=0,Tasks[[#This Row],[_LeafCalcStart]],WORKDAY.INTL(Tasks[[#This Row],[_LeafCalcStart]],Tasks[[#This Row],[Duration]]-1,WorkWeek,Holidays)))</f>
        <v/>
      </c>
      <c r="CK15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1" s="38" t="n">
        <f aca="false">IF(NOT(Tasks[[#This Row],[_IsLeaf]]=1),0,IF(N(Tasks[[#This Row],[Actual Finish]])&gt;0,1,MIN(1,N(Tasks[[#This Row],[% Complete]]))))</f>
        <v>0</v>
      </c>
      <c r="CN151" s="38" t="n">
        <f aca="false">IF(OR(NOT(Tasks[[#This Row],[_IsLeaf]]=1),Tasks[[#This Row],[Resource]]=""),0,N(Tasks[[#This Row],[Duration]])*HoursPerDay*IF(Tasks[[#This Row],[Units]]="",DefaultUnits,Tasks[[#This Row],[Units]]))</f>
        <v>0</v>
      </c>
      <c r="CO151" s="38" t="n">
        <f aca="false">IF(Tasks[[#This Row],[_LeafWork]]=0,0,Tasks[[#This Row],[_LeafWork]]*IFERROR(INDEX(res_Rate,MATCH(Tasks[[#This Row],[Resource]],res_Name,0)),0))</f>
        <v>0</v>
      </c>
      <c r="CP151" s="38" t="n">
        <f aca="false">Tasks[[#This Row],[_LeafWork]]+IF(Tasks[[#This Row],[_IsLeaf]]=1,SUMIFS(asg_Work,asg_TaskUID,Tasks[[#This Row],[UID]],asg_Valid,1),0)</f>
        <v>0</v>
      </c>
      <c r="CQ151" s="38" t="n">
        <f aca="false">Tasks[[#This Row],[_LeafCost]]+IF(Tasks[[#This Row],[_IsLeaf]]=1,SUMIFS(asg_Cost,asg_TaskUID,Tasks[[#This Row],[UID]],asg_Valid,1),0)</f>
        <v>0</v>
      </c>
      <c r="CR151" s="38" t="n">
        <f aca="false">IF(Tasks[[#This Row],[_LeafTotalCost]]=0,Tasks[[#This Row],[_LeafAC]],Tasks[[#This Row],[_LeafAC]]*Tasks[[#This Row],[_LeafCost]]/Tasks[[#This Row],[_LeafTotalCost]])</f>
        <v>0</v>
      </c>
      <c r="CS15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1" s="38" t="n">
        <f aca="false">IF(NOT(Tasks[[#This Row],[_IsLeaf]]=1),0,MAX(_xlfn.MAXIFS(Tasks[_Row],Tasks[Pred1 UID],Tasks[[#This Row],[UID]]),_xlfn.MAXIFS(Tasks[_Row],Tasks[Pred2 UID],Tasks[[#This Row],[UID]]),_xlfn.MAXIFS(Tasks[_Row],Tasks[Pred3 UID],Tasks[[#This Row],[UID]]),_xlfn.MAXIFS(Tasks[_Row],Tasks[Pred4 UID],Tasks[[#This Row],[UID]])))</f>
        <v>0</v>
      </c>
      <c r="DB15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1" s="115" t="str">
        <f aca="false">IF(NOT(Tasks[[#This Row],[_IsLeaf]]=1),"",IF(N(Tasks[[#This Row],[Duration]])&lt;=0,Tasks[[#This Row],[_LeafLateFinish]],WORKDAY.INTL(Tasks[[#This Row],[_LeafLateFinish]],-(Tasks[[#This Row],[Duration]]-1),WorkWeek,Holidays)))</f>
        <v/>
      </c>
      <c r="DE15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1" s="114" t="b">
        <f aca="false">AND(Tasks[[#This Row],[_IsLeaf]]=1,Tasks[[#This Row],[_LeafProgress]]&lt;1,N(Tasks[[#This Row],[_LeafTotalSlack]])&lt;=CriticalSlackDays)</f>
        <v>0</v>
      </c>
      <c r="DG151" s="38" t="n">
        <f aca="false">IF(AND(Tasks[[#This Row],[_IsLeaf]]=1,Tasks[[#This Row],[_ConstraintCode]]=1,Tasks[[#This Row],[Mode]]&lt;&gt;"Manual",N(Tasks[[#This Row],[Actual Start]])=0),MAX(0,N(Tasks[[#This Row],[Free Slack]])),0)</f>
        <v>0</v>
      </c>
      <c r="DH151" s="115" t="str">
        <f aca="false">IF(NOT(Tasks[[#This Row],[_IsLeaf]]=1),"",IF(Tasks[[#This Row],[_AlapShift]]=0,Tasks[[#This Row],[_LeafCalcStart]],WORKDAY.INTL(Tasks[[#This Row],[_LeafCalcStart]],Tasks[[#This Row],[_AlapShift]],WorkWeek,Holidays)))</f>
        <v/>
      </c>
      <c r="DI151" s="115" t="str">
        <f aca="false">IF(NOT(Tasks[[#This Row],[_IsLeaf]]=1),"",IF(Tasks[[#This Row],[_AlapShift]]=0,Tasks[[#This Row],[_LeafCalcFinish]],WORKDAY.INTL(Tasks[[#This Row],[_LeafCalcFinish]],Tasks[[#This Row],[_AlapShift]],WorkWeek,Holidays)))</f>
        <v/>
      </c>
      <c r="DJ151" s="115" t="str">
        <f aca="false">IF(NOT(Tasks[[#This Row],[_IsLeaf]]=1),"",IF(Tasks[[#This Row],[_AlapShift]]=0,Tasks[[#This Row],[_LeafFcstStart]],WORKDAY.INTL(Tasks[[#This Row],[_LeafFcstStart]],Tasks[[#This Row],[_AlapShift]],WorkWeek,Holidays)))</f>
        <v/>
      </c>
      <c r="DK151" s="115" t="str">
        <f aca="false">IF(NOT(Tasks[[#This Row],[_IsLeaf]]=1),"",IF(Tasks[[#This Row],[_AlapShift]]=0,Tasks[[#This Row],[_LeafFcstFinish]],WORKDAY.INTL(Tasks[[#This Row],[_LeafFcstFinish]],Tasks[[#This Row],[_AlapShift]],WorkWeek,Holidays)))</f>
        <v/>
      </c>
      <c r="DL151" s="115" t="str">
        <f aca="false">IF(Tasks[[#This Row],[Task Name]]="","",IF(Tasks[[#This Row],[_IsSummary]],MIN(INDEX(Tasks[_ShownCalcStart],Tasks[[#This Row],[_Row]]+1):INDEX(Tasks[_ShownCalcStart],Tasks[[#This Row],[_Row]]+Tasks[[#This Row],[_Descendants]])),Tasks[[#This Row],[_ShownCalcStart]]))</f>
        <v/>
      </c>
      <c r="DM151" s="115" t="str">
        <f aca="false">IF(Tasks[[#This Row],[Task Name]]="","",IF(Tasks[[#This Row],[_IsSummary]],MAX(INDEX(Tasks[_ShownCalcFinish],Tasks[[#This Row],[_Row]]+1):INDEX(Tasks[_ShownCalcFinish],Tasks[[#This Row],[_Row]]+Tasks[[#This Row],[_Descendants]])),Tasks[[#This Row],[_ShownCalcFinish]]))</f>
        <v/>
      </c>
      <c r="DN15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1" s="38" t="n">
        <f aca="false">IF(AND(Tasks[[#This Row],[_IsLeaf]]=1,Tasks[[#This Row],[_LeafTotalWork]]&gt;0),NETWORKDAYS.INTL(ProjectStart,Tasks[[#This Row],[_ShownFcstStart]],WorkWeek,Holidays),0)</f>
        <v>0</v>
      </c>
      <c r="EA151" s="38" t="n">
        <f aca="false">IF(AND(Tasks[[#This Row],[_IsLeaf]]=1,Tasks[[#This Row],[_LeafTotalWork]]&gt;0),MAX(Tasks[[#This Row],[_StartWorkday]],NETWORKDAYS.INTL(ProjectStart,Tasks[[#This Row],[_ShownFcstFinish]],WorkWeek,Holidays)),0)</f>
        <v>0</v>
      </c>
      <c r="EB151" s="38" t="n">
        <f aca="false">IF(AND(Tasks[[#This Row],[_IsLeaf]]=1,Tasks[[#This Row],[_LeafTotalWork]]&gt;0),Tasks[[#This Row],[_LeafWork]]/(Tasks[[#This Row],[_FinishWorkday]]-Tasks[[#This Row],[_StartWorkday]]+1),0)</f>
        <v>0</v>
      </c>
      <c r="EC151" s="38" t="n">
        <f aca="false">Tasks[[#This Row],[_WorkPerWorkday]]*(Tasks[[#This Row],[_StartWorkday]]-1)</f>
        <v>-0</v>
      </c>
      <c r="ED151" s="38" t="n">
        <f aca="false">IF(Tasks[[#This Row],[_IsLeaf]]=1,MAX(N(Tasks[[#This Row],[Duration]]),0.1),0)</f>
        <v>0</v>
      </c>
      <c r="EE151" s="38" t="n">
        <f aca="false">Tasks[[#This Row],[_WeightDur]]*Tasks[[#This Row],[_LeafProgress]]</f>
        <v>0</v>
      </c>
      <c r="EF15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1" s="38" t="str">
        <f aca="false">IF(AND(Tasks[[#This Row],[_IsLeaf]]=1,N(Tasks[[#This Row],[Duration]])=0,Tasks[[#This Row],[_LeafProgress]]&lt;1),Tasks[[#This Row],[_ShownFcstFinish]]+Tasks[[#This Row],[_Row]]/100000,"")</f>
        <v/>
      </c>
      <c r="EH15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1" s="38" t="n">
        <f aca="false">IF(NOT(Tasks[[#This Row],[_IsLeaf]]=1),0,IF(Tasks[[#This Row],[Baseline Cost]]="",Tasks[[#This Row],[_LeafTotalCost]],N(Tasks[[#This Row],[Baseline Cost]])))</f>
        <v>0</v>
      </c>
      <c r="EJ151" s="38" t="n">
        <f aca="false">Tasks[[#This Row],[_LeafBudget]]*Tasks[[#This Row],[_PlannedPct]]</f>
        <v>0</v>
      </c>
      <c r="EK151" s="38" t="n">
        <f aca="false">Tasks[[#This Row],[_LeafBudget]]*Tasks[[#This Row],[_LeafProgress]]</f>
        <v>0</v>
      </c>
      <c r="EL151" s="38" t="n">
        <f aca="false">IF(NOT(Tasks[[#This Row],[_IsLeaf]]=1),0,IF(Tasks[[#This Row],[Actual Cost]]="",Tasks[[#This Row],[_LeafTotalCost]]*Tasks[[#This Row],[_LeafProgress]],N(Tasks[[#This Row],[Actual Cost]])))</f>
        <v>0</v>
      </c>
      <c r="EM151" s="38" t="str">
        <f aca="false">IF(Tasks[[#This Row],[Task Name]]="","",LEFT(Tasks[[#This Row],[WBS]],FIND(".",Tasks[[#This Row],[WBS]]&amp;".")-1))</f>
        <v/>
      </c>
      <c r="EN151" s="38" t="str">
        <f aca="false">IF(AND(Tasks[[#This Row],[Task Name]]&lt;&gt;"",Tasks[[#This Row],[_Level]]=1),Tasks[[#This Row],[_Row]],"")</f>
        <v/>
      </c>
      <c r="EO151" s="38" t="str">
        <f aca="false">IF(AND(Tasks[[#This Row],[_IsLeaf]]=1,N(Tasks[[#This Row],[Duration]])=0),Tasks[[#This Row],[Planned Finish]]+Tasks[[#This Row],[_Row]]/100000,"")</f>
        <v/>
      </c>
      <c r="EP151" s="38" t="str">
        <f aca="false">IF(AND(Tasks[[#This Row],[_IsLeaf]]=1,Tasks[[#This Row],[_LeafProgress]]&lt;1,OR(N(Tasks[[#This Row],[Finish Var]])&gt;0,Tasks[[#This Row],[Status]]="Late Start")),MAX(0,Tasks[[#This Row],[Finish Var]])+1-Tasks[[#This Row],[_Row]]/1000000,"")</f>
        <v/>
      </c>
      <c r="EQ151" s="38" t="str">
        <f aca="false">IF(AND(Tasks[[#This Row],[_IsLeaf]]=1,N(Tasks[[#This Row],[Actual Start]])=0,Tasks[[#This Row],[_ShownFcstStart]]&gt;=StatusDate,Tasks[[#This Row],[_ShownFcstStart]]&lt;=LookaheadEnd),Tasks[[#This Row],[_ShownFcstStart]]+Tasks[[#This Row],[_Row]]/100000,"")</f>
        <v/>
      </c>
      <c r="ER151" s="38" t="str">
        <f aca="false">IF(AND(Tasks[[#This Row],[_IsLeaf]]=1,Tasks[[#This Row],[_LeafProgress]]&lt;1,Tasks[[#This Row],[_ShownFcstFinish]]&gt;=StatusDate,Tasks[[#This Row],[_ShownFcstFinish]]&lt;=LookaheadEnd),Tasks[[#This Row],[_ShownFcstFinish]]+Tasks[[#This Row],[_Row]]/100000,"")</f>
        <v/>
      </c>
      <c r="ES151" s="38" t="str">
        <f aca="false">IF(Tasks[[#This Row],[_LeafCritical]],Tasks[[#This Row],[_ShownFcstStart]]+Tasks[[#This Row],[_Row]]/100000,"")</f>
        <v/>
      </c>
      <c r="ET151" s="38" t="n">
        <f aca="false">Tasks[[#This Row],[_LeafWork]]*Tasks[[#This Row],[_LeafProgress]]</f>
        <v>0</v>
      </c>
      <c r="EU151" s="115" t="str">
        <f aca="false">IF(AND(Tasks[[#This Row],[_IsLeaf]]=1,Tasks[[#This Row],[_LeafProgress]]&gt;=1),IF(N(Tasks[[#This Row],[Actual Finish]])&gt;0,Tasks[[#This Row],[Actual Finish]],Tasks[[#This Row],[_ShownFcstFinish]]),"")</f>
        <v/>
      </c>
      <c r="EV151" s="38" t="n">
        <f aca="false">IF(Tasks[[#This Row],[_IsLeaf]]=1,N(Tasks[[#This Row],[Story Points]]),0)</f>
        <v>0</v>
      </c>
      <c r="EW151" s="38" t="str">
        <f aca="false">IF(AND(Tasks[[#This Row],[_IsLeaf]]=1,CurrentSprint&lt;&gt;"",Tasks[[#This Row],[Sprint]]=CurrentSprint),Tasks[[#This Row],[_Row]],"")</f>
        <v/>
      </c>
    </row>
    <row r="152" customFormat="false" ht="15" hidden="false" customHeight="false" outlineLevel="0" collapsed="false">
      <c r="A152" s="51" t="str">
        <f aca="false">IF(Tasks[[#This Row],[Task Name]]="","",COUNTA(Tasks[[#Headers],[Task Name]]:Tasks[[#This Row],[Task Name]])-1)</f>
        <v/>
      </c>
      <c r="B152" s="52" t="n">
        <v>147</v>
      </c>
      <c r="C15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52"/>
      <c r="E152" s="53"/>
      <c r="F152" s="52"/>
      <c r="G152" s="52"/>
      <c r="H152" s="52"/>
      <c r="I152" s="52"/>
      <c r="J152" s="52"/>
      <c r="K152" s="52"/>
      <c r="L152" s="52"/>
      <c r="M152" s="52"/>
      <c r="N152" s="52"/>
      <c r="O152" s="52"/>
      <c r="P152" s="52"/>
      <c r="Q152" s="52"/>
      <c r="R152" s="52"/>
      <c r="S152" s="53"/>
      <c r="T152" s="102"/>
      <c r="U152" s="102"/>
      <c r="V152" s="7"/>
      <c r="W152" s="7"/>
      <c r="X152" s="53"/>
      <c r="Y152" s="31" t="str">
        <f aca="false">IF(Tasks[[#This Row],[Task Name]]="","",IF(Tasks[[#This Row],[_IsSummary]],MIN(INDEX(Tasks[_ShownFcstStart],Tasks[[#This Row],[_Row]]+1):INDEX(Tasks[_ShownFcstStart],Tasks[[#This Row],[_Row]]+Tasks[[#This Row],[_Descendants]])),Tasks[[#This Row],[_ShownFcstStart]]))</f>
        <v/>
      </c>
      <c r="Z152" s="31" t="str">
        <f aca="false">IF(Tasks[[#This Row],[Task Name]]="","",IF(Tasks[[#This Row],[_IsSummary]],MAX(INDEX(Tasks[_ShownFcstFinish],Tasks[[#This Row],[_Row]]+1):INDEX(Tasks[_ShownFcstFinish],Tasks[[#This Row],[_Row]]+Tasks[[#This Row],[_Descendants]])),Tasks[[#This Row],[_ShownFcstFinish]]))</f>
        <v/>
      </c>
      <c r="AA152" s="51" t="str">
        <f aca="false">IF(Tasks[[#This Row],[Task Name]]="","",IF(Tasks[[#This Row],[Progress]]&gt;=1,"Complete",IF(OR(N(Tasks[[#This Row],[Actual Start]])&gt;0,Tasks[[#This Row],[Progress]]&gt;0),IF(Tasks[[#This Row],[Finish Var]]&gt;0,"Behind","In Progress"),IF(Tasks[[#This Row],[Planned Start]]&lt;StatusDate,"Late Start","Not Started"))))</f>
        <v/>
      </c>
      <c r="AB152" s="51" t="str">
        <f aca="false">IF(Tasks[[#This Row],[Task Name]]="","",IF(IF(Tasks[[#This Row],[_IsSummary]],COUNTIF(INDEX(Tasks[_LeafCritical],Tasks[[#This Row],[_Row]]+1):INDEX(Tasks[_LeafCritical],Tasks[[#This Row],[_Row]]+Tasks[[#This Row],[_Descendants]]),TRUE())&gt;0,Tasks[[#This Row],[_LeafCritical]]),"Yes",""))</f>
        <v/>
      </c>
      <c r="AC15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2" s="51" t="str">
        <f aca="false">IF(Tasks[[#This Row],[Task Name]]="","",IF(Tasks[[#This Row],[_Level]]&lt;=OutlineShowLevel,"Yes","No"))</f>
        <v/>
      </c>
      <c r="AE152" s="7"/>
      <c r="AF152" s="52"/>
      <c r="AG152" s="53"/>
      <c r="AH152" s="7"/>
      <c r="AI15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2" s="31" t="str">
        <f aca="false">IF(Tasks[[#This Row],[Task Name]]="","",IF(N(Tasks[[#This Row],[Baseline Start]])&gt;0,Tasks[[#This Row],[Baseline Start]],Tasks[[#This Row],[_CalcStart]]))</f>
        <v/>
      </c>
      <c r="AK152" s="31" t="str">
        <f aca="false">IF(Tasks[[#This Row],[Task Name]]="","",IF(N(Tasks[[#This Row],[Baseline Finish]])&gt;0,Tasks[[#This Row],[Baseline Finish]],Tasks[[#This Row],[_CalcFinish]]))</f>
        <v/>
      </c>
      <c r="AL15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2" s="31" t="str">
        <f aca="false">IF(Tasks[[#This Row],[Task Name]]="","",IF(Tasks[[#This Row],[_IsSummary]],MIN(INDEX(Tasks[_LeafLateStart],Tasks[[#This Row],[_Row]]+1):INDEX(Tasks[_LeafLateStart],Tasks[[#This Row],[_Row]]+Tasks[[#This Row],[_Descendants]])),Tasks[[#This Row],[_LeafLateStart]]))</f>
        <v/>
      </c>
      <c r="AN152" s="31" t="str">
        <f aca="false">IF(Tasks[[#This Row],[Task Name]]="","",IF(Tasks[[#This Row],[_IsSummary]],MAX(INDEX(Tasks[_LeafLateFinish],Tasks[[#This Row],[_Row]]+1):INDEX(Tasks[_LeafLateFinish],Tasks[[#This Row],[_Row]]+Tasks[[#This Row],[_Descendants]])),Tasks[[#This Row],[_LeafLateFinish]]))</f>
        <v/>
      </c>
      <c r="AO152" s="51" t="str">
        <f aca="false">IF(Tasks[[#This Row],[Task Name]]="","",IF(Tasks[[#This Row],[_IsSummary]],MIN(INDEX(Tasks[_LeafTotalSlack],Tasks[[#This Row],[_Row]]+1):INDEX(Tasks[_LeafTotalSlack],Tasks[[#This Row],[_Row]]+Tasks[[#This Row],[_Descendants]])),Tasks[[#This Row],[_LeafTotalSlack]]))</f>
        <v/>
      </c>
      <c r="AP15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2" s="110" t="str">
        <f aca="false">IF(Tasks[[#This Row],[Task Name]]="","",IF(Tasks[[#This Row],[_IsSummary]],SUM(INDEX(Tasks[_LeafTotalWork],Tasks[[#This Row],[_Row]]+1):INDEX(Tasks[_LeafTotalWork],Tasks[[#This Row],[_Row]]+Tasks[[#This Row],[_Descendants]])),Tasks[[#This Row],[_LeafTotalWork]]))</f>
        <v/>
      </c>
      <c r="AV15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2" s="111" t="str">
        <f aca="false">IF(Tasks[[#This Row],[Task Name]]="","",IF(Tasks[[#This Row],[_IsSummary]],SUM(INDEX(Tasks[_LeafTotalCost],Tasks[[#This Row],[_Row]]+1):INDEX(Tasks[_LeafTotalCost],Tasks[[#This Row],[_Row]]+Tasks[[#This Row],[_Descendants]])),Tasks[[#This Row],[_LeafTotalCost]]))</f>
        <v/>
      </c>
      <c r="AY152" s="112"/>
      <c r="AZ15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2" s="52"/>
      <c r="BB152" s="98"/>
      <c r="BC152" s="51" t="str">
        <f aca="false">IF(OR(Tasks[[#This Row],[Task Name]]="",Tasks[[#This Row],[Baseline Duration]]=""),"",Tasks[[#This Row],[BL Source Duration]]-N(Tasks[[#This Row],[Baseline Duration]]))</f>
        <v/>
      </c>
      <c r="BD152" s="110" t="str">
        <f aca="false">IF(OR(Tasks[[#This Row],[Task Name]]="",Tasks[[#This Row],[Baseline Work]]=""),"",Tasks[[#This Row],[Work]]-N(Tasks[[#This Row],[Baseline Work]]))</f>
        <v/>
      </c>
      <c r="BE152" s="111" t="str">
        <f aca="false">IF(OR(Tasks[[#This Row],[Task Name]]="",Tasks[[#This Row],[Baseline Cost]]=""),"",Tasks[[#This Row],[Cost]]-N(Tasks[[#This Row],[Baseline Cost]]))</f>
        <v/>
      </c>
      <c r="BF152" s="31" t="str">
        <f aca="false">IF(Tasks[[#This Row],[Task Name]]="","",Tasks[[#This Row],[Forecast Start]])</f>
        <v/>
      </c>
      <c r="BG152" s="31" t="str">
        <f aca="false">IF(Tasks[[#This Row],[Task Name]]="","",Tasks[[#This Row],[Forecast Finish]])</f>
        <v/>
      </c>
      <c r="BH152" s="51" t="str">
        <f aca="false">IF(Tasks[[#This Row],[Task Name]]="","",IF(Tasks[[#This Row],[_IsSummary]],NETWORKDAYS.INTL(Tasks[[#This Row],[Forecast Start]],Tasks[[#This Row],[Forecast Finish]],WorkWeek,Holidays),N(Tasks[[#This Row],[Duration]])))</f>
        <v/>
      </c>
      <c r="BI152" s="110" t="str">
        <f aca="false">IF(Tasks[[#This Row],[Task Name]]="","",Tasks[[#This Row],[Work]])</f>
        <v/>
      </c>
      <c r="BJ152" s="111" t="str">
        <f aca="false">IF(Tasks[[#This Row],[Task Name]]="","",Tasks[[#This Row],[Cost]])</f>
        <v/>
      </c>
      <c r="BK152" s="7"/>
      <c r="BL152" s="7"/>
      <c r="BM152" s="52"/>
      <c r="BN152" s="113"/>
      <c r="BO152" s="112"/>
      <c r="BP152" s="111" t="str">
        <f aca="false">IF(Tasks[[#This Row],[Task Name]]="","",IF(Tasks[[#This Row],[_IsSummary]],SUM(INDEX(Tasks[_LeafEV],Tasks[[#This Row],[_Row]]+1):INDEX(Tasks[_LeafEV],Tasks[[#This Row],[_Row]]+Tasks[[#This Row],[_Descendants]])),Tasks[[#This Row],[_LeafEV]]))</f>
        <v/>
      </c>
      <c r="BQ152" s="111" t="str">
        <f aca="false">IF(Tasks[[#This Row],[Task Name]]="","",IF(Tasks[[#This Row],[_IsSummary]],SUM(INDEX(Tasks[_LeafBudget],Tasks[[#This Row],[_Row]]+1):INDEX(Tasks[_LeafBudget],Tasks[[#This Row],[_Row]]+Tasks[[#This Row],[_Descendants]])),Tasks[[#This Row],[_LeafBudget]]))</f>
        <v/>
      </c>
      <c r="BR152" s="111" t="str">
        <f aca="false">IF(Tasks[[#This Row],[Task Name]]="","",IF(Tasks[[#This Row],[_IsSummary]],SUM(INDEX(Tasks[_LeafPV],Tasks[[#This Row],[_Row]]+1):INDEX(Tasks[_LeafPV],Tasks[[#This Row],[_Row]]+Tasks[[#This Row],[_Descendants]])),Tasks[[#This Row],[_LeafPV]]))</f>
        <v/>
      </c>
      <c r="BS152" s="111" t="str">
        <f aca="false">IF(Tasks[[#This Row],[Task Name]]="","",IF(Tasks[[#This Row],[_IsSummary]],SUM(INDEX(Tasks[_LeafAC],Tasks[[#This Row],[_Row]]+1):INDEX(Tasks[_LeafAC],Tasks[[#This Row],[_Row]]+Tasks[[#This Row],[_Descendants]])),Tasks[[#This Row],[_LeafAC]]))</f>
        <v/>
      </c>
      <c r="BT152" s="38" t="str">
        <f aca="false">IF(Tasks[[#This Row],[Task Name]]="","",MAX(1,N(Tasks[[#This Row],[Level]])))</f>
        <v/>
      </c>
      <c r="BU152" s="38" t="n">
        <f aca="false">ROW()-ROW(Tasks[[#Headers],[ID]])</f>
        <v>147</v>
      </c>
      <c r="BV152" s="38" t="n">
        <f aca="false">IF(OR(Tasks[[#This Row],[Task Name]]="",Tasks[[#This Row],[_Level]]&lt;=1),0,IFERROR(LOOKUP(2,1/(Tasks[[#Headers],[_Level]]:Tasks[[#This Row],[_Level]]=Tasks[[#This Row],[_Level]]-1),ROW(Tasks[[#Headers],[_Level]]:Tasks[[#This Row],[_Level]])),0))</f>
        <v>0</v>
      </c>
      <c r="BW152" s="38" t="n">
        <f aca="false">IFERROR(N(INDEX(Tasks[_Level],Tasks[[#This Row],[_Row]]+1)),0)</f>
        <v>0</v>
      </c>
      <c r="BX152" s="114" t="b">
        <f aca="false">AND(Tasks[[#This Row],[Task Name]]&lt;&gt;"",Tasks[[#This Row],[_NextLevel]]&gt;Tasks[[#This Row],[_Level]])</f>
        <v>0</v>
      </c>
      <c r="BY152" s="38" t="n">
        <f aca="false">IF(Tasks[[#This Row],[_IsSummary]],COUNTIF(Tasks[WBS],Tasks[[#This Row],[WBS]]&amp;".*"),0)</f>
        <v>0</v>
      </c>
      <c r="BZ152" s="38" t="n">
        <f aca="false">IF(AND(Tasks[[#This Row],[Task Name]]&lt;&gt;"",NOT(Tasks[[#This Row],[_IsSummary]])),1,0)</f>
        <v>0</v>
      </c>
      <c r="CA152" s="38" t="n">
        <f aca="false">IF(N(Tasks[[#This Row],[Pred1 UID]])=0,0,IFERROR(MATCH(Tasks[[#This Row],[Pred1 UID]],Tasks[UID],0),-1))</f>
        <v>0</v>
      </c>
      <c r="CB152" s="38" t="n">
        <f aca="false">IF(N(Tasks[[#This Row],[Pred2 UID]])=0,0,IFERROR(MATCH(Tasks[[#This Row],[Pred2 UID]],Tasks[UID],0),-1))</f>
        <v>0</v>
      </c>
      <c r="CC152" s="38" t="n">
        <f aca="false">IF(N(Tasks[[#This Row],[Pred3 UID]])=0,0,IFERROR(MATCH(Tasks[[#This Row],[Pred3 UID]],Tasks[UID],0),-1))</f>
        <v>0</v>
      </c>
      <c r="CD152" s="38" t="n">
        <f aca="false">IF(N(Tasks[[#This Row],[Pred4 UID]])=0,0,IFERROR(MATCH(Tasks[[#This Row],[Pred4 UID]],Tasks[UID],0),-1))</f>
        <v>0</v>
      </c>
      <c r="CE15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2" s="115" t="n">
        <f aca="false">IF(OR(Tasks[[#This Row],[_ConstraintCode]]=2,Tasks[[#This Row],[_ConstraintCode]]=3,Tasks[[#This Row],[_ConstraintCode]]=4,Tasks[[#This Row],[_ConstraintCode]]=6),Tasks[[#This Row],[_ConstraintStart]],0)</f>
        <v>0</v>
      </c>
      <c r="CH152" s="115" t="n">
        <f aca="false">IF(OR(Tasks[[#This Row],[_ConstraintCode]]=2,Tasks[[#This Row],[_ConstraintCode]]=3,Tasks[[#This Row],[_ConstraintCode]]=5,Tasks[[#This Row],[_ConstraintCode]]=7),Tasks[[#This Row],[_ConstraintStart]],2958465)</f>
        <v>2958465</v>
      </c>
      <c r="CI15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2" s="115" t="str">
        <f aca="false">IF(NOT(Tasks[[#This Row],[_IsLeaf]]=1),"",IF(N(Tasks[[#This Row],[Duration]])&lt;=0,Tasks[[#This Row],[_LeafCalcStart]],WORKDAY.INTL(Tasks[[#This Row],[_LeafCalcStart]],Tasks[[#This Row],[Duration]]-1,WorkWeek,Holidays)))</f>
        <v/>
      </c>
      <c r="CK15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2" s="38" t="n">
        <f aca="false">IF(NOT(Tasks[[#This Row],[_IsLeaf]]=1),0,IF(N(Tasks[[#This Row],[Actual Finish]])&gt;0,1,MIN(1,N(Tasks[[#This Row],[% Complete]]))))</f>
        <v>0</v>
      </c>
      <c r="CN152" s="38" t="n">
        <f aca="false">IF(OR(NOT(Tasks[[#This Row],[_IsLeaf]]=1),Tasks[[#This Row],[Resource]]=""),0,N(Tasks[[#This Row],[Duration]])*HoursPerDay*IF(Tasks[[#This Row],[Units]]="",DefaultUnits,Tasks[[#This Row],[Units]]))</f>
        <v>0</v>
      </c>
      <c r="CO152" s="38" t="n">
        <f aca="false">IF(Tasks[[#This Row],[_LeafWork]]=0,0,Tasks[[#This Row],[_LeafWork]]*IFERROR(INDEX(res_Rate,MATCH(Tasks[[#This Row],[Resource]],res_Name,0)),0))</f>
        <v>0</v>
      </c>
      <c r="CP152" s="38" t="n">
        <f aca="false">Tasks[[#This Row],[_LeafWork]]+IF(Tasks[[#This Row],[_IsLeaf]]=1,SUMIFS(asg_Work,asg_TaskUID,Tasks[[#This Row],[UID]],asg_Valid,1),0)</f>
        <v>0</v>
      </c>
      <c r="CQ152" s="38" t="n">
        <f aca="false">Tasks[[#This Row],[_LeafCost]]+IF(Tasks[[#This Row],[_IsLeaf]]=1,SUMIFS(asg_Cost,asg_TaskUID,Tasks[[#This Row],[UID]],asg_Valid,1),0)</f>
        <v>0</v>
      </c>
      <c r="CR152" s="38" t="n">
        <f aca="false">IF(Tasks[[#This Row],[_LeafTotalCost]]=0,Tasks[[#This Row],[_LeafAC]],Tasks[[#This Row],[_LeafAC]]*Tasks[[#This Row],[_LeafCost]]/Tasks[[#This Row],[_LeafTotalCost]])</f>
        <v>0</v>
      </c>
      <c r="CS15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2" s="38" t="n">
        <f aca="false">IF(NOT(Tasks[[#This Row],[_IsLeaf]]=1),0,MAX(_xlfn.MAXIFS(Tasks[_Row],Tasks[Pred1 UID],Tasks[[#This Row],[UID]]),_xlfn.MAXIFS(Tasks[_Row],Tasks[Pred2 UID],Tasks[[#This Row],[UID]]),_xlfn.MAXIFS(Tasks[_Row],Tasks[Pred3 UID],Tasks[[#This Row],[UID]]),_xlfn.MAXIFS(Tasks[_Row],Tasks[Pred4 UID],Tasks[[#This Row],[UID]])))</f>
        <v>0</v>
      </c>
      <c r="DB15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2" s="115" t="str">
        <f aca="false">IF(NOT(Tasks[[#This Row],[_IsLeaf]]=1),"",IF(N(Tasks[[#This Row],[Duration]])&lt;=0,Tasks[[#This Row],[_LeafLateFinish]],WORKDAY.INTL(Tasks[[#This Row],[_LeafLateFinish]],-(Tasks[[#This Row],[Duration]]-1),WorkWeek,Holidays)))</f>
        <v/>
      </c>
      <c r="DE15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2" s="114" t="b">
        <f aca="false">AND(Tasks[[#This Row],[_IsLeaf]]=1,Tasks[[#This Row],[_LeafProgress]]&lt;1,N(Tasks[[#This Row],[_LeafTotalSlack]])&lt;=CriticalSlackDays)</f>
        <v>0</v>
      </c>
      <c r="DG152" s="38" t="n">
        <f aca="false">IF(AND(Tasks[[#This Row],[_IsLeaf]]=1,Tasks[[#This Row],[_ConstraintCode]]=1,Tasks[[#This Row],[Mode]]&lt;&gt;"Manual",N(Tasks[[#This Row],[Actual Start]])=0),MAX(0,N(Tasks[[#This Row],[Free Slack]])),0)</f>
        <v>0</v>
      </c>
      <c r="DH152" s="115" t="str">
        <f aca="false">IF(NOT(Tasks[[#This Row],[_IsLeaf]]=1),"",IF(Tasks[[#This Row],[_AlapShift]]=0,Tasks[[#This Row],[_LeafCalcStart]],WORKDAY.INTL(Tasks[[#This Row],[_LeafCalcStart]],Tasks[[#This Row],[_AlapShift]],WorkWeek,Holidays)))</f>
        <v/>
      </c>
      <c r="DI152" s="115" t="str">
        <f aca="false">IF(NOT(Tasks[[#This Row],[_IsLeaf]]=1),"",IF(Tasks[[#This Row],[_AlapShift]]=0,Tasks[[#This Row],[_LeafCalcFinish]],WORKDAY.INTL(Tasks[[#This Row],[_LeafCalcFinish]],Tasks[[#This Row],[_AlapShift]],WorkWeek,Holidays)))</f>
        <v/>
      </c>
      <c r="DJ152" s="115" t="str">
        <f aca="false">IF(NOT(Tasks[[#This Row],[_IsLeaf]]=1),"",IF(Tasks[[#This Row],[_AlapShift]]=0,Tasks[[#This Row],[_LeafFcstStart]],WORKDAY.INTL(Tasks[[#This Row],[_LeafFcstStart]],Tasks[[#This Row],[_AlapShift]],WorkWeek,Holidays)))</f>
        <v/>
      </c>
      <c r="DK152" s="115" t="str">
        <f aca="false">IF(NOT(Tasks[[#This Row],[_IsLeaf]]=1),"",IF(Tasks[[#This Row],[_AlapShift]]=0,Tasks[[#This Row],[_LeafFcstFinish]],WORKDAY.INTL(Tasks[[#This Row],[_LeafFcstFinish]],Tasks[[#This Row],[_AlapShift]],WorkWeek,Holidays)))</f>
        <v/>
      </c>
      <c r="DL152" s="115" t="str">
        <f aca="false">IF(Tasks[[#This Row],[Task Name]]="","",IF(Tasks[[#This Row],[_IsSummary]],MIN(INDEX(Tasks[_ShownCalcStart],Tasks[[#This Row],[_Row]]+1):INDEX(Tasks[_ShownCalcStart],Tasks[[#This Row],[_Row]]+Tasks[[#This Row],[_Descendants]])),Tasks[[#This Row],[_ShownCalcStart]]))</f>
        <v/>
      </c>
      <c r="DM152" s="115" t="str">
        <f aca="false">IF(Tasks[[#This Row],[Task Name]]="","",IF(Tasks[[#This Row],[_IsSummary]],MAX(INDEX(Tasks[_ShownCalcFinish],Tasks[[#This Row],[_Row]]+1):INDEX(Tasks[_ShownCalcFinish],Tasks[[#This Row],[_Row]]+Tasks[[#This Row],[_Descendants]])),Tasks[[#This Row],[_ShownCalcFinish]]))</f>
        <v/>
      </c>
      <c r="DN15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2" s="38" t="n">
        <f aca="false">IF(AND(Tasks[[#This Row],[_IsLeaf]]=1,Tasks[[#This Row],[_LeafTotalWork]]&gt;0),NETWORKDAYS.INTL(ProjectStart,Tasks[[#This Row],[_ShownFcstStart]],WorkWeek,Holidays),0)</f>
        <v>0</v>
      </c>
      <c r="EA152" s="38" t="n">
        <f aca="false">IF(AND(Tasks[[#This Row],[_IsLeaf]]=1,Tasks[[#This Row],[_LeafTotalWork]]&gt;0),MAX(Tasks[[#This Row],[_StartWorkday]],NETWORKDAYS.INTL(ProjectStart,Tasks[[#This Row],[_ShownFcstFinish]],WorkWeek,Holidays)),0)</f>
        <v>0</v>
      </c>
      <c r="EB152" s="38" t="n">
        <f aca="false">IF(AND(Tasks[[#This Row],[_IsLeaf]]=1,Tasks[[#This Row],[_LeafTotalWork]]&gt;0),Tasks[[#This Row],[_LeafWork]]/(Tasks[[#This Row],[_FinishWorkday]]-Tasks[[#This Row],[_StartWorkday]]+1),0)</f>
        <v>0</v>
      </c>
      <c r="EC152" s="38" t="n">
        <f aca="false">Tasks[[#This Row],[_WorkPerWorkday]]*(Tasks[[#This Row],[_StartWorkday]]-1)</f>
        <v>-0</v>
      </c>
      <c r="ED152" s="38" t="n">
        <f aca="false">IF(Tasks[[#This Row],[_IsLeaf]]=1,MAX(N(Tasks[[#This Row],[Duration]]),0.1),0)</f>
        <v>0</v>
      </c>
      <c r="EE152" s="38" t="n">
        <f aca="false">Tasks[[#This Row],[_WeightDur]]*Tasks[[#This Row],[_LeafProgress]]</f>
        <v>0</v>
      </c>
      <c r="EF15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2" s="38" t="str">
        <f aca="false">IF(AND(Tasks[[#This Row],[_IsLeaf]]=1,N(Tasks[[#This Row],[Duration]])=0,Tasks[[#This Row],[_LeafProgress]]&lt;1),Tasks[[#This Row],[_ShownFcstFinish]]+Tasks[[#This Row],[_Row]]/100000,"")</f>
        <v/>
      </c>
      <c r="EH15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2" s="38" t="n">
        <f aca="false">IF(NOT(Tasks[[#This Row],[_IsLeaf]]=1),0,IF(Tasks[[#This Row],[Baseline Cost]]="",Tasks[[#This Row],[_LeafTotalCost]],N(Tasks[[#This Row],[Baseline Cost]])))</f>
        <v>0</v>
      </c>
      <c r="EJ152" s="38" t="n">
        <f aca="false">Tasks[[#This Row],[_LeafBudget]]*Tasks[[#This Row],[_PlannedPct]]</f>
        <v>0</v>
      </c>
      <c r="EK152" s="38" t="n">
        <f aca="false">Tasks[[#This Row],[_LeafBudget]]*Tasks[[#This Row],[_LeafProgress]]</f>
        <v>0</v>
      </c>
      <c r="EL152" s="38" t="n">
        <f aca="false">IF(NOT(Tasks[[#This Row],[_IsLeaf]]=1),0,IF(Tasks[[#This Row],[Actual Cost]]="",Tasks[[#This Row],[_LeafTotalCost]]*Tasks[[#This Row],[_LeafProgress]],N(Tasks[[#This Row],[Actual Cost]])))</f>
        <v>0</v>
      </c>
      <c r="EM152" s="38" t="str">
        <f aca="false">IF(Tasks[[#This Row],[Task Name]]="","",LEFT(Tasks[[#This Row],[WBS]],FIND(".",Tasks[[#This Row],[WBS]]&amp;".")-1))</f>
        <v/>
      </c>
      <c r="EN152" s="38" t="str">
        <f aca="false">IF(AND(Tasks[[#This Row],[Task Name]]&lt;&gt;"",Tasks[[#This Row],[_Level]]=1),Tasks[[#This Row],[_Row]],"")</f>
        <v/>
      </c>
      <c r="EO152" s="38" t="str">
        <f aca="false">IF(AND(Tasks[[#This Row],[_IsLeaf]]=1,N(Tasks[[#This Row],[Duration]])=0),Tasks[[#This Row],[Planned Finish]]+Tasks[[#This Row],[_Row]]/100000,"")</f>
        <v/>
      </c>
      <c r="EP152" s="38" t="str">
        <f aca="false">IF(AND(Tasks[[#This Row],[_IsLeaf]]=1,Tasks[[#This Row],[_LeafProgress]]&lt;1,OR(N(Tasks[[#This Row],[Finish Var]])&gt;0,Tasks[[#This Row],[Status]]="Late Start")),MAX(0,Tasks[[#This Row],[Finish Var]])+1-Tasks[[#This Row],[_Row]]/1000000,"")</f>
        <v/>
      </c>
      <c r="EQ152" s="38" t="str">
        <f aca="false">IF(AND(Tasks[[#This Row],[_IsLeaf]]=1,N(Tasks[[#This Row],[Actual Start]])=0,Tasks[[#This Row],[_ShownFcstStart]]&gt;=StatusDate,Tasks[[#This Row],[_ShownFcstStart]]&lt;=LookaheadEnd),Tasks[[#This Row],[_ShownFcstStart]]+Tasks[[#This Row],[_Row]]/100000,"")</f>
        <v/>
      </c>
      <c r="ER152" s="38" t="str">
        <f aca="false">IF(AND(Tasks[[#This Row],[_IsLeaf]]=1,Tasks[[#This Row],[_LeafProgress]]&lt;1,Tasks[[#This Row],[_ShownFcstFinish]]&gt;=StatusDate,Tasks[[#This Row],[_ShownFcstFinish]]&lt;=LookaheadEnd),Tasks[[#This Row],[_ShownFcstFinish]]+Tasks[[#This Row],[_Row]]/100000,"")</f>
        <v/>
      </c>
      <c r="ES152" s="38" t="str">
        <f aca="false">IF(Tasks[[#This Row],[_LeafCritical]],Tasks[[#This Row],[_ShownFcstStart]]+Tasks[[#This Row],[_Row]]/100000,"")</f>
        <v/>
      </c>
      <c r="ET152" s="38" t="n">
        <f aca="false">Tasks[[#This Row],[_LeafWork]]*Tasks[[#This Row],[_LeafProgress]]</f>
        <v>0</v>
      </c>
      <c r="EU152" s="115" t="str">
        <f aca="false">IF(AND(Tasks[[#This Row],[_IsLeaf]]=1,Tasks[[#This Row],[_LeafProgress]]&gt;=1),IF(N(Tasks[[#This Row],[Actual Finish]])&gt;0,Tasks[[#This Row],[Actual Finish]],Tasks[[#This Row],[_ShownFcstFinish]]),"")</f>
        <v/>
      </c>
      <c r="EV152" s="38" t="n">
        <f aca="false">IF(Tasks[[#This Row],[_IsLeaf]]=1,N(Tasks[[#This Row],[Story Points]]),0)</f>
        <v>0</v>
      </c>
      <c r="EW152" s="38" t="str">
        <f aca="false">IF(AND(Tasks[[#This Row],[_IsLeaf]]=1,CurrentSprint&lt;&gt;"",Tasks[[#This Row],[Sprint]]=CurrentSprint),Tasks[[#This Row],[_Row]],"")</f>
        <v/>
      </c>
    </row>
    <row r="153" customFormat="false" ht="15" hidden="false" customHeight="false" outlineLevel="0" collapsed="false">
      <c r="A153" s="51" t="str">
        <f aca="false">IF(Tasks[[#This Row],[Task Name]]="","",COUNTA(Tasks[[#Headers],[Task Name]]:Tasks[[#This Row],[Task Name]])-1)</f>
        <v/>
      </c>
      <c r="B153" s="52" t="n">
        <v>148</v>
      </c>
      <c r="C15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52"/>
      <c r="E153" s="53"/>
      <c r="F153" s="52"/>
      <c r="G153" s="52"/>
      <c r="H153" s="52"/>
      <c r="I153" s="52"/>
      <c r="J153" s="52"/>
      <c r="K153" s="52"/>
      <c r="L153" s="52"/>
      <c r="M153" s="52"/>
      <c r="N153" s="52"/>
      <c r="O153" s="52"/>
      <c r="P153" s="52"/>
      <c r="Q153" s="52"/>
      <c r="R153" s="52"/>
      <c r="S153" s="53"/>
      <c r="T153" s="102"/>
      <c r="U153" s="102"/>
      <c r="V153" s="7"/>
      <c r="W153" s="7"/>
      <c r="X153" s="53"/>
      <c r="Y153" s="31" t="str">
        <f aca="false">IF(Tasks[[#This Row],[Task Name]]="","",IF(Tasks[[#This Row],[_IsSummary]],MIN(INDEX(Tasks[_ShownFcstStart],Tasks[[#This Row],[_Row]]+1):INDEX(Tasks[_ShownFcstStart],Tasks[[#This Row],[_Row]]+Tasks[[#This Row],[_Descendants]])),Tasks[[#This Row],[_ShownFcstStart]]))</f>
        <v/>
      </c>
      <c r="Z153" s="31" t="str">
        <f aca="false">IF(Tasks[[#This Row],[Task Name]]="","",IF(Tasks[[#This Row],[_IsSummary]],MAX(INDEX(Tasks[_ShownFcstFinish],Tasks[[#This Row],[_Row]]+1):INDEX(Tasks[_ShownFcstFinish],Tasks[[#This Row],[_Row]]+Tasks[[#This Row],[_Descendants]])),Tasks[[#This Row],[_ShownFcstFinish]]))</f>
        <v/>
      </c>
      <c r="AA153" s="51" t="str">
        <f aca="false">IF(Tasks[[#This Row],[Task Name]]="","",IF(Tasks[[#This Row],[Progress]]&gt;=1,"Complete",IF(OR(N(Tasks[[#This Row],[Actual Start]])&gt;0,Tasks[[#This Row],[Progress]]&gt;0),IF(Tasks[[#This Row],[Finish Var]]&gt;0,"Behind","In Progress"),IF(Tasks[[#This Row],[Planned Start]]&lt;StatusDate,"Late Start","Not Started"))))</f>
        <v/>
      </c>
      <c r="AB153" s="51" t="str">
        <f aca="false">IF(Tasks[[#This Row],[Task Name]]="","",IF(IF(Tasks[[#This Row],[_IsSummary]],COUNTIF(INDEX(Tasks[_LeafCritical],Tasks[[#This Row],[_Row]]+1):INDEX(Tasks[_LeafCritical],Tasks[[#This Row],[_Row]]+Tasks[[#This Row],[_Descendants]]),TRUE())&gt;0,Tasks[[#This Row],[_LeafCritical]]),"Yes",""))</f>
        <v/>
      </c>
      <c r="AC15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3" s="51" t="str">
        <f aca="false">IF(Tasks[[#This Row],[Task Name]]="","",IF(Tasks[[#This Row],[_Level]]&lt;=OutlineShowLevel,"Yes","No"))</f>
        <v/>
      </c>
      <c r="AE153" s="7"/>
      <c r="AF153" s="52"/>
      <c r="AG153" s="53"/>
      <c r="AH153" s="7"/>
      <c r="AI15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3" s="31" t="str">
        <f aca="false">IF(Tasks[[#This Row],[Task Name]]="","",IF(N(Tasks[[#This Row],[Baseline Start]])&gt;0,Tasks[[#This Row],[Baseline Start]],Tasks[[#This Row],[_CalcStart]]))</f>
        <v/>
      </c>
      <c r="AK153" s="31" t="str">
        <f aca="false">IF(Tasks[[#This Row],[Task Name]]="","",IF(N(Tasks[[#This Row],[Baseline Finish]])&gt;0,Tasks[[#This Row],[Baseline Finish]],Tasks[[#This Row],[_CalcFinish]]))</f>
        <v/>
      </c>
      <c r="AL15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3" s="31" t="str">
        <f aca="false">IF(Tasks[[#This Row],[Task Name]]="","",IF(Tasks[[#This Row],[_IsSummary]],MIN(INDEX(Tasks[_LeafLateStart],Tasks[[#This Row],[_Row]]+1):INDEX(Tasks[_LeafLateStart],Tasks[[#This Row],[_Row]]+Tasks[[#This Row],[_Descendants]])),Tasks[[#This Row],[_LeafLateStart]]))</f>
        <v/>
      </c>
      <c r="AN153" s="31" t="str">
        <f aca="false">IF(Tasks[[#This Row],[Task Name]]="","",IF(Tasks[[#This Row],[_IsSummary]],MAX(INDEX(Tasks[_LeafLateFinish],Tasks[[#This Row],[_Row]]+1):INDEX(Tasks[_LeafLateFinish],Tasks[[#This Row],[_Row]]+Tasks[[#This Row],[_Descendants]])),Tasks[[#This Row],[_LeafLateFinish]]))</f>
        <v/>
      </c>
      <c r="AO153" s="51" t="str">
        <f aca="false">IF(Tasks[[#This Row],[Task Name]]="","",IF(Tasks[[#This Row],[_IsSummary]],MIN(INDEX(Tasks[_LeafTotalSlack],Tasks[[#This Row],[_Row]]+1):INDEX(Tasks[_LeafTotalSlack],Tasks[[#This Row],[_Row]]+Tasks[[#This Row],[_Descendants]])),Tasks[[#This Row],[_LeafTotalSlack]]))</f>
        <v/>
      </c>
      <c r="AP15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3" s="110" t="str">
        <f aca="false">IF(Tasks[[#This Row],[Task Name]]="","",IF(Tasks[[#This Row],[_IsSummary]],SUM(INDEX(Tasks[_LeafTotalWork],Tasks[[#This Row],[_Row]]+1):INDEX(Tasks[_LeafTotalWork],Tasks[[#This Row],[_Row]]+Tasks[[#This Row],[_Descendants]])),Tasks[[#This Row],[_LeafTotalWork]]))</f>
        <v/>
      </c>
      <c r="AV15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3" s="111" t="str">
        <f aca="false">IF(Tasks[[#This Row],[Task Name]]="","",IF(Tasks[[#This Row],[_IsSummary]],SUM(INDEX(Tasks[_LeafTotalCost],Tasks[[#This Row],[_Row]]+1):INDEX(Tasks[_LeafTotalCost],Tasks[[#This Row],[_Row]]+Tasks[[#This Row],[_Descendants]])),Tasks[[#This Row],[_LeafTotalCost]]))</f>
        <v/>
      </c>
      <c r="AY153" s="112"/>
      <c r="AZ15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3" s="52"/>
      <c r="BB153" s="98"/>
      <c r="BC153" s="51" t="str">
        <f aca="false">IF(OR(Tasks[[#This Row],[Task Name]]="",Tasks[[#This Row],[Baseline Duration]]=""),"",Tasks[[#This Row],[BL Source Duration]]-N(Tasks[[#This Row],[Baseline Duration]]))</f>
        <v/>
      </c>
      <c r="BD153" s="110" t="str">
        <f aca="false">IF(OR(Tasks[[#This Row],[Task Name]]="",Tasks[[#This Row],[Baseline Work]]=""),"",Tasks[[#This Row],[Work]]-N(Tasks[[#This Row],[Baseline Work]]))</f>
        <v/>
      </c>
      <c r="BE153" s="111" t="str">
        <f aca="false">IF(OR(Tasks[[#This Row],[Task Name]]="",Tasks[[#This Row],[Baseline Cost]]=""),"",Tasks[[#This Row],[Cost]]-N(Tasks[[#This Row],[Baseline Cost]]))</f>
        <v/>
      </c>
      <c r="BF153" s="31" t="str">
        <f aca="false">IF(Tasks[[#This Row],[Task Name]]="","",Tasks[[#This Row],[Forecast Start]])</f>
        <v/>
      </c>
      <c r="BG153" s="31" t="str">
        <f aca="false">IF(Tasks[[#This Row],[Task Name]]="","",Tasks[[#This Row],[Forecast Finish]])</f>
        <v/>
      </c>
      <c r="BH153" s="51" t="str">
        <f aca="false">IF(Tasks[[#This Row],[Task Name]]="","",IF(Tasks[[#This Row],[_IsSummary]],NETWORKDAYS.INTL(Tasks[[#This Row],[Forecast Start]],Tasks[[#This Row],[Forecast Finish]],WorkWeek,Holidays),N(Tasks[[#This Row],[Duration]])))</f>
        <v/>
      </c>
      <c r="BI153" s="110" t="str">
        <f aca="false">IF(Tasks[[#This Row],[Task Name]]="","",Tasks[[#This Row],[Work]])</f>
        <v/>
      </c>
      <c r="BJ153" s="111" t="str">
        <f aca="false">IF(Tasks[[#This Row],[Task Name]]="","",Tasks[[#This Row],[Cost]])</f>
        <v/>
      </c>
      <c r="BK153" s="7"/>
      <c r="BL153" s="7"/>
      <c r="BM153" s="52"/>
      <c r="BN153" s="113"/>
      <c r="BO153" s="112"/>
      <c r="BP153" s="111" t="str">
        <f aca="false">IF(Tasks[[#This Row],[Task Name]]="","",IF(Tasks[[#This Row],[_IsSummary]],SUM(INDEX(Tasks[_LeafEV],Tasks[[#This Row],[_Row]]+1):INDEX(Tasks[_LeafEV],Tasks[[#This Row],[_Row]]+Tasks[[#This Row],[_Descendants]])),Tasks[[#This Row],[_LeafEV]]))</f>
        <v/>
      </c>
      <c r="BQ153" s="111" t="str">
        <f aca="false">IF(Tasks[[#This Row],[Task Name]]="","",IF(Tasks[[#This Row],[_IsSummary]],SUM(INDEX(Tasks[_LeafBudget],Tasks[[#This Row],[_Row]]+1):INDEX(Tasks[_LeafBudget],Tasks[[#This Row],[_Row]]+Tasks[[#This Row],[_Descendants]])),Tasks[[#This Row],[_LeafBudget]]))</f>
        <v/>
      </c>
      <c r="BR153" s="111" t="str">
        <f aca="false">IF(Tasks[[#This Row],[Task Name]]="","",IF(Tasks[[#This Row],[_IsSummary]],SUM(INDEX(Tasks[_LeafPV],Tasks[[#This Row],[_Row]]+1):INDEX(Tasks[_LeafPV],Tasks[[#This Row],[_Row]]+Tasks[[#This Row],[_Descendants]])),Tasks[[#This Row],[_LeafPV]]))</f>
        <v/>
      </c>
      <c r="BS153" s="111" t="str">
        <f aca="false">IF(Tasks[[#This Row],[Task Name]]="","",IF(Tasks[[#This Row],[_IsSummary]],SUM(INDEX(Tasks[_LeafAC],Tasks[[#This Row],[_Row]]+1):INDEX(Tasks[_LeafAC],Tasks[[#This Row],[_Row]]+Tasks[[#This Row],[_Descendants]])),Tasks[[#This Row],[_LeafAC]]))</f>
        <v/>
      </c>
      <c r="BT153" s="38" t="str">
        <f aca="false">IF(Tasks[[#This Row],[Task Name]]="","",MAX(1,N(Tasks[[#This Row],[Level]])))</f>
        <v/>
      </c>
      <c r="BU153" s="38" t="n">
        <f aca="false">ROW()-ROW(Tasks[[#Headers],[ID]])</f>
        <v>148</v>
      </c>
      <c r="BV153" s="38" t="n">
        <f aca="false">IF(OR(Tasks[[#This Row],[Task Name]]="",Tasks[[#This Row],[_Level]]&lt;=1),0,IFERROR(LOOKUP(2,1/(Tasks[[#Headers],[_Level]]:Tasks[[#This Row],[_Level]]=Tasks[[#This Row],[_Level]]-1),ROW(Tasks[[#Headers],[_Level]]:Tasks[[#This Row],[_Level]])),0))</f>
        <v>0</v>
      </c>
      <c r="BW153" s="38" t="n">
        <f aca="false">IFERROR(N(INDEX(Tasks[_Level],Tasks[[#This Row],[_Row]]+1)),0)</f>
        <v>0</v>
      </c>
      <c r="BX153" s="114" t="b">
        <f aca="false">AND(Tasks[[#This Row],[Task Name]]&lt;&gt;"",Tasks[[#This Row],[_NextLevel]]&gt;Tasks[[#This Row],[_Level]])</f>
        <v>0</v>
      </c>
      <c r="BY153" s="38" t="n">
        <f aca="false">IF(Tasks[[#This Row],[_IsSummary]],COUNTIF(Tasks[WBS],Tasks[[#This Row],[WBS]]&amp;".*"),0)</f>
        <v>0</v>
      </c>
      <c r="BZ153" s="38" t="n">
        <f aca="false">IF(AND(Tasks[[#This Row],[Task Name]]&lt;&gt;"",NOT(Tasks[[#This Row],[_IsSummary]])),1,0)</f>
        <v>0</v>
      </c>
      <c r="CA153" s="38" t="n">
        <f aca="false">IF(N(Tasks[[#This Row],[Pred1 UID]])=0,0,IFERROR(MATCH(Tasks[[#This Row],[Pred1 UID]],Tasks[UID],0),-1))</f>
        <v>0</v>
      </c>
      <c r="CB153" s="38" t="n">
        <f aca="false">IF(N(Tasks[[#This Row],[Pred2 UID]])=0,0,IFERROR(MATCH(Tasks[[#This Row],[Pred2 UID]],Tasks[UID],0),-1))</f>
        <v>0</v>
      </c>
      <c r="CC153" s="38" t="n">
        <f aca="false">IF(N(Tasks[[#This Row],[Pred3 UID]])=0,0,IFERROR(MATCH(Tasks[[#This Row],[Pred3 UID]],Tasks[UID],0),-1))</f>
        <v>0</v>
      </c>
      <c r="CD153" s="38" t="n">
        <f aca="false">IF(N(Tasks[[#This Row],[Pred4 UID]])=0,0,IFERROR(MATCH(Tasks[[#This Row],[Pred4 UID]],Tasks[UID],0),-1))</f>
        <v>0</v>
      </c>
      <c r="CE15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3" s="115" t="n">
        <f aca="false">IF(OR(Tasks[[#This Row],[_ConstraintCode]]=2,Tasks[[#This Row],[_ConstraintCode]]=3,Tasks[[#This Row],[_ConstraintCode]]=4,Tasks[[#This Row],[_ConstraintCode]]=6),Tasks[[#This Row],[_ConstraintStart]],0)</f>
        <v>0</v>
      </c>
      <c r="CH153" s="115" t="n">
        <f aca="false">IF(OR(Tasks[[#This Row],[_ConstraintCode]]=2,Tasks[[#This Row],[_ConstraintCode]]=3,Tasks[[#This Row],[_ConstraintCode]]=5,Tasks[[#This Row],[_ConstraintCode]]=7),Tasks[[#This Row],[_ConstraintStart]],2958465)</f>
        <v>2958465</v>
      </c>
      <c r="CI15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3" s="115" t="str">
        <f aca="false">IF(NOT(Tasks[[#This Row],[_IsLeaf]]=1),"",IF(N(Tasks[[#This Row],[Duration]])&lt;=0,Tasks[[#This Row],[_LeafCalcStart]],WORKDAY.INTL(Tasks[[#This Row],[_LeafCalcStart]],Tasks[[#This Row],[Duration]]-1,WorkWeek,Holidays)))</f>
        <v/>
      </c>
      <c r="CK15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3" s="38" t="n">
        <f aca="false">IF(NOT(Tasks[[#This Row],[_IsLeaf]]=1),0,IF(N(Tasks[[#This Row],[Actual Finish]])&gt;0,1,MIN(1,N(Tasks[[#This Row],[% Complete]]))))</f>
        <v>0</v>
      </c>
      <c r="CN153" s="38" t="n">
        <f aca="false">IF(OR(NOT(Tasks[[#This Row],[_IsLeaf]]=1),Tasks[[#This Row],[Resource]]=""),0,N(Tasks[[#This Row],[Duration]])*HoursPerDay*IF(Tasks[[#This Row],[Units]]="",DefaultUnits,Tasks[[#This Row],[Units]]))</f>
        <v>0</v>
      </c>
      <c r="CO153" s="38" t="n">
        <f aca="false">IF(Tasks[[#This Row],[_LeafWork]]=0,0,Tasks[[#This Row],[_LeafWork]]*IFERROR(INDEX(res_Rate,MATCH(Tasks[[#This Row],[Resource]],res_Name,0)),0))</f>
        <v>0</v>
      </c>
      <c r="CP153" s="38" t="n">
        <f aca="false">Tasks[[#This Row],[_LeafWork]]+IF(Tasks[[#This Row],[_IsLeaf]]=1,SUMIFS(asg_Work,asg_TaskUID,Tasks[[#This Row],[UID]],asg_Valid,1),0)</f>
        <v>0</v>
      </c>
      <c r="CQ153" s="38" t="n">
        <f aca="false">Tasks[[#This Row],[_LeafCost]]+IF(Tasks[[#This Row],[_IsLeaf]]=1,SUMIFS(asg_Cost,asg_TaskUID,Tasks[[#This Row],[UID]],asg_Valid,1),0)</f>
        <v>0</v>
      </c>
      <c r="CR153" s="38" t="n">
        <f aca="false">IF(Tasks[[#This Row],[_LeafTotalCost]]=0,Tasks[[#This Row],[_LeafAC]],Tasks[[#This Row],[_LeafAC]]*Tasks[[#This Row],[_LeafCost]]/Tasks[[#This Row],[_LeafTotalCost]])</f>
        <v>0</v>
      </c>
      <c r="CS15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3" s="38" t="n">
        <f aca="false">IF(NOT(Tasks[[#This Row],[_IsLeaf]]=1),0,MAX(_xlfn.MAXIFS(Tasks[_Row],Tasks[Pred1 UID],Tasks[[#This Row],[UID]]),_xlfn.MAXIFS(Tasks[_Row],Tasks[Pred2 UID],Tasks[[#This Row],[UID]]),_xlfn.MAXIFS(Tasks[_Row],Tasks[Pred3 UID],Tasks[[#This Row],[UID]]),_xlfn.MAXIFS(Tasks[_Row],Tasks[Pred4 UID],Tasks[[#This Row],[UID]])))</f>
        <v>0</v>
      </c>
      <c r="DB15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3" s="115" t="str">
        <f aca="false">IF(NOT(Tasks[[#This Row],[_IsLeaf]]=1),"",IF(N(Tasks[[#This Row],[Duration]])&lt;=0,Tasks[[#This Row],[_LeafLateFinish]],WORKDAY.INTL(Tasks[[#This Row],[_LeafLateFinish]],-(Tasks[[#This Row],[Duration]]-1),WorkWeek,Holidays)))</f>
        <v/>
      </c>
      <c r="DE15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3" s="114" t="b">
        <f aca="false">AND(Tasks[[#This Row],[_IsLeaf]]=1,Tasks[[#This Row],[_LeafProgress]]&lt;1,N(Tasks[[#This Row],[_LeafTotalSlack]])&lt;=CriticalSlackDays)</f>
        <v>0</v>
      </c>
      <c r="DG153" s="38" t="n">
        <f aca="false">IF(AND(Tasks[[#This Row],[_IsLeaf]]=1,Tasks[[#This Row],[_ConstraintCode]]=1,Tasks[[#This Row],[Mode]]&lt;&gt;"Manual",N(Tasks[[#This Row],[Actual Start]])=0),MAX(0,N(Tasks[[#This Row],[Free Slack]])),0)</f>
        <v>0</v>
      </c>
      <c r="DH153" s="115" t="str">
        <f aca="false">IF(NOT(Tasks[[#This Row],[_IsLeaf]]=1),"",IF(Tasks[[#This Row],[_AlapShift]]=0,Tasks[[#This Row],[_LeafCalcStart]],WORKDAY.INTL(Tasks[[#This Row],[_LeafCalcStart]],Tasks[[#This Row],[_AlapShift]],WorkWeek,Holidays)))</f>
        <v/>
      </c>
      <c r="DI153" s="115" t="str">
        <f aca="false">IF(NOT(Tasks[[#This Row],[_IsLeaf]]=1),"",IF(Tasks[[#This Row],[_AlapShift]]=0,Tasks[[#This Row],[_LeafCalcFinish]],WORKDAY.INTL(Tasks[[#This Row],[_LeafCalcFinish]],Tasks[[#This Row],[_AlapShift]],WorkWeek,Holidays)))</f>
        <v/>
      </c>
      <c r="DJ153" s="115" t="str">
        <f aca="false">IF(NOT(Tasks[[#This Row],[_IsLeaf]]=1),"",IF(Tasks[[#This Row],[_AlapShift]]=0,Tasks[[#This Row],[_LeafFcstStart]],WORKDAY.INTL(Tasks[[#This Row],[_LeafFcstStart]],Tasks[[#This Row],[_AlapShift]],WorkWeek,Holidays)))</f>
        <v/>
      </c>
      <c r="DK153" s="115" t="str">
        <f aca="false">IF(NOT(Tasks[[#This Row],[_IsLeaf]]=1),"",IF(Tasks[[#This Row],[_AlapShift]]=0,Tasks[[#This Row],[_LeafFcstFinish]],WORKDAY.INTL(Tasks[[#This Row],[_LeafFcstFinish]],Tasks[[#This Row],[_AlapShift]],WorkWeek,Holidays)))</f>
        <v/>
      </c>
      <c r="DL153" s="115" t="str">
        <f aca="false">IF(Tasks[[#This Row],[Task Name]]="","",IF(Tasks[[#This Row],[_IsSummary]],MIN(INDEX(Tasks[_ShownCalcStart],Tasks[[#This Row],[_Row]]+1):INDEX(Tasks[_ShownCalcStart],Tasks[[#This Row],[_Row]]+Tasks[[#This Row],[_Descendants]])),Tasks[[#This Row],[_ShownCalcStart]]))</f>
        <v/>
      </c>
      <c r="DM153" s="115" t="str">
        <f aca="false">IF(Tasks[[#This Row],[Task Name]]="","",IF(Tasks[[#This Row],[_IsSummary]],MAX(INDEX(Tasks[_ShownCalcFinish],Tasks[[#This Row],[_Row]]+1):INDEX(Tasks[_ShownCalcFinish],Tasks[[#This Row],[_Row]]+Tasks[[#This Row],[_Descendants]])),Tasks[[#This Row],[_ShownCalcFinish]]))</f>
        <v/>
      </c>
      <c r="DN15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3" s="38" t="n">
        <f aca="false">IF(AND(Tasks[[#This Row],[_IsLeaf]]=1,Tasks[[#This Row],[_LeafTotalWork]]&gt;0),NETWORKDAYS.INTL(ProjectStart,Tasks[[#This Row],[_ShownFcstStart]],WorkWeek,Holidays),0)</f>
        <v>0</v>
      </c>
      <c r="EA153" s="38" t="n">
        <f aca="false">IF(AND(Tasks[[#This Row],[_IsLeaf]]=1,Tasks[[#This Row],[_LeafTotalWork]]&gt;0),MAX(Tasks[[#This Row],[_StartWorkday]],NETWORKDAYS.INTL(ProjectStart,Tasks[[#This Row],[_ShownFcstFinish]],WorkWeek,Holidays)),0)</f>
        <v>0</v>
      </c>
      <c r="EB153" s="38" t="n">
        <f aca="false">IF(AND(Tasks[[#This Row],[_IsLeaf]]=1,Tasks[[#This Row],[_LeafTotalWork]]&gt;0),Tasks[[#This Row],[_LeafWork]]/(Tasks[[#This Row],[_FinishWorkday]]-Tasks[[#This Row],[_StartWorkday]]+1),0)</f>
        <v>0</v>
      </c>
      <c r="EC153" s="38" t="n">
        <f aca="false">Tasks[[#This Row],[_WorkPerWorkday]]*(Tasks[[#This Row],[_StartWorkday]]-1)</f>
        <v>-0</v>
      </c>
      <c r="ED153" s="38" t="n">
        <f aca="false">IF(Tasks[[#This Row],[_IsLeaf]]=1,MAX(N(Tasks[[#This Row],[Duration]]),0.1),0)</f>
        <v>0</v>
      </c>
      <c r="EE153" s="38" t="n">
        <f aca="false">Tasks[[#This Row],[_WeightDur]]*Tasks[[#This Row],[_LeafProgress]]</f>
        <v>0</v>
      </c>
      <c r="EF15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3" s="38" t="str">
        <f aca="false">IF(AND(Tasks[[#This Row],[_IsLeaf]]=1,N(Tasks[[#This Row],[Duration]])=0,Tasks[[#This Row],[_LeafProgress]]&lt;1),Tasks[[#This Row],[_ShownFcstFinish]]+Tasks[[#This Row],[_Row]]/100000,"")</f>
        <v/>
      </c>
      <c r="EH15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3" s="38" t="n">
        <f aca="false">IF(NOT(Tasks[[#This Row],[_IsLeaf]]=1),0,IF(Tasks[[#This Row],[Baseline Cost]]="",Tasks[[#This Row],[_LeafTotalCost]],N(Tasks[[#This Row],[Baseline Cost]])))</f>
        <v>0</v>
      </c>
      <c r="EJ153" s="38" t="n">
        <f aca="false">Tasks[[#This Row],[_LeafBudget]]*Tasks[[#This Row],[_PlannedPct]]</f>
        <v>0</v>
      </c>
      <c r="EK153" s="38" t="n">
        <f aca="false">Tasks[[#This Row],[_LeafBudget]]*Tasks[[#This Row],[_LeafProgress]]</f>
        <v>0</v>
      </c>
      <c r="EL153" s="38" t="n">
        <f aca="false">IF(NOT(Tasks[[#This Row],[_IsLeaf]]=1),0,IF(Tasks[[#This Row],[Actual Cost]]="",Tasks[[#This Row],[_LeafTotalCost]]*Tasks[[#This Row],[_LeafProgress]],N(Tasks[[#This Row],[Actual Cost]])))</f>
        <v>0</v>
      </c>
      <c r="EM153" s="38" t="str">
        <f aca="false">IF(Tasks[[#This Row],[Task Name]]="","",LEFT(Tasks[[#This Row],[WBS]],FIND(".",Tasks[[#This Row],[WBS]]&amp;".")-1))</f>
        <v/>
      </c>
      <c r="EN153" s="38" t="str">
        <f aca="false">IF(AND(Tasks[[#This Row],[Task Name]]&lt;&gt;"",Tasks[[#This Row],[_Level]]=1),Tasks[[#This Row],[_Row]],"")</f>
        <v/>
      </c>
      <c r="EO153" s="38" t="str">
        <f aca="false">IF(AND(Tasks[[#This Row],[_IsLeaf]]=1,N(Tasks[[#This Row],[Duration]])=0),Tasks[[#This Row],[Planned Finish]]+Tasks[[#This Row],[_Row]]/100000,"")</f>
        <v/>
      </c>
      <c r="EP153" s="38" t="str">
        <f aca="false">IF(AND(Tasks[[#This Row],[_IsLeaf]]=1,Tasks[[#This Row],[_LeafProgress]]&lt;1,OR(N(Tasks[[#This Row],[Finish Var]])&gt;0,Tasks[[#This Row],[Status]]="Late Start")),MAX(0,Tasks[[#This Row],[Finish Var]])+1-Tasks[[#This Row],[_Row]]/1000000,"")</f>
        <v/>
      </c>
      <c r="EQ153" s="38" t="str">
        <f aca="false">IF(AND(Tasks[[#This Row],[_IsLeaf]]=1,N(Tasks[[#This Row],[Actual Start]])=0,Tasks[[#This Row],[_ShownFcstStart]]&gt;=StatusDate,Tasks[[#This Row],[_ShownFcstStart]]&lt;=LookaheadEnd),Tasks[[#This Row],[_ShownFcstStart]]+Tasks[[#This Row],[_Row]]/100000,"")</f>
        <v/>
      </c>
      <c r="ER153" s="38" t="str">
        <f aca="false">IF(AND(Tasks[[#This Row],[_IsLeaf]]=1,Tasks[[#This Row],[_LeafProgress]]&lt;1,Tasks[[#This Row],[_ShownFcstFinish]]&gt;=StatusDate,Tasks[[#This Row],[_ShownFcstFinish]]&lt;=LookaheadEnd),Tasks[[#This Row],[_ShownFcstFinish]]+Tasks[[#This Row],[_Row]]/100000,"")</f>
        <v/>
      </c>
      <c r="ES153" s="38" t="str">
        <f aca="false">IF(Tasks[[#This Row],[_LeafCritical]],Tasks[[#This Row],[_ShownFcstStart]]+Tasks[[#This Row],[_Row]]/100000,"")</f>
        <v/>
      </c>
      <c r="ET153" s="38" t="n">
        <f aca="false">Tasks[[#This Row],[_LeafWork]]*Tasks[[#This Row],[_LeafProgress]]</f>
        <v>0</v>
      </c>
      <c r="EU153" s="115" t="str">
        <f aca="false">IF(AND(Tasks[[#This Row],[_IsLeaf]]=1,Tasks[[#This Row],[_LeafProgress]]&gt;=1),IF(N(Tasks[[#This Row],[Actual Finish]])&gt;0,Tasks[[#This Row],[Actual Finish]],Tasks[[#This Row],[_ShownFcstFinish]]),"")</f>
        <v/>
      </c>
      <c r="EV153" s="38" t="n">
        <f aca="false">IF(Tasks[[#This Row],[_IsLeaf]]=1,N(Tasks[[#This Row],[Story Points]]),0)</f>
        <v>0</v>
      </c>
      <c r="EW153" s="38" t="str">
        <f aca="false">IF(AND(Tasks[[#This Row],[_IsLeaf]]=1,CurrentSprint&lt;&gt;"",Tasks[[#This Row],[Sprint]]=CurrentSprint),Tasks[[#This Row],[_Row]],"")</f>
        <v/>
      </c>
    </row>
    <row r="154" customFormat="false" ht="15" hidden="false" customHeight="false" outlineLevel="0" collapsed="false">
      <c r="A154" s="51" t="str">
        <f aca="false">IF(Tasks[[#This Row],[Task Name]]="","",COUNTA(Tasks[[#Headers],[Task Name]]:Tasks[[#This Row],[Task Name]])-1)</f>
        <v/>
      </c>
      <c r="B154" s="52" t="n">
        <v>149</v>
      </c>
      <c r="C15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52"/>
      <c r="E154" s="53"/>
      <c r="F154" s="52"/>
      <c r="G154" s="52"/>
      <c r="H154" s="52"/>
      <c r="I154" s="52"/>
      <c r="J154" s="52"/>
      <c r="K154" s="52"/>
      <c r="L154" s="52"/>
      <c r="M154" s="52"/>
      <c r="N154" s="52"/>
      <c r="O154" s="52"/>
      <c r="P154" s="52"/>
      <c r="Q154" s="52"/>
      <c r="R154" s="52"/>
      <c r="S154" s="53"/>
      <c r="T154" s="102"/>
      <c r="U154" s="102"/>
      <c r="V154" s="7"/>
      <c r="W154" s="7"/>
      <c r="X154" s="53"/>
      <c r="Y154" s="31" t="str">
        <f aca="false">IF(Tasks[[#This Row],[Task Name]]="","",IF(Tasks[[#This Row],[_IsSummary]],MIN(INDEX(Tasks[_ShownFcstStart],Tasks[[#This Row],[_Row]]+1):INDEX(Tasks[_ShownFcstStart],Tasks[[#This Row],[_Row]]+Tasks[[#This Row],[_Descendants]])),Tasks[[#This Row],[_ShownFcstStart]]))</f>
        <v/>
      </c>
      <c r="Z154" s="31" t="str">
        <f aca="false">IF(Tasks[[#This Row],[Task Name]]="","",IF(Tasks[[#This Row],[_IsSummary]],MAX(INDEX(Tasks[_ShownFcstFinish],Tasks[[#This Row],[_Row]]+1):INDEX(Tasks[_ShownFcstFinish],Tasks[[#This Row],[_Row]]+Tasks[[#This Row],[_Descendants]])),Tasks[[#This Row],[_ShownFcstFinish]]))</f>
        <v/>
      </c>
      <c r="AA154" s="51" t="str">
        <f aca="false">IF(Tasks[[#This Row],[Task Name]]="","",IF(Tasks[[#This Row],[Progress]]&gt;=1,"Complete",IF(OR(N(Tasks[[#This Row],[Actual Start]])&gt;0,Tasks[[#This Row],[Progress]]&gt;0),IF(Tasks[[#This Row],[Finish Var]]&gt;0,"Behind","In Progress"),IF(Tasks[[#This Row],[Planned Start]]&lt;StatusDate,"Late Start","Not Started"))))</f>
        <v/>
      </c>
      <c r="AB154" s="51" t="str">
        <f aca="false">IF(Tasks[[#This Row],[Task Name]]="","",IF(IF(Tasks[[#This Row],[_IsSummary]],COUNTIF(INDEX(Tasks[_LeafCritical],Tasks[[#This Row],[_Row]]+1):INDEX(Tasks[_LeafCritical],Tasks[[#This Row],[_Row]]+Tasks[[#This Row],[_Descendants]]),TRUE())&gt;0,Tasks[[#This Row],[_LeafCritical]]),"Yes",""))</f>
        <v/>
      </c>
      <c r="AC15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4" s="51" t="str">
        <f aca="false">IF(Tasks[[#This Row],[Task Name]]="","",IF(Tasks[[#This Row],[_Level]]&lt;=OutlineShowLevel,"Yes","No"))</f>
        <v/>
      </c>
      <c r="AE154" s="7"/>
      <c r="AF154" s="52"/>
      <c r="AG154" s="53"/>
      <c r="AH154" s="7"/>
      <c r="AI15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4" s="31" t="str">
        <f aca="false">IF(Tasks[[#This Row],[Task Name]]="","",IF(N(Tasks[[#This Row],[Baseline Start]])&gt;0,Tasks[[#This Row],[Baseline Start]],Tasks[[#This Row],[_CalcStart]]))</f>
        <v/>
      </c>
      <c r="AK154" s="31" t="str">
        <f aca="false">IF(Tasks[[#This Row],[Task Name]]="","",IF(N(Tasks[[#This Row],[Baseline Finish]])&gt;0,Tasks[[#This Row],[Baseline Finish]],Tasks[[#This Row],[_CalcFinish]]))</f>
        <v/>
      </c>
      <c r="AL15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4" s="31" t="str">
        <f aca="false">IF(Tasks[[#This Row],[Task Name]]="","",IF(Tasks[[#This Row],[_IsSummary]],MIN(INDEX(Tasks[_LeafLateStart],Tasks[[#This Row],[_Row]]+1):INDEX(Tasks[_LeafLateStart],Tasks[[#This Row],[_Row]]+Tasks[[#This Row],[_Descendants]])),Tasks[[#This Row],[_LeafLateStart]]))</f>
        <v/>
      </c>
      <c r="AN154" s="31" t="str">
        <f aca="false">IF(Tasks[[#This Row],[Task Name]]="","",IF(Tasks[[#This Row],[_IsSummary]],MAX(INDEX(Tasks[_LeafLateFinish],Tasks[[#This Row],[_Row]]+1):INDEX(Tasks[_LeafLateFinish],Tasks[[#This Row],[_Row]]+Tasks[[#This Row],[_Descendants]])),Tasks[[#This Row],[_LeafLateFinish]]))</f>
        <v/>
      </c>
      <c r="AO154" s="51" t="str">
        <f aca="false">IF(Tasks[[#This Row],[Task Name]]="","",IF(Tasks[[#This Row],[_IsSummary]],MIN(INDEX(Tasks[_LeafTotalSlack],Tasks[[#This Row],[_Row]]+1):INDEX(Tasks[_LeafTotalSlack],Tasks[[#This Row],[_Row]]+Tasks[[#This Row],[_Descendants]])),Tasks[[#This Row],[_LeafTotalSlack]]))</f>
        <v/>
      </c>
      <c r="AP15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4" s="110" t="str">
        <f aca="false">IF(Tasks[[#This Row],[Task Name]]="","",IF(Tasks[[#This Row],[_IsSummary]],SUM(INDEX(Tasks[_LeafTotalWork],Tasks[[#This Row],[_Row]]+1):INDEX(Tasks[_LeafTotalWork],Tasks[[#This Row],[_Row]]+Tasks[[#This Row],[_Descendants]])),Tasks[[#This Row],[_LeafTotalWork]]))</f>
        <v/>
      </c>
      <c r="AV15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4" s="111" t="str">
        <f aca="false">IF(Tasks[[#This Row],[Task Name]]="","",IF(Tasks[[#This Row],[_IsSummary]],SUM(INDEX(Tasks[_LeafTotalCost],Tasks[[#This Row],[_Row]]+1):INDEX(Tasks[_LeafTotalCost],Tasks[[#This Row],[_Row]]+Tasks[[#This Row],[_Descendants]])),Tasks[[#This Row],[_LeafTotalCost]]))</f>
        <v/>
      </c>
      <c r="AY154" s="112"/>
      <c r="AZ15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4" s="52"/>
      <c r="BB154" s="98"/>
      <c r="BC154" s="51" t="str">
        <f aca="false">IF(OR(Tasks[[#This Row],[Task Name]]="",Tasks[[#This Row],[Baseline Duration]]=""),"",Tasks[[#This Row],[BL Source Duration]]-N(Tasks[[#This Row],[Baseline Duration]]))</f>
        <v/>
      </c>
      <c r="BD154" s="110" t="str">
        <f aca="false">IF(OR(Tasks[[#This Row],[Task Name]]="",Tasks[[#This Row],[Baseline Work]]=""),"",Tasks[[#This Row],[Work]]-N(Tasks[[#This Row],[Baseline Work]]))</f>
        <v/>
      </c>
      <c r="BE154" s="111" t="str">
        <f aca="false">IF(OR(Tasks[[#This Row],[Task Name]]="",Tasks[[#This Row],[Baseline Cost]]=""),"",Tasks[[#This Row],[Cost]]-N(Tasks[[#This Row],[Baseline Cost]]))</f>
        <v/>
      </c>
      <c r="BF154" s="31" t="str">
        <f aca="false">IF(Tasks[[#This Row],[Task Name]]="","",Tasks[[#This Row],[Forecast Start]])</f>
        <v/>
      </c>
      <c r="BG154" s="31" t="str">
        <f aca="false">IF(Tasks[[#This Row],[Task Name]]="","",Tasks[[#This Row],[Forecast Finish]])</f>
        <v/>
      </c>
      <c r="BH154" s="51" t="str">
        <f aca="false">IF(Tasks[[#This Row],[Task Name]]="","",IF(Tasks[[#This Row],[_IsSummary]],NETWORKDAYS.INTL(Tasks[[#This Row],[Forecast Start]],Tasks[[#This Row],[Forecast Finish]],WorkWeek,Holidays),N(Tasks[[#This Row],[Duration]])))</f>
        <v/>
      </c>
      <c r="BI154" s="110" t="str">
        <f aca="false">IF(Tasks[[#This Row],[Task Name]]="","",Tasks[[#This Row],[Work]])</f>
        <v/>
      </c>
      <c r="BJ154" s="111" t="str">
        <f aca="false">IF(Tasks[[#This Row],[Task Name]]="","",Tasks[[#This Row],[Cost]])</f>
        <v/>
      </c>
      <c r="BK154" s="7"/>
      <c r="BL154" s="7"/>
      <c r="BM154" s="52"/>
      <c r="BN154" s="113"/>
      <c r="BO154" s="112"/>
      <c r="BP154" s="111" t="str">
        <f aca="false">IF(Tasks[[#This Row],[Task Name]]="","",IF(Tasks[[#This Row],[_IsSummary]],SUM(INDEX(Tasks[_LeafEV],Tasks[[#This Row],[_Row]]+1):INDEX(Tasks[_LeafEV],Tasks[[#This Row],[_Row]]+Tasks[[#This Row],[_Descendants]])),Tasks[[#This Row],[_LeafEV]]))</f>
        <v/>
      </c>
      <c r="BQ154" s="111" t="str">
        <f aca="false">IF(Tasks[[#This Row],[Task Name]]="","",IF(Tasks[[#This Row],[_IsSummary]],SUM(INDEX(Tasks[_LeafBudget],Tasks[[#This Row],[_Row]]+1):INDEX(Tasks[_LeafBudget],Tasks[[#This Row],[_Row]]+Tasks[[#This Row],[_Descendants]])),Tasks[[#This Row],[_LeafBudget]]))</f>
        <v/>
      </c>
      <c r="BR154" s="111" t="str">
        <f aca="false">IF(Tasks[[#This Row],[Task Name]]="","",IF(Tasks[[#This Row],[_IsSummary]],SUM(INDEX(Tasks[_LeafPV],Tasks[[#This Row],[_Row]]+1):INDEX(Tasks[_LeafPV],Tasks[[#This Row],[_Row]]+Tasks[[#This Row],[_Descendants]])),Tasks[[#This Row],[_LeafPV]]))</f>
        <v/>
      </c>
      <c r="BS154" s="111" t="str">
        <f aca="false">IF(Tasks[[#This Row],[Task Name]]="","",IF(Tasks[[#This Row],[_IsSummary]],SUM(INDEX(Tasks[_LeafAC],Tasks[[#This Row],[_Row]]+1):INDEX(Tasks[_LeafAC],Tasks[[#This Row],[_Row]]+Tasks[[#This Row],[_Descendants]])),Tasks[[#This Row],[_LeafAC]]))</f>
        <v/>
      </c>
      <c r="BT154" s="38" t="str">
        <f aca="false">IF(Tasks[[#This Row],[Task Name]]="","",MAX(1,N(Tasks[[#This Row],[Level]])))</f>
        <v/>
      </c>
      <c r="BU154" s="38" t="n">
        <f aca="false">ROW()-ROW(Tasks[[#Headers],[ID]])</f>
        <v>149</v>
      </c>
      <c r="BV154" s="38" t="n">
        <f aca="false">IF(OR(Tasks[[#This Row],[Task Name]]="",Tasks[[#This Row],[_Level]]&lt;=1),0,IFERROR(LOOKUP(2,1/(Tasks[[#Headers],[_Level]]:Tasks[[#This Row],[_Level]]=Tasks[[#This Row],[_Level]]-1),ROW(Tasks[[#Headers],[_Level]]:Tasks[[#This Row],[_Level]])),0))</f>
        <v>0</v>
      </c>
      <c r="BW154" s="38" t="n">
        <f aca="false">IFERROR(N(INDEX(Tasks[_Level],Tasks[[#This Row],[_Row]]+1)),0)</f>
        <v>0</v>
      </c>
      <c r="BX154" s="114" t="b">
        <f aca="false">AND(Tasks[[#This Row],[Task Name]]&lt;&gt;"",Tasks[[#This Row],[_NextLevel]]&gt;Tasks[[#This Row],[_Level]])</f>
        <v>0</v>
      </c>
      <c r="BY154" s="38" t="n">
        <f aca="false">IF(Tasks[[#This Row],[_IsSummary]],COUNTIF(Tasks[WBS],Tasks[[#This Row],[WBS]]&amp;".*"),0)</f>
        <v>0</v>
      </c>
      <c r="BZ154" s="38" t="n">
        <f aca="false">IF(AND(Tasks[[#This Row],[Task Name]]&lt;&gt;"",NOT(Tasks[[#This Row],[_IsSummary]])),1,0)</f>
        <v>0</v>
      </c>
      <c r="CA154" s="38" t="n">
        <f aca="false">IF(N(Tasks[[#This Row],[Pred1 UID]])=0,0,IFERROR(MATCH(Tasks[[#This Row],[Pred1 UID]],Tasks[UID],0),-1))</f>
        <v>0</v>
      </c>
      <c r="CB154" s="38" t="n">
        <f aca="false">IF(N(Tasks[[#This Row],[Pred2 UID]])=0,0,IFERROR(MATCH(Tasks[[#This Row],[Pred2 UID]],Tasks[UID],0),-1))</f>
        <v>0</v>
      </c>
      <c r="CC154" s="38" t="n">
        <f aca="false">IF(N(Tasks[[#This Row],[Pred3 UID]])=0,0,IFERROR(MATCH(Tasks[[#This Row],[Pred3 UID]],Tasks[UID],0),-1))</f>
        <v>0</v>
      </c>
      <c r="CD154" s="38" t="n">
        <f aca="false">IF(N(Tasks[[#This Row],[Pred4 UID]])=0,0,IFERROR(MATCH(Tasks[[#This Row],[Pred4 UID]],Tasks[UID],0),-1))</f>
        <v>0</v>
      </c>
      <c r="CE15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4" s="115" t="n">
        <f aca="false">IF(OR(Tasks[[#This Row],[_ConstraintCode]]=2,Tasks[[#This Row],[_ConstraintCode]]=3,Tasks[[#This Row],[_ConstraintCode]]=4,Tasks[[#This Row],[_ConstraintCode]]=6),Tasks[[#This Row],[_ConstraintStart]],0)</f>
        <v>0</v>
      </c>
      <c r="CH154" s="115" t="n">
        <f aca="false">IF(OR(Tasks[[#This Row],[_ConstraintCode]]=2,Tasks[[#This Row],[_ConstraintCode]]=3,Tasks[[#This Row],[_ConstraintCode]]=5,Tasks[[#This Row],[_ConstraintCode]]=7),Tasks[[#This Row],[_ConstraintStart]],2958465)</f>
        <v>2958465</v>
      </c>
      <c r="CI15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4" s="115" t="str">
        <f aca="false">IF(NOT(Tasks[[#This Row],[_IsLeaf]]=1),"",IF(N(Tasks[[#This Row],[Duration]])&lt;=0,Tasks[[#This Row],[_LeafCalcStart]],WORKDAY.INTL(Tasks[[#This Row],[_LeafCalcStart]],Tasks[[#This Row],[Duration]]-1,WorkWeek,Holidays)))</f>
        <v/>
      </c>
      <c r="CK15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4" s="38" t="n">
        <f aca="false">IF(NOT(Tasks[[#This Row],[_IsLeaf]]=1),0,IF(N(Tasks[[#This Row],[Actual Finish]])&gt;0,1,MIN(1,N(Tasks[[#This Row],[% Complete]]))))</f>
        <v>0</v>
      </c>
      <c r="CN154" s="38" t="n">
        <f aca="false">IF(OR(NOT(Tasks[[#This Row],[_IsLeaf]]=1),Tasks[[#This Row],[Resource]]=""),0,N(Tasks[[#This Row],[Duration]])*HoursPerDay*IF(Tasks[[#This Row],[Units]]="",DefaultUnits,Tasks[[#This Row],[Units]]))</f>
        <v>0</v>
      </c>
      <c r="CO154" s="38" t="n">
        <f aca="false">IF(Tasks[[#This Row],[_LeafWork]]=0,0,Tasks[[#This Row],[_LeafWork]]*IFERROR(INDEX(res_Rate,MATCH(Tasks[[#This Row],[Resource]],res_Name,0)),0))</f>
        <v>0</v>
      </c>
      <c r="CP154" s="38" t="n">
        <f aca="false">Tasks[[#This Row],[_LeafWork]]+IF(Tasks[[#This Row],[_IsLeaf]]=1,SUMIFS(asg_Work,asg_TaskUID,Tasks[[#This Row],[UID]],asg_Valid,1),0)</f>
        <v>0</v>
      </c>
      <c r="CQ154" s="38" t="n">
        <f aca="false">Tasks[[#This Row],[_LeafCost]]+IF(Tasks[[#This Row],[_IsLeaf]]=1,SUMIFS(asg_Cost,asg_TaskUID,Tasks[[#This Row],[UID]],asg_Valid,1),0)</f>
        <v>0</v>
      </c>
      <c r="CR154" s="38" t="n">
        <f aca="false">IF(Tasks[[#This Row],[_LeafTotalCost]]=0,Tasks[[#This Row],[_LeafAC]],Tasks[[#This Row],[_LeafAC]]*Tasks[[#This Row],[_LeafCost]]/Tasks[[#This Row],[_LeafTotalCost]])</f>
        <v>0</v>
      </c>
      <c r="CS15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4" s="38" t="n">
        <f aca="false">IF(NOT(Tasks[[#This Row],[_IsLeaf]]=1),0,MAX(_xlfn.MAXIFS(Tasks[_Row],Tasks[Pred1 UID],Tasks[[#This Row],[UID]]),_xlfn.MAXIFS(Tasks[_Row],Tasks[Pred2 UID],Tasks[[#This Row],[UID]]),_xlfn.MAXIFS(Tasks[_Row],Tasks[Pred3 UID],Tasks[[#This Row],[UID]]),_xlfn.MAXIFS(Tasks[_Row],Tasks[Pred4 UID],Tasks[[#This Row],[UID]])))</f>
        <v>0</v>
      </c>
      <c r="DB15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4" s="115" t="str">
        <f aca="false">IF(NOT(Tasks[[#This Row],[_IsLeaf]]=1),"",IF(N(Tasks[[#This Row],[Duration]])&lt;=0,Tasks[[#This Row],[_LeafLateFinish]],WORKDAY.INTL(Tasks[[#This Row],[_LeafLateFinish]],-(Tasks[[#This Row],[Duration]]-1),WorkWeek,Holidays)))</f>
        <v/>
      </c>
      <c r="DE15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4" s="114" t="b">
        <f aca="false">AND(Tasks[[#This Row],[_IsLeaf]]=1,Tasks[[#This Row],[_LeafProgress]]&lt;1,N(Tasks[[#This Row],[_LeafTotalSlack]])&lt;=CriticalSlackDays)</f>
        <v>0</v>
      </c>
      <c r="DG154" s="38" t="n">
        <f aca="false">IF(AND(Tasks[[#This Row],[_IsLeaf]]=1,Tasks[[#This Row],[_ConstraintCode]]=1,Tasks[[#This Row],[Mode]]&lt;&gt;"Manual",N(Tasks[[#This Row],[Actual Start]])=0),MAX(0,N(Tasks[[#This Row],[Free Slack]])),0)</f>
        <v>0</v>
      </c>
      <c r="DH154" s="115" t="str">
        <f aca="false">IF(NOT(Tasks[[#This Row],[_IsLeaf]]=1),"",IF(Tasks[[#This Row],[_AlapShift]]=0,Tasks[[#This Row],[_LeafCalcStart]],WORKDAY.INTL(Tasks[[#This Row],[_LeafCalcStart]],Tasks[[#This Row],[_AlapShift]],WorkWeek,Holidays)))</f>
        <v/>
      </c>
      <c r="DI154" s="115" t="str">
        <f aca="false">IF(NOT(Tasks[[#This Row],[_IsLeaf]]=1),"",IF(Tasks[[#This Row],[_AlapShift]]=0,Tasks[[#This Row],[_LeafCalcFinish]],WORKDAY.INTL(Tasks[[#This Row],[_LeafCalcFinish]],Tasks[[#This Row],[_AlapShift]],WorkWeek,Holidays)))</f>
        <v/>
      </c>
      <c r="DJ154" s="115" t="str">
        <f aca="false">IF(NOT(Tasks[[#This Row],[_IsLeaf]]=1),"",IF(Tasks[[#This Row],[_AlapShift]]=0,Tasks[[#This Row],[_LeafFcstStart]],WORKDAY.INTL(Tasks[[#This Row],[_LeafFcstStart]],Tasks[[#This Row],[_AlapShift]],WorkWeek,Holidays)))</f>
        <v/>
      </c>
      <c r="DK154" s="115" t="str">
        <f aca="false">IF(NOT(Tasks[[#This Row],[_IsLeaf]]=1),"",IF(Tasks[[#This Row],[_AlapShift]]=0,Tasks[[#This Row],[_LeafFcstFinish]],WORKDAY.INTL(Tasks[[#This Row],[_LeafFcstFinish]],Tasks[[#This Row],[_AlapShift]],WorkWeek,Holidays)))</f>
        <v/>
      </c>
      <c r="DL154" s="115" t="str">
        <f aca="false">IF(Tasks[[#This Row],[Task Name]]="","",IF(Tasks[[#This Row],[_IsSummary]],MIN(INDEX(Tasks[_ShownCalcStart],Tasks[[#This Row],[_Row]]+1):INDEX(Tasks[_ShownCalcStart],Tasks[[#This Row],[_Row]]+Tasks[[#This Row],[_Descendants]])),Tasks[[#This Row],[_ShownCalcStart]]))</f>
        <v/>
      </c>
      <c r="DM154" s="115" t="str">
        <f aca="false">IF(Tasks[[#This Row],[Task Name]]="","",IF(Tasks[[#This Row],[_IsSummary]],MAX(INDEX(Tasks[_ShownCalcFinish],Tasks[[#This Row],[_Row]]+1):INDEX(Tasks[_ShownCalcFinish],Tasks[[#This Row],[_Row]]+Tasks[[#This Row],[_Descendants]])),Tasks[[#This Row],[_ShownCalcFinish]]))</f>
        <v/>
      </c>
      <c r="DN15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4" s="38" t="n">
        <f aca="false">IF(AND(Tasks[[#This Row],[_IsLeaf]]=1,Tasks[[#This Row],[_LeafTotalWork]]&gt;0),NETWORKDAYS.INTL(ProjectStart,Tasks[[#This Row],[_ShownFcstStart]],WorkWeek,Holidays),0)</f>
        <v>0</v>
      </c>
      <c r="EA154" s="38" t="n">
        <f aca="false">IF(AND(Tasks[[#This Row],[_IsLeaf]]=1,Tasks[[#This Row],[_LeafTotalWork]]&gt;0),MAX(Tasks[[#This Row],[_StartWorkday]],NETWORKDAYS.INTL(ProjectStart,Tasks[[#This Row],[_ShownFcstFinish]],WorkWeek,Holidays)),0)</f>
        <v>0</v>
      </c>
      <c r="EB154" s="38" t="n">
        <f aca="false">IF(AND(Tasks[[#This Row],[_IsLeaf]]=1,Tasks[[#This Row],[_LeafTotalWork]]&gt;0),Tasks[[#This Row],[_LeafWork]]/(Tasks[[#This Row],[_FinishWorkday]]-Tasks[[#This Row],[_StartWorkday]]+1),0)</f>
        <v>0</v>
      </c>
      <c r="EC154" s="38" t="n">
        <f aca="false">Tasks[[#This Row],[_WorkPerWorkday]]*(Tasks[[#This Row],[_StartWorkday]]-1)</f>
        <v>-0</v>
      </c>
      <c r="ED154" s="38" t="n">
        <f aca="false">IF(Tasks[[#This Row],[_IsLeaf]]=1,MAX(N(Tasks[[#This Row],[Duration]]),0.1),0)</f>
        <v>0</v>
      </c>
      <c r="EE154" s="38" t="n">
        <f aca="false">Tasks[[#This Row],[_WeightDur]]*Tasks[[#This Row],[_LeafProgress]]</f>
        <v>0</v>
      </c>
      <c r="EF15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4" s="38" t="str">
        <f aca="false">IF(AND(Tasks[[#This Row],[_IsLeaf]]=1,N(Tasks[[#This Row],[Duration]])=0,Tasks[[#This Row],[_LeafProgress]]&lt;1),Tasks[[#This Row],[_ShownFcstFinish]]+Tasks[[#This Row],[_Row]]/100000,"")</f>
        <v/>
      </c>
      <c r="EH15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4" s="38" t="n">
        <f aca="false">IF(NOT(Tasks[[#This Row],[_IsLeaf]]=1),0,IF(Tasks[[#This Row],[Baseline Cost]]="",Tasks[[#This Row],[_LeafTotalCost]],N(Tasks[[#This Row],[Baseline Cost]])))</f>
        <v>0</v>
      </c>
      <c r="EJ154" s="38" t="n">
        <f aca="false">Tasks[[#This Row],[_LeafBudget]]*Tasks[[#This Row],[_PlannedPct]]</f>
        <v>0</v>
      </c>
      <c r="EK154" s="38" t="n">
        <f aca="false">Tasks[[#This Row],[_LeafBudget]]*Tasks[[#This Row],[_LeafProgress]]</f>
        <v>0</v>
      </c>
      <c r="EL154" s="38" t="n">
        <f aca="false">IF(NOT(Tasks[[#This Row],[_IsLeaf]]=1),0,IF(Tasks[[#This Row],[Actual Cost]]="",Tasks[[#This Row],[_LeafTotalCost]]*Tasks[[#This Row],[_LeafProgress]],N(Tasks[[#This Row],[Actual Cost]])))</f>
        <v>0</v>
      </c>
      <c r="EM154" s="38" t="str">
        <f aca="false">IF(Tasks[[#This Row],[Task Name]]="","",LEFT(Tasks[[#This Row],[WBS]],FIND(".",Tasks[[#This Row],[WBS]]&amp;".")-1))</f>
        <v/>
      </c>
      <c r="EN154" s="38" t="str">
        <f aca="false">IF(AND(Tasks[[#This Row],[Task Name]]&lt;&gt;"",Tasks[[#This Row],[_Level]]=1),Tasks[[#This Row],[_Row]],"")</f>
        <v/>
      </c>
      <c r="EO154" s="38" t="str">
        <f aca="false">IF(AND(Tasks[[#This Row],[_IsLeaf]]=1,N(Tasks[[#This Row],[Duration]])=0),Tasks[[#This Row],[Planned Finish]]+Tasks[[#This Row],[_Row]]/100000,"")</f>
        <v/>
      </c>
      <c r="EP154" s="38" t="str">
        <f aca="false">IF(AND(Tasks[[#This Row],[_IsLeaf]]=1,Tasks[[#This Row],[_LeafProgress]]&lt;1,OR(N(Tasks[[#This Row],[Finish Var]])&gt;0,Tasks[[#This Row],[Status]]="Late Start")),MAX(0,Tasks[[#This Row],[Finish Var]])+1-Tasks[[#This Row],[_Row]]/1000000,"")</f>
        <v/>
      </c>
      <c r="EQ154" s="38" t="str">
        <f aca="false">IF(AND(Tasks[[#This Row],[_IsLeaf]]=1,N(Tasks[[#This Row],[Actual Start]])=0,Tasks[[#This Row],[_ShownFcstStart]]&gt;=StatusDate,Tasks[[#This Row],[_ShownFcstStart]]&lt;=LookaheadEnd),Tasks[[#This Row],[_ShownFcstStart]]+Tasks[[#This Row],[_Row]]/100000,"")</f>
        <v/>
      </c>
      <c r="ER154" s="38" t="str">
        <f aca="false">IF(AND(Tasks[[#This Row],[_IsLeaf]]=1,Tasks[[#This Row],[_LeafProgress]]&lt;1,Tasks[[#This Row],[_ShownFcstFinish]]&gt;=StatusDate,Tasks[[#This Row],[_ShownFcstFinish]]&lt;=LookaheadEnd),Tasks[[#This Row],[_ShownFcstFinish]]+Tasks[[#This Row],[_Row]]/100000,"")</f>
        <v/>
      </c>
      <c r="ES154" s="38" t="str">
        <f aca="false">IF(Tasks[[#This Row],[_LeafCritical]],Tasks[[#This Row],[_ShownFcstStart]]+Tasks[[#This Row],[_Row]]/100000,"")</f>
        <v/>
      </c>
      <c r="ET154" s="38" t="n">
        <f aca="false">Tasks[[#This Row],[_LeafWork]]*Tasks[[#This Row],[_LeafProgress]]</f>
        <v>0</v>
      </c>
      <c r="EU154" s="115" t="str">
        <f aca="false">IF(AND(Tasks[[#This Row],[_IsLeaf]]=1,Tasks[[#This Row],[_LeafProgress]]&gt;=1),IF(N(Tasks[[#This Row],[Actual Finish]])&gt;0,Tasks[[#This Row],[Actual Finish]],Tasks[[#This Row],[_ShownFcstFinish]]),"")</f>
        <v/>
      </c>
      <c r="EV154" s="38" t="n">
        <f aca="false">IF(Tasks[[#This Row],[_IsLeaf]]=1,N(Tasks[[#This Row],[Story Points]]),0)</f>
        <v>0</v>
      </c>
      <c r="EW154" s="38" t="str">
        <f aca="false">IF(AND(Tasks[[#This Row],[_IsLeaf]]=1,CurrentSprint&lt;&gt;"",Tasks[[#This Row],[Sprint]]=CurrentSprint),Tasks[[#This Row],[_Row]],"")</f>
        <v/>
      </c>
    </row>
    <row r="155" customFormat="false" ht="15" hidden="false" customHeight="false" outlineLevel="0" collapsed="false">
      <c r="A155" s="51" t="str">
        <f aca="false">IF(Tasks[[#This Row],[Task Name]]="","",COUNTA(Tasks[[#Headers],[Task Name]]:Tasks[[#This Row],[Task Name]])-1)</f>
        <v/>
      </c>
      <c r="B155" s="52" t="n">
        <v>150</v>
      </c>
      <c r="C15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52"/>
      <c r="E155" s="53"/>
      <c r="F155" s="52"/>
      <c r="G155" s="52"/>
      <c r="H155" s="52"/>
      <c r="I155" s="52"/>
      <c r="J155" s="52"/>
      <c r="K155" s="52"/>
      <c r="L155" s="52"/>
      <c r="M155" s="52"/>
      <c r="N155" s="52"/>
      <c r="O155" s="52"/>
      <c r="P155" s="52"/>
      <c r="Q155" s="52"/>
      <c r="R155" s="52"/>
      <c r="S155" s="53"/>
      <c r="T155" s="102"/>
      <c r="U155" s="102"/>
      <c r="V155" s="7"/>
      <c r="W155" s="7"/>
      <c r="X155" s="53"/>
      <c r="Y155" s="31" t="str">
        <f aca="false">IF(Tasks[[#This Row],[Task Name]]="","",IF(Tasks[[#This Row],[_IsSummary]],MIN(INDEX(Tasks[_ShownFcstStart],Tasks[[#This Row],[_Row]]+1):INDEX(Tasks[_ShownFcstStart],Tasks[[#This Row],[_Row]]+Tasks[[#This Row],[_Descendants]])),Tasks[[#This Row],[_ShownFcstStart]]))</f>
        <v/>
      </c>
      <c r="Z155" s="31" t="str">
        <f aca="false">IF(Tasks[[#This Row],[Task Name]]="","",IF(Tasks[[#This Row],[_IsSummary]],MAX(INDEX(Tasks[_ShownFcstFinish],Tasks[[#This Row],[_Row]]+1):INDEX(Tasks[_ShownFcstFinish],Tasks[[#This Row],[_Row]]+Tasks[[#This Row],[_Descendants]])),Tasks[[#This Row],[_ShownFcstFinish]]))</f>
        <v/>
      </c>
      <c r="AA155" s="51" t="str">
        <f aca="false">IF(Tasks[[#This Row],[Task Name]]="","",IF(Tasks[[#This Row],[Progress]]&gt;=1,"Complete",IF(OR(N(Tasks[[#This Row],[Actual Start]])&gt;0,Tasks[[#This Row],[Progress]]&gt;0),IF(Tasks[[#This Row],[Finish Var]]&gt;0,"Behind","In Progress"),IF(Tasks[[#This Row],[Planned Start]]&lt;StatusDate,"Late Start","Not Started"))))</f>
        <v/>
      </c>
      <c r="AB155" s="51" t="str">
        <f aca="false">IF(Tasks[[#This Row],[Task Name]]="","",IF(IF(Tasks[[#This Row],[_IsSummary]],COUNTIF(INDEX(Tasks[_LeafCritical],Tasks[[#This Row],[_Row]]+1):INDEX(Tasks[_LeafCritical],Tasks[[#This Row],[_Row]]+Tasks[[#This Row],[_Descendants]]),TRUE())&gt;0,Tasks[[#This Row],[_LeafCritical]]),"Yes",""))</f>
        <v/>
      </c>
      <c r="AC15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5" s="51" t="str">
        <f aca="false">IF(Tasks[[#This Row],[Task Name]]="","",IF(Tasks[[#This Row],[_Level]]&lt;=OutlineShowLevel,"Yes","No"))</f>
        <v/>
      </c>
      <c r="AE155" s="7"/>
      <c r="AF155" s="52"/>
      <c r="AG155" s="53"/>
      <c r="AH155" s="7"/>
      <c r="AI15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5" s="31" t="str">
        <f aca="false">IF(Tasks[[#This Row],[Task Name]]="","",IF(N(Tasks[[#This Row],[Baseline Start]])&gt;0,Tasks[[#This Row],[Baseline Start]],Tasks[[#This Row],[_CalcStart]]))</f>
        <v/>
      </c>
      <c r="AK155" s="31" t="str">
        <f aca="false">IF(Tasks[[#This Row],[Task Name]]="","",IF(N(Tasks[[#This Row],[Baseline Finish]])&gt;0,Tasks[[#This Row],[Baseline Finish]],Tasks[[#This Row],[_CalcFinish]]))</f>
        <v/>
      </c>
      <c r="AL15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5" s="31" t="str">
        <f aca="false">IF(Tasks[[#This Row],[Task Name]]="","",IF(Tasks[[#This Row],[_IsSummary]],MIN(INDEX(Tasks[_LeafLateStart],Tasks[[#This Row],[_Row]]+1):INDEX(Tasks[_LeafLateStart],Tasks[[#This Row],[_Row]]+Tasks[[#This Row],[_Descendants]])),Tasks[[#This Row],[_LeafLateStart]]))</f>
        <v/>
      </c>
      <c r="AN155" s="31" t="str">
        <f aca="false">IF(Tasks[[#This Row],[Task Name]]="","",IF(Tasks[[#This Row],[_IsSummary]],MAX(INDEX(Tasks[_LeafLateFinish],Tasks[[#This Row],[_Row]]+1):INDEX(Tasks[_LeafLateFinish],Tasks[[#This Row],[_Row]]+Tasks[[#This Row],[_Descendants]])),Tasks[[#This Row],[_LeafLateFinish]]))</f>
        <v/>
      </c>
      <c r="AO155" s="51" t="str">
        <f aca="false">IF(Tasks[[#This Row],[Task Name]]="","",IF(Tasks[[#This Row],[_IsSummary]],MIN(INDEX(Tasks[_LeafTotalSlack],Tasks[[#This Row],[_Row]]+1):INDEX(Tasks[_LeafTotalSlack],Tasks[[#This Row],[_Row]]+Tasks[[#This Row],[_Descendants]])),Tasks[[#This Row],[_LeafTotalSlack]]))</f>
        <v/>
      </c>
      <c r="AP15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5" s="110" t="str">
        <f aca="false">IF(Tasks[[#This Row],[Task Name]]="","",IF(Tasks[[#This Row],[_IsSummary]],SUM(INDEX(Tasks[_LeafTotalWork],Tasks[[#This Row],[_Row]]+1):INDEX(Tasks[_LeafTotalWork],Tasks[[#This Row],[_Row]]+Tasks[[#This Row],[_Descendants]])),Tasks[[#This Row],[_LeafTotalWork]]))</f>
        <v/>
      </c>
      <c r="AV15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5" s="111" t="str">
        <f aca="false">IF(Tasks[[#This Row],[Task Name]]="","",IF(Tasks[[#This Row],[_IsSummary]],SUM(INDEX(Tasks[_LeafTotalCost],Tasks[[#This Row],[_Row]]+1):INDEX(Tasks[_LeafTotalCost],Tasks[[#This Row],[_Row]]+Tasks[[#This Row],[_Descendants]])),Tasks[[#This Row],[_LeafTotalCost]]))</f>
        <v/>
      </c>
      <c r="AY155" s="112"/>
      <c r="AZ15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5" s="52"/>
      <c r="BB155" s="98"/>
      <c r="BC155" s="51" t="str">
        <f aca="false">IF(OR(Tasks[[#This Row],[Task Name]]="",Tasks[[#This Row],[Baseline Duration]]=""),"",Tasks[[#This Row],[BL Source Duration]]-N(Tasks[[#This Row],[Baseline Duration]]))</f>
        <v/>
      </c>
      <c r="BD155" s="110" t="str">
        <f aca="false">IF(OR(Tasks[[#This Row],[Task Name]]="",Tasks[[#This Row],[Baseline Work]]=""),"",Tasks[[#This Row],[Work]]-N(Tasks[[#This Row],[Baseline Work]]))</f>
        <v/>
      </c>
      <c r="BE155" s="111" t="str">
        <f aca="false">IF(OR(Tasks[[#This Row],[Task Name]]="",Tasks[[#This Row],[Baseline Cost]]=""),"",Tasks[[#This Row],[Cost]]-N(Tasks[[#This Row],[Baseline Cost]]))</f>
        <v/>
      </c>
      <c r="BF155" s="31" t="str">
        <f aca="false">IF(Tasks[[#This Row],[Task Name]]="","",Tasks[[#This Row],[Forecast Start]])</f>
        <v/>
      </c>
      <c r="BG155" s="31" t="str">
        <f aca="false">IF(Tasks[[#This Row],[Task Name]]="","",Tasks[[#This Row],[Forecast Finish]])</f>
        <v/>
      </c>
      <c r="BH155" s="51" t="str">
        <f aca="false">IF(Tasks[[#This Row],[Task Name]]="","",IF(Tasks[[#This Row],[_IsSummary]],NETWORKDAYS.INTL(Tasks[[#This Row],[Forecast Start]],Tasks[[#This Row],[Forecast Finish]],WorkWeek,Holidays),N(Tasks[[#This Row],[Duration]])))</f>
        <v/>
      </c>
      <c r="BI155" s="110" t="str">
        <f aca="false">IF(Tasks[[#This Row],[Task Name]]="","",Tasks[[#This Row],[Work]])</f>
        <v/>
      </c>
      <c r="BJ155" s="111" t="str">
        <f aca="false">IF(Tasks[[#This Row],[Task Name]]="","",Tasks[[#This Row],[Cost]])</f>
        <v/>
      </c>
      <c r="BK155" s="7"/>
      <c r="BL155" s="7"/>
      <c r="BM155" s="52"/>
      <c r="BN155" s="113"/>
      <c r="BO155" s="112"/>
      <c r="BP155" s="111" t="str">
        <f aca="false">IF(Tasks[[#This Row],[Task Name]]="","",IF(Tasks[[#This Row],[_IsSummary]],SUM(INDEX(Tasks[_LeafEV],Tasks[[#This Row],[_Row]]+1):INDEX(Tasks[_LeafEV],Tasks[[#This Row],[_Row]]+Tasks[[#This Row],[_Descendants]])),Tasks[[#This Row],[_LeafEV]]))</f>
        <v/>
      </c>
      <c r="BQ155" s="111" t="str">
        <f aca="false">IF(Tasks[[#This Row],[Task Name]]="","",IF(Tasks[[#This Row],[_IsSummary]],SUM(INDEX(Tasks[_LeafBudget],Tasks[[#This Row],[_Row]]+1):INDEX(Tasks[_LeafBudget],Tasks[[#This Row],[_Row]]+Tasks[[#This Row],[_Descendants]])),Tasks[[#This Row],[_LeafBudget]]))</f>
        <v/>
      </c>
      <c r="BR155" s="111" t="str">
        <f aca="false">IF(Tasks[[#This Row],[Task Name]]="","",IF(Tasks[[#This Row],[_IsSummary]],SUM(INDEX(Tasks[_LeafPV],Tasks[[#This Row],[_Row]]+1):INDEX(Tasks[_LeafPV],Tasks[[#This Row],[_Row]]+Tasks[[#This Row],[_Descendants]])),Tasks[[#This Row],[_LeafPV]]))</f>
        <v/>
      </c>
      <c r="BS155" s="111" t="str">
        <f aca="false">IF(Tasks[[#This Row],[Task Name]]="","",IF(Tasks[[#This Row],[_IsSummary]],SUM(INDEX(Tasks[_LeafAC],Tasks[[#This Row],[_Row]]+1):INDEX(Tasks[_LeafAC],Tasks[[#This Row],[_Row]]+Tasks[[#This Row],[_Descendants]])),Tasks[[#This Row],[_LeafAC]]))</f>
        <v/>
      </c>
      <c r="BT155" s="38" t="str">
        <f aca="false">IF(Tasks[[#This Row],[Task Name]]="","",MAX(1,N(Tasks[[#This Row],[Level]])))</f>
        <v/>
      </c>
      <c r="BU155" s="38" t="n">
        <f aca="false">ROW()-ROW(Tasks[[#Headers],[ID]])</f>
        <v>150</v>
      </c>
      <c r="BV155" s="38" t="n">
        <f aca="false">IF(OR(Tasks[[#This Row],[Task Name]]="",Tasks[[#This Row],[_Level]]&lt;=1),0,IFERROR(LOOKUP(2,1/(Tasks[[#Headers],[_Level]]:Tasks[[#This Row],[_Level]]=Tasks[[#This Row],[_Level]]-1),ROW(Tasks[[#Headers],[_Level]]:Tasks[[#This Row],[_Level]])),0))</f>
        <v>0</v>
      </c>
      <c r="BW155" s="38" t="n">
        <f aca="false">IFERROR(N(INDEX(Tasks[_Level],Tasks[[#This Row],[_Row]]+1)),0)</f>
        <v>0</v>
      </c>
      <c r="BX155" s="114" t="b">
        <f aca="false">AND(Tasks[[#This Row],[Task Name]]&lt;&gt;"",Tasks[[#This Row],[_NextLevel]]&gt;Tasks[[#This Row],[_Level]])</f>
        <v>0</v>
      </c>
      <c r="BY155" s="38" t="n">
        <f aca="false">IF(Tasks[[#This Row],[_IsSummary]],COUNTIF(Tasks[WBS],Tasks[[#This Row],[WBS]]&amp;".*"),0)</f>
        <v>0</v>
      </c>
      <c r="BZ155" s="38" t="n">
        <f aca="false">IF(AND(Tasks[[#This Row],[Task Name]]&lt;&gt;"",NOT(Tasks[[#This Row],[_IsSummary]])),1,0)</f>
        <v>0</v>
      </c>
      <c r="CA155" s="38" t="n">
        <f aca="false">IF(N(Tasks[[#This Row],[Pred1 UID]])=0,0,IFERROR(MATCH(Tasks[[#This Row],[Pred1 UID]],Tasks[UID],0),-1))</f>
        <v>0</v>
      </c>
      <c r="CB155" s="38" t="n">
        <f aca="false">IF(N(Tasks[[#This Row],[Pred2 UID]])=0,0,IFERROR(MATCH(Tasks[[#This Row],[Pred2 UID]],Tasks[UID],0),-1))</f>
        <v>0</v>
      </c>
      <c r="CC155" s="38" t="n">
        <f aca="false">IF(N(Tasks[[#This Row],[Pred3 UID]])=0,0,IFERROR(MATCH(Tasks[[#This Row],[Pred3 UID]],Tasks[UID],0),-1))</f>
        <v>0</v>
      </c>
      <c r="CD155" s="38" t="n">
        <f aca="false">IF(N(Tasks[[#This Row],[Pred4 UID]])=0,0,IFERROR(MATCH(Tasks[[#This Row],[Pred4 UID]],Tasks[UID],0),-1))</f>
        <v>0</v>
      </c>
      <c r="CE15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5" s="115" t="n">
        <f aca="false">IF(OR(Tasks[[#This Row],[_ConstraintCode]]=2,Tasks[[#This Row],[_ConstraintCode]]=3,Tasks[[#This Row],[_ConstraintCode]]=4,Tasks[[#This Row],[_ConstraintCode]]=6),Tasks[[#This Row],[_ConstraintStart]],0)</f>
        <v>0</v>
      </c>
      <c r="CH155" s="115" t="n">
        <f aca="false">IF(OR(Tasks[[#This Row],[_ConstraintCode]]=2,Tasks[[#This Row],[_ConstraintCode]]=3,Tasks[[#This Row],[_ConstraintCode]]=5,Tasks[[#This Row],[_ConstraintCode]]=7),Tasks[[#This Row],[_ConstraintStart]],2958465)</f>
        <v>2958465</v>
      </c>
      <c r="CI15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5" s="115" t="str">
        <f aca="false">IF(NOT(Tasks[[#This Row],[_IsLeaf]]=1),"",IF(N(Tasks[[#This Row],[Duration]])&lt;=0,Tasks[[#This Row],[_LeafCalcStart]],WORKDAY.INTL(Tasks[[#This Row],[_LeafCalcStart]],Tasks[[#This Row],[Duration]]-1,WorkWeek,Holidays)))</f>
        <v/>
      </c>
      <c r="CK15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5" s="38" t="n">
        <f aca="false">IF(NOT(Tasks[[#This Row],[_IsLeaf]]=1),0,IF(N(Tasks[[#This Row],[Actual Finish]])&gt;0,1,MIN(1,N(Tasks[[#This Row],[% Complete]]))))</f>
        <v>0</v>
      </c>
      <c r="CN155" s="38" t="n">
        <f aca="false">IF(OR(NOT(Tasks[[#This Row],[_IsLeaf]]=1),Tasks[[#This Row],[Resource]]=""),0,N(Tasks[[#This Row],[Duration]])*HoursPerDay*IF(Tasks[[#This Row],[Units]]="",DefaultUnits,Tasks[[#This Row],[Units]]))</f>
        <v>0</v>
      </c>
      <c r="CO155" s="38" t="n">
        <f aca="false">IF(Tasks[[#This Row],[_LeafWork]]=0,0,Tasks[[#This Row],[_LeafWork]]*IFERROR(INDEX(res_Rate,MATCH(Tasks[[#This Row],[Resource]],res_Name,0)),0))</f>
        <v>0</v>
      </c>
      <c r="CP155" s="38" t="n">
        <f aca="false">Tasks[[#This Row],[_LeafWork]]+IF(Tasks[[#This Row],[_IsLeaf]]=1,SUMIFS(asg_Work,asg_TaskUID,Tasks[[#This Row],[UID]],asg_Valid,1),0)</f>
        <v>0</v>
      </c>
      <c r="CQ155" s="38" t="n">
        <f aca="false">Tasks[[#This Row],[_LeafCost]]+IF(Tasks[[#This Row],[_IsLeaf]]=1,SUMIFS(asg_Cost,asg_TaskUID,Tasks[[#This Row],[UID]],asg_Valid,1),0)</f>
        <v>0</v>
      </c>
      <c r="CR155" s="38" t="n">
        <f aca="false">IF(Tasks[[#This Row],[_LeafTotalCost]]=0,Tasks[[#This Row],[_LeafAC]],Tasks[[#This Row],[_LeafAC]]*Tasks[[#This Row],[_LeafCost]]/Tasks[[#This Row],[_LeafTotalCost]])</f>
        <v>0</v>
      </c>
      <c r="CS15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5" s="38" t="n">
        <f aca="false">IF(NOT(Tasks[[#This Row],[_IsLeaf]]=1),0,MAX(_xlfn.MAXIFS(Tasks[_Row],Tasks[Pred1 UID],Tasks[[#This Row],[UID]]),_xlfn.MAXIFS(Tasks[_Row],Tasks[Pred2 UID],Tasks[[#This Row],[UID]]),_xlfn.MAXIFS(Tasks[_Row],Tasks[Pred3 UID],Tasks[[#This Row],[UID]]),_xlfn.MAXIFS(Tasks[_Row],Tasks[Pred4 UID],Tasks[[#This Row],[UID]])))</f>
        <v>0</v>
      </c>
      <c r="DB15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5" s="115" t="str">
        <f aca="false">IF(NOT(Tasks[[#This Row],[_IsLeaf]]=1),"",IF(N(Tasks[[#This Row],[Duration]])&lt;=0,Tasks[[#This Row],[_LeafLateFinish]],WORKDAY.INTL(Tasks[[#This Row],[_LeafLateFinish]],-(Tasks[[#This Row],[Duration]]-1),WorkWeek,Holidays)))</f>
        <v/>
      </c>
      <c r="DE15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5" s="114" t="b">
        <f aca="false">AND(Tasks[[#This Row],[_IsLeaf]]=1,Tasks[[#This Row],[_LeafProgress]]&lt;1,N(Tasks[[#This Row],[_LeafTotalSlack]])&lt;=CriticalSlackDays)</f>
        <v>0</v>
      </c>
      <c r="DG155" s="38" t="n">
        <f aca="false">IF(AND(Tasks[[#This Row],[_IsLeaf]]=1,Tasks[[#This Row],[_ConstraintCode]]=1,Tasks[[#This Row],[Mode]]&lt;&gt;"Manual",N(Tasks[[#This Row],[Actual Start]])=0),MAX(0,N(Tasks[[#This Row],[Free Slack]])),0)</f>
        <v>0</v>
      </c>
      <c r="DH155" s="115" t="str">
        <f aca="false">IF(NOT(Tasks[[#This Row],[_IsLeaf]]=1),"",IF(Tasks[[#This Row],[_AlapShift]]=0,Tasks[[#This Row],[_LeafCalcStart]],WORKDAY.INTL(Tasks[[#This Row],[_LeafCalcStart]],Tasks[[#This Row],[_AlapShift]],WorkWeek,Holidays)))</f>
        <v/>
      </c>
      <c r="DI155" s="115" t="str">
        <f aca="false">IF(NOT(Tasks[[#This Row],[_IsLeaf]]=1),"",IF(Tasks[[#This Row],[_AlapShift]]=0,Tasks[[#This Row],[_LeafCalcFinish]],WORKDAY.INTL(Tasks[[#This Row],[_LeafCalcFinish]],Tasks[[#This Row],[_AlapShift]],WorkWeek,Holidays)))</f>
        <v/>
      </c>
      <c r="DJ155" s="115" t="str">
        <f aca="false">IF(NOT(Tasks[[#This Row],[_IsLeaf]]=1),"",IF(Tasks[[#This Row],[_AlapShift]]=0,Tasks[[#This Row],[_LeafFcstStart]],WORKDAY.INTL(Tasks[[#This Row],[_LeafFcstStart]],Tasks[[#This Row],[_AlapShift]],WorkWeek,Holidays)))</f>
        <v/>
      </c>
      <c r="DK155" s="115" t="str">
        <f aca="false">IF(NOT(Tasks[[#This Row],[_IsLeaf]]=1),"",IF(Tasks[[#This Row],[_AlapShift]]=0,Tasks[[#This Row],[_LeafFcstFinish]],WORKDAY.INTL(Tasks[[#This Row],[_LeafFcstFinish]],Tasks[[#This Row],[_AlapShift]],WorkWeek,Holidays)))</f>
        <v/>
      </c>
      <c r="DL155" s="115" t="str">
        <f aca="false">IF(Tasks[[#This Row],[Task Name]]="","",IF(Tasks[[#This Row],[_IsSummary]],MIN(INDEX(Tasks[_ShownCalcStart],Tasks[[#This Row],[_Row]]+1):INDEX(Tasks[_ShownCalcStart],Tasks[[#This Row],[_Row]]+Tasks[[#This Row],[_Descendants]])),Tasks[[#This Row],[_ShownCalcStart]]))</f>
        <v/>
      </c>
      <c r="DM155" s="115" t="str">
        <f aca="false">IF(Tasks[[#This Row],[Task Name]]="","",IF(Tasks[[#This Row],[_IsSummary]],MAX(INDEX(Tasks[_ShownCalcFinish],Tasks[[#This Row],[_Row]]+1):INDEX(Tasks[_ShownCalcFinish],Tasks[[#This Row],[_Row]]+Tasks[[#This Row],[_Descendants]])),Tasks[[#This Row],[_ShownCalcFinish]]))</f>
        <v/>
      </c>
      <c r="DN15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5" s="38" t="n">
        <f aca="false">IF(AND(Tasks[[#This Row],[_IsLeaf]]=1,Tasks[[#This Row],[_LeafTotalWork]]&gt;0),NETWORKDAYS.INTL(ProjectStart,Tasks[[#This Row],[_ShownFcstStart]],WorkWeek,Holidays),0)</f>
        <v>0</v>
      </c>
      <c r="EA155" s="38" t="n">
        <f aca="false">IF(AND(Tasks[[#This Row],[_IsLeaf]]=1,Tasks[[#This Row],[_LeafTotalWork]]&gt;0),MAX(Tasks[[#This Row],[_StartWorkday]],NETWORKDAYS.INTL(ProjectStart,Tasks[[#This Row],[_ShownFcstFinish]],WorkWeek,Holidays)),0)</f>
        <v>0</v>
      </c>
      <c r="EB155" s="38" t="n">
        <f aca="false">IF(AND(Tasks[[#This Row],[_IsLeaf]]=1,Tasks[[#This Row],[_LeafTotalWork]]&gt;0),Tasks[[#This Row],[_LeafWork]]/(Tasks[[#This Row],[_FinishWorkday]]-Tasks[[#This Row],[_StartWorkday]]+1),0)</f>
        <v>0</v>
      </c>
      <c r="EC155" s="38" t="n">
        <f aca="false">Tasks[[#This Row],[_WorkPerWorkday]]*(Tasks[[#This Row],[_StartWorkday]]-1)</f>
        <v>-0</v>
      </c>
      <c r="ED155" s="38" t="n">
        <f aca="false">IF(Tasks[[#This Row],[_IsLeaf]]=1,MAX(N(Tasks[[#This Row],[Duration]]),0.1),0)</f>
        <v>0</v>
      </c>
      <c r="EE155" s="38" t="n">
        <f aca="false">Tasks[[#This Row],[_WeightDur]]*Tasks[[#This Row],[_LeafProgress]]</f>
        <v>0</v>
      </c>
      <c r="EF15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5" s="38" t="str">
        <f aca="false">IF(AND(Tasks[[#This Row],[_IsLeaf]]=1,N(Tasks[[#This Row],[Duration]])=0,Tasks[[#This Row],[_LeafProgress]]&lt;1),Tasks[[#This Row],[_ShownFcstFinish]]+Tasks[[#This Row],[_Row]]/100000,"")</f>
        <v/>
      </c>
      <c r="EH15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5" s="38" t="n">
        <f aca="false">IF(NOT(Tasks[[#This Row],[_IsLeaf]]=1),0,IF(Tasks[[#This Row],[Baseline Cost]]="",Tasks[[#This Row],[_LeafTotalCost]],N(Tasks[[#This Row],[Baseline Cost]])))</f>
        <v>0</v>
      </c>
      <c r="EJ155" s="38" t="n">
        <f aca="false">Tasks[[#This Row],[_LeafBudget]]*Tasks[[#This Row],[_PlannedPct]]</f>
        <v>0</v>
      </c>
      <c r="EK155" s="38" t="n">
        <f aca="false">Tasks[[#This Row],[_LeafBudget]]*Tasks[[#This Row],[_LeafProgress]]</f>
        <v>0</v>
      </c>
      <c r="EL155" s="38" t="n">
        <f aca="false">IF(NOT(Tasks[[#This Row],[_IsLeaf]]=1),0,IF(Tasks[[#This Row],[Actual Cost]]="",Tasks[[#This Row],[_LeafTotalCost]]*Tasks[[#This Row],[_LeafProgress]],N(Tasks[[#This Row],[Actual Cost]])))</f>
        <v>0</v>
      </c>
      <c r="EM155" s="38" t="str">
        <f aca="false">IF(Tasks[[#This Row],[Task Name]]="","",LEFT(Tasks[[#This Row],[WBS]],FIND(".",Tasks[[#This Row],[WBS]]&amp;".")-1))</f>
        <v/>
      </c>
      <c r="EN155" s="38" t="str">
        <f aca="false">IF(AND(Tasks[[#This Row],[Task Name]]&lt;&gt;"",Tasks[[#This Row],[_Level]]=1),Tasks[[#This Row],[_Row]],"")</f>
        <v/>
      </c>
      <c r="EO155" s="38" t="str">
        <f aca="false">IF(AND(Tasks[[#This Row],[_IsLeaf]]=1,N(Tasks[[#This Row],[Duration]])=0),Tasks[[#This Row],[Planned Finish]]+Tasks[[#This Row],[_Row]]/100000,"")</f>
        <v/>
      </c>
      <c r="EP155" s="38" t="str">
        <f aca="false">IF(AND(Tasks[[#This Row],[_IsLeaf]]=1,Tasks[[#This Row],[_LeafProgress]]&lt;1,OR(N(Tasks[[#This Row],[Finish Var]])&gt;0,Tasks[[#This Row],[Status]]="Late Start")),MAX(0,Tasks[[#This Row],[Finish Var]])+1-Tasks[[#This Row],[_Row]]/1000000,"")</f>
        <v/>
      </c>
      <c r="EQ155" s="38" t="str">
        <f aca="false">IF(AND(Tasks[[#This Row],[_IsLeaf]]=1,N(Tasks[[#This Row],[Actual Start]])=0,Tasks[[#This Row],[_ShownFcstStart]]&gt;=StatusDate,Tasks[[#This Row],[_ShownFcstStart]]&lt;=LookaheadEnd),Tasks[[#This Row],[_ShownFcstStart]]+Tasks[[#This Row],[_Row]]/100000,"")</f>
        <v/>
      </c>
      <c r="ER155" s="38" t="str">
        <f aca="false">IF(AND(Tasks[[#This Row],[_IsLeaf]]=1,Tasks[[#This Row],[_LeafProgress]]&lt;1,Tasks[[#This Row],[_ShownFcstFinish]]&gt;=StatusDate,Tasks[[#This Row],[_ShownFcstFinish]]&lt;=LookaheadEnd),Tasks[[#This Row],[_ShownFcstFinish]]+Tasks[[#This Row],[_Row]]/100000,"")</f>
        <v/>
      </c>
      <c r="ES155" s="38" t="str">
        <f aca="false">IF(Tasks[[#This Row],[_LeafCritical]],Tasks[[#This Row],[_ShownFcstStart]]+Tasks[[#This Row],[_Row]]/100000,"")</f>
        <v/>
      </c>
      <c r="ET155" s="38" t="n">
        <f aca="false">Tasks[[#This Row],[_LeafWork]]*Tasks[[#This Row],[_LeafProgress]]</f>
        <v>0</v>
      </c>
      <c r="EU155" s="115" t="str">
        <f aca="false">IF(AND(Tasks[[#This Row],[_IsLeaf]]=1,Tasks[[#This Row],[_LeafProgress]]&gt;=1),IF(N(Tasks[[#This Row],[Actual Finish]])&gt;0,Tasks[[#This Row],[Actual Finish]],Tasks[[#This Row],[_ShownFcstFinish]]),"")</f>
        <v/>
      </c>
      <c r="EV155" s="38" t="n">
        <f aca="false">IF(Tasks[[#This Row],[_IsLeaf]]=1,N(Tasks[[#This Row],[Story Points]]),0)</f>
        <v>0</v>
      </c>
      <c r="EW155" s="38" t="str">
        <f aca="false">IF(AND(Tasks[[#This Row],[_IsLeaf]]=1,CurrentSprint&lt;&gt;"",Tasks[[#This Row],[Sprint]]=CurrentSprint),Tasks[[#This Row],[_Row]],"")</f>
        <v/>
      </c>
    </row>
    <row r="156" customFormat="false" ht="15" hidden="false" customHeight="false" outlineLevel="0" collapsed="false">
      <c r="A156" s="51" t="str">
        <f aca="false">IF(Tasks[[#This Row],[Task Name]]="","",COUNTA(Tasks[[#Headers],[Task Name]]:Tasks[[#This Row],[Task Name]])-1)</f>
        <v/>
      </c>
      <c r="B156" s="52" t="n">
        <v>151</v>
      </c>
      <c r="C15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52"/>
      <c r="E156" s="53"/>
      <c r="F156" s="52"/>
      <c r="G156" s="52"/>
      <c r="H156" s="52"/>
      <c r="I156" s="52"/>
      <c r="J156" s="52"/>
      <c r="K156" s="52"/>
      <c r="L156" s="52"/>
      <c r="M156" s="52"/>
      <c r="N156" s="52"/>
      <c r="O156" s="52"/>
      <c r="P156" s="52"/>
      <c r="Q156" s="52"/>
      <c r="R156" s="52"/>
      <c r="S156" s="53"/>
      <c r="T156" s="102"/>
      <c r="U156" s="102"/>
      <c r="V156" s="7"/>
      <c r="W156" s="7"/>
      <c r="X156" s="53"/>
      <c r="Y156" s="31" t="str">
        <f aca="false">IF(Tasks[[#This Row],[Task Name]]="","",IF(Tasks[[#This Row],[_IsSummary]],MIN(INDEX(Tasks[_ShownFcstStart],Tasks[[#This Row],[_Row]]+1):INDEX(Tasks[_ShownFcstStart],Tasks[[#This Row],[_Row]]+Tasks[[#This Row],[_Descendants]])),Tasks[[#This Row],[_ShownFcstStart]]))</f>
        <v/>
      </c>
      <c r="Z156" s="31" t="str">
        <f aca="false">IF(Tasks[[#This Row],[Task Name]]="","",IF(Tasks[[#This Row],[_IsSummary]],MAX(INDEX(Tasks[_ShownFcstFinish],Tasks[[#This Row],[_Row]]+1):INDEX(Tasks[_ShownFcstFinish],Tasks[[#This Row],[_Row]]+Tasks[[#This Row],[_Descendants]])),Tasks[[#This Row],[_ShownFcstFinish]]))</f>
        <v/>
      </c>
      <c r="AA156" s="51" t="str">
        <f aca="false">IF(Tasks[[#This Row],[Task Name]]="","",IF(Tasks[[#This Row],[Progress]]&gt;=1,"Complete",IF(OR(N(Tasks[[#This Row],[Actual Start]])&gt;0,Tasks[[#This Row],[Progress]]&gt;0),IF(Tasks[[#This Row],[Finish Var]]&gt;0,"Behind","In Progress"),IF(Tasks[[#This Row],[Planned Start]]&lt;StatusDate,"Late Start","Not Started"))))</f>
        <v/>
      </c>
      <c r="AB156" s="51" t="str">
        <f aca="false">IF(Tasks[[#This Row],[Task Name]]="","",IF(IF(Tasks[[#This Row],[_IsSummary]],COUNTIF(INDEX(Tasks[_LeafCritical],Tasks[[#This Row],[_Row]]+1):INDEX(Tasks[_LeafCritical],Tasks[[#This Row],[_Row]]+Tasks[[#This Row],[_Descendants]]),TRUE())&gt;0,Tasks[[#This Row],[_LeafCritical]]),"Yes",""))</f>
        <v/>
      </c>
      <c r="AC15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6" s="51" t="str">
        <f aca="false">IF(Tasks[[#This Row],[Task Name]]="","",IF(Tasks[[#This Row],[_Level]]&lt;=OutlineShowLevel,"Yes","No"))</f>
        <v/>
      </c>
      <c r="AE156" s="7"/>
      <c r="AF156" s="52"/>
      <c r="AG156" s="53"/>
      <c r="AH156" s="7"/>
      <c r="AI15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6" s="31" t="str">
        <f aca="false">IF(Tasks[[#This Row],[Task Name]]="","",IF(N(Tasks[[#This Row],[Baseline Start]])&gt;0,Tasks[[#This Row],[Baseline Start]],Tasks[[#This Row],[_CalcStart]]))</f>
        <v/>
      </c>
      <c r="AK156" s="31" t="str">
        <f aca="false">IF(Tasks[[#This Row],[Task Name]]="","",IF(N(Tasks[[#This Row],[Baseline Finish]])&gt;0,Tasks[[#This Row],[Baseline Finish]],Tasks[[#This Row],[_CalcFinish]]))</f>
        <v/>
      </c>
      <c r="AL15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6" s="31" t="str">
        <f aca="false">IF(Tasks[[#This Row],[Task Name]]="","",IF(Tasks[[#This Row],[_IsSummary]],MIN(INDEX(Tasks[_LeafLateStart],Tasks[[#This Row],[_Row]]+1):INDEX(Tasks[_LeafLateStart],Tasks[[#This Row],[_Row]]+Tasks[[#This Row],[_Descendants]])),Tasks[[#This Row],[_LeafLateStart]]))</f>
        <v/>
      </c>
      <c r="AN156" s="31" t="str">
        <f aca="false">IF(Tasks[[#This Row],[Task Name]]="","",IF(Tasks[[#This Row],[_IsSummary]],MAX(INDEX(Tasks[_LeafLateFinish],Tasks[[#This Row],[_Row]]+1):INDEX(Tasks[_LeafLateFinish],Tasks[[#This Row],[_Row]]+Tasks[[#This Row],[_Descendants]])),Tasks[[#This Row],[_LeafLateFinish]]))</f>
        <v/>
      </c>
      <c r="AO156" s="51" t="str">
        <f aca="false">IF(Tasks[[#This Row],[Task Name]]="","",IF(Tasks[[#This Row],[_IsSummary]],MIN(INDEX(Tasks[_LeafTotalSlack],Tasks[[#This Row],[_Row]]+1):INDEX(Tasks[_LeafTotalSlack],Tasks[[#This Row],[_Row]]+Tasks[[#This Row],[_Descendants]])),Tasks[[#This Row],[_LeafTotalSlack]]))</f>
        <v/>
      </c>
      <c r="AP15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6" s="110" t="str">
        <f aca="false">IF(Tasks[[#This Row],[Task Name]]="","",IF(Tasks[[#This Row],[_IsSummary]],SUM(INDEX(Tasks[_LeafTotalWork],Tasks[[#This Row],[_Row]]+1):INDEX(Tasks[_LeafTotalWork],Tasks[[#This Row],[_Row]]+Tasks[[#This Row],[_Descendants]])),Tasks[[#This Row],[_LeafTotalWork]]))</f>
        <v/>
      </c>
      <c r="AV15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6" s="111" t="str">
        <f aca="false">IF(Tasks[[#This Row],[Task Name]]="","",IF(Tasks[[#This Row],[_IsSummary]],SUM(INDEX(Tasks[_LeafTotalCost],Tasks[[#This Row],[_Row]]+1):INDEX(Tasks[_LeafTotalCost],Tasks[[#This Row],[_Row]]+Tasks[[#This Row],[_Descendants]])),Tasks[[#This Row],[_LeafTotalCost]]))</f>
        <v/>
      </c>
      <c r="AY156" s="112"/>
      <c r="AZ15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6" s="52"/>
      <c r="BB156" s="98"/>
      <c r="BC156" s="51" t="str">
        <f aca="false">IF(OR(Tasks[[#This Row],[Task Name]]="",Tasks[[#This Row],[Baseline Duration]]=""),"",Tasks[[#This Row],[BL Source Duration]]-N(Tasks[[#This Row],[Baseline Duration]]))</f>
        <v/>
      </c>
      <c r="BD156" s="110" t="str">
        <f aca="false">IF(OR(Tasks[[#This Row],[Task Name]]="",Tasks[[#This Row],[Baseline Work]]=""),"",Tasks[[#This Row],[Work]]-N(Tasks[[#This Row],[Baseline Work]]))</f>
        <v/>
      </c>
      <c r="BE156" s="111" t="str">
        <f aca="false">IF(OR(Tasks[[#This Row],[Task Name]]="",Tasks[[#This Row],[Baseline Cost]]=""),"",Tasks[[#This Row],[Cost]]-N(Tasks[[#This Row],[Baseline Cost]]))</f>
        <v/>
      </c>
      <c r="BF156" s="31" t="str">
        <f aca="false">IF(Tasks[[#This Row],[Task Name]]="","",Tasks[[#This Row],[Forecast Start]])</f>
        <v/>
      </c>
      <c r="BG156" s="31" t="str">
        <f aca="false">IF(Tasks[[#This Row],[Task Name]]="","",Tasks[[#This Row],[Forecast Finish]])</f>
        <v/>
      </c>
      <c r="BH156" s="51" t="str">
        <f aca="false">IF(Tasks[[#This Row],[Task Name]]="","",IF(Tasks[[#This Row],[_IsSummary]],NETWORKDAYS.INTL(Tasks[[#This Row],[Forecast Start]],Tasks[[#This Row],[Forecast Finish]],WorkWeek,Holidays),N(Tasks[[#This Row],[Duration]])))</f>
        <v/>
      </c>
      <c r="BI156" s="110" t="str">
        <f aca="false">IF(Tasks[[#This Row],[Task Name]]="","",Tasks[[#This Row],[Work]])</f>
        <v/>
      </c>
      <c r="BJ156" s="111" t="str">
        <f aca="false">IF(Tasks[[#This Row],[Task Name]]="","",Tasks[[#This Row],[Cost]])</f>
        <v/>
      </c>
      <c r="BK156" s="7"/>
      <c r="BL156" s="7"/>
      <c r="BM156" s="52"/>
      <c r="BN156" s="113"/>
      <c r="BO156" s="112"/>
      <c r="BP156" s="111" t="str">
        <f aca="false">IF(Tasks[[#This Row],[Task Name]]="","",IF(Tasks[[#This Row],[_IsSummary]],SUM(INDEX(Tasks[_LeafEV],Tasks[[#This Row],[_Row]]+1):INDEX(Tasks[_LeafEV],Tasks[[#This Row],[_Row]]+Tasks[[#This Row],[_Descendants]])),Tasks[[#This Row],[_LeafEV]]))</f>
        <v/>
      </c>
      <c r="BQ156" s="111" t="str">
        <f aca="false">IF(Tasks[[#This Row],[Task Name]]="","",IF(Tasks[[#This Row],[_IsSummary]],SUM(INDEX(Tasks[_LeafBudget],Tasks[[#This Row],[_Row]]+1):INDEX(Tasks[_LeafBudget],Tasks[[#This Row],[_Row]]+Tasks[[#This Row],[_Descendants]])),Tasks[[#This Row],[_LeafBudget]]))</f>
        <v/>
      </c>
      <c r="BR156" s="111" t="str">
        <f aca="false">IF(Tasks[[#This Row],[Task Name]]="","",IF(Tasks[[#This Row],[_IsSummary]],SUM(INDEX(Tasks[_LeafPV],Tasks[[#This Row],[_Row]]+1):INDEX(Tasks[_LeafPV],Tasks[[#This Row],[_Row]]+Tasks[[#This Row],[_Descendants]])),Tasks[[#This Row],[_LeafPV]]))</f>
        <v/>
      </c>
      <c r="BS156" s="111" t="str">
        <f aca="false">IF(Tasks[[#This Row],[Task Name]]="","",IF(Tasks[[#This Row],[_IsSummary]],SUM(INDEX(Tasks[_LeafAC],Tasks[[#This Row],[_Row]]+1):INDEX(Tasks[_LeafAC],Tasks[[#This Row],[_Row]]+Tasks[[#This Row],[_Descendants]])),Tasks[[#This Row],[_LeafAC]]))</f>
        <v/>
      </c>
      <c r="BT156" s="38" t="str">
        <f aca="false">IF(Tasks[[#This Row],[Task Name]]="","",MAX(1,N(Tasks[[#This Row],[Level]])))</f>
        <v/>
      </c>
      <c r="BU156" s="38" t="n">
        <f aca="false">ROW()-ROW(Tasks[[#Headers],[ID]])</f>
        <v>151</v>
      </c>
      <c r="BV156" s="38" t="n">
        <f aca="false">IF(OR(Tasks[[#This Row],[Task Name]]="",Tasks[[#This Row],[_Level]]&lt;=1),0,IFERROR(LOOKUP(2,1/(Tasks[[#Headers],[_Level]]:Tasks[[#This Row],[_Level]]=Tasks[[#This Row],[_Level]]-1),ROW(Tasks[[#Headers],[_Level]]:Tasks[[#This Row],[_Level]])),0))</f>
        <v>0</v>
      </c>
      <c r="BW156" s="38" t="n">
        <f aca="false">IFERROR(N(INDEX(Tasks[_Level],Tasks[[#This Row],[_Row]]+1)),0)</f>
        <v>0</v>
      </c>
      <c r="BX156" s="114" t="b">
        <f aca="false">AND(Tasks[[#This Row],[Task Name]]&lt;&gt;"",Tasks[[#This Row],[_NextLevel]]&gt;Tasks[[#This Row],[_Level]])</f>
        <v>0</v>
      </c>
      <c r="BY156" s="38" t="n">
        <f aca="false">IF(Tasks[[#This Row],[_IsSummary]],COUNTIF(Tasks[WBS],Tasks[[#This Row],[WBS]]&amp;".*"),0)</f>
        <v>0</v>
      </c>
      <c r="BZ156" s="38" t="n">
        <f aca="false">IF(AND(Tasks[[#This Row],[Task Name]]&lt;&gt;"",NOT(Tasks[[#This Row],[_IsSummary]])),1,0)</f>
        <v>0</v>
      </c>
      <c r="CA156" s="38" t="n">
        <f aca="false">IF(N(Tasks[[#This Row],[Pred1 UID]])=0,0,IFERROR(MATCH(Tasks[[#This Row],[Pred1 UID]],Tasks[UID],0),-1))</f>
        <v>0</v>
      </c>
      <c r="CB156" s="38" t="n">
        <f aca="false">IF(N(Tasks[[#This Row],[Pred2 UID]])=0,0,IFERROR(MATCH(Tasks[[#This Row],[Pred2 UID]],Tasks[UID],0),-1))</f>
        <v>0</v>
      </c>
      <c r="CC156" s="38" t="n">
        <f aca="false">IF(N(Tasks[[#This Row],[Pred3 UID]])=0,0,IFERROR(MATCH(Tasks[[#This Row],[Pred3 UID]],Tasks[UID],0),-1))</f>
        <v>0</v>
      </c>
      <c r="CD156" s="38" t="n">
        <f aca="false">IF(N(Tasks[[#This Row],[Pred4 UID]])=0,0,IFERROR(MATCH(Tasks[[#This Row],[Pred4 UID]],Tasks[UID],0),-1))</f>
        <v>0</v>
      </c>
      <c r="CE15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6" s="115" t="n">
        <f aca="false">IF(OR(Tasks[[#This Row],[_ConstraintCode]]=2,Tasks[[#This Row],[_ConstraintCode]]=3,Tasks[[#This Row],[_ConstraintCode]]=4,Tasks[[#This Row],[_ConstraintCode]]=6),Tasks[[#This Row],[_ConstraintStart]],0)</f>
        <v>0</v>
      </c>
      <c r="CH156" s="115" t="n">
        <f aca="false">IF(OR(Tasks[[#This Row],[_ConstraintCode]]=2,Tasks[[#This Row],[_ConstraintCode]]=3,Tasks[[#This Row],[_ConstraintCode]]=5,Tasks[[#This Row],[_ConstraintCode]]=7),Tasks[[#This Row],[_ConstraintStart]],2958465)</f>
        <v>2958465</v>
      </c>
      <c r="CI15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6" s="115" t="str">
        <f aca="false">IF(NOT(Tasks[[#This Row],[_IsLeaf]]=1),"",IF(N(Tasks[[#This Row],[Duration]])&lt;=0,Tasks[[#This Row],[_LeafCalcStart]],WORKDAY.INTL(Tasks[[#This Row],[_LeafCalcStart]],Tasks[[#This Row],[Duration]]-1,WorkWeek,Holidays)))</f>
        <v/>
      </c>
      <c r="CK15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6" s="38" t="n">
        <f aca="false">IF(NOT(Tasks[[#This Row],[_IsLeaf]]=1),0,IF(N(Tasks[[#This Row],[Actual Finish]])&gt;0,1,MIN(1,N(Tasks[[#This Row],[% Complete]]))))</f>
        <v>0</v>
      </c>
      <c r="CN156" s="38" t="n">
        <f aca="false">IF(OR(NOT(Tasks[[#This Row],[_IsLeaf]]=1),Tasks[[#This Row],[Resource]]=""),0,N(Tasks[[#This Row],[Duration]])*HoursPerDay*IF(Tasks[[#This Row],[Units]]="",DefaultUnits,Tasks[[#This Row],[Units]]))</f>
        <v>0</v>
      </c>
      <c r="CO156" s="38" t="n">
        <f aca="false">IF(Tasks[[#This Row],[_LeafWork]]=0,0,Tasks[[#This Row],[_LeafWork]]*IFERROR(INDEX(res_Rate,MATCH(Tasks[[#This Row],[Resource]],res_Name,0)),0))</f>
        <v>0</v>
      </c>
      <c r="CP156" s="38" t="n">
        <f aca="false">Tasks[[#This Row],[_LeafWork]]+IF(Tasks[[#This Row],[_IsLeaf]]=1,SUMIFS(asg_Work,asg_TaskUID,Tasks[[#This Row],[UID]],asg_Valid,1),0)</f>
        <v>0</v>
      </c>
      <c r="CQ156" s="38" t="n">
        <f aca="false">Tasks[[#This Row],[_LeafCost]]+IF(Tasks[[#This Row],[_IsLeaf]]=1,SUMIFS(asg_Cost,asg_TaskUID,Tasks[[#This Row],[UID]],asg_Valid,1),0)</f>
        <v>0</v>
      </c>
      <c r="CR156" s="38" t="n">
        <f aca="false">IF(Tasks[[#This Row],[_LeafTotalCost]]=0,Tasks[[#This Row],[_LeafAC]],Tasks[[#This Row],[_LeafAC]]*Tasks[[#This Row],[_LeafCost]]/Tasks[[#This Row],[_LeafTotalCost]])</f>
        <v>0</v>
      </c>
      <c r="CS15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6" s="38" t="n">
        <f aca="false">IF(NOT(Tasks[[#This Row],[_IsLeaf]]=1),0,MAX(_xlfn.MAXIFS(Tasks[_Row],Tasks[Pred1 UID],Tasks[[#This Row],[UID]]),_xlfn.MAXIFS(Tasks[_Row],Tasks[Pred2 UID],Tasks[[#This Row],[UID]]),_xlfn.MAXIFS(Tasks[_Row],Tasks[Pred3 UID],Tasks[[#This Row],[UID]]),_xlfn.MAXIFS(Tasks[_Row],Tasks[Pred4 UID],Tasks[[#This Row],[UID]])))</f>
        <v>0</v>
      </c>
      <c r="DB15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6" s="115" t="str">
        <f aca="false">IF(NOT(Tasks[[#This Row],[_IsLeaf]]=1),"",IF(N(Tasks[[#This Row],[Duration]])&lt;=0,Tasks[[#This Row],[_LeafLateFinish]],WORKDAY.INTL(Tasks[[#This Row],[_LeafLateFinish]],-(Tasks[[#This Row],[Duration]]-1),WorkWeek,Holidays)))</f>
        <v/>
      </c>
      <c r="DE15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6" s="114" t="b">
        <f aca="false">AND(Tasks[[#This Row],[_IsLeaf]]=1,Tasks[[#This Row],[_LeafProgress]]&lt;1,N(Tasks[[#This Row],[_LeafTotalSlack]])&lt;=CriticalSlackDays)</f>
        <v>0</v>
      </c>
      <c r="DG156" s="38" t="n">
        <f aca="false">IF(AND(Tasks[[#This Row],[_IsLeaf]]=1,Tasks[[#This Row],[_ConstraintCode]]=1,Tasks[[#This Row],[Mode]]&lt;&gt;"Manual",N(Tasks[[#This Row],[Actual Start]])=0),MAX(0,N(Tasks[[#This Row],[Free Slack]])),0)</f>
        <v>0</v>
      </c>
      <c r="DH156" s="115" t="str">
        <f aca="false">IF(NOT(Tasks[[#This Row],[_IsLeaf]]=1),"",IF(Tasks[[#This Row],[_AlapShift]]=0,Tasks[[#This Row],[_LeafCalcStart]],WORKDAY.INTL(Tasks[[#This Row],[_LeafCalcStart]],Tasks[[#This Row],[_AlapShift]],WorkWeek,Holidays)))</f>
        <v/>
      </c>
      <c r="DI156" s="115" t="str">
        <f aca="false">IF(NOT(Tasks[[#This Row],[_IsLeaf]]=1),"",IF(Tasks[[#This Row],[_AlapShift]]=0,Tasks[[#This Row],[_LeafCalcFinish]],WORKDAY.INTL(Tasks[[#This Row],[_LeafCalcFinish]],Tasks[[#This Row],[_AlapShift]],WorkWeek,Holidays)))</f>
        <v/>
      </c>
      <c r="DJ156" s="115" t="str">
        <f aca="false">IF(NOT(Tasks[[#This Row],[_IsLeaf]]=1),"",IF(Tasks[[#This Row],[_AlapShift]]=0,Tasks[[#This Row],[_LeafFcstStart]],WORKDAY.INTL(Tasks[[#This Row],[_LeafFcstStart]],Tasks[[#This Row],[_AlapShift]],WorkWeek,Holidays)))</f>
        <v/>
      </c>
      <c r="DK156" s="115" t="str">
        <f aca="false">IF(NOT(Tasks[[#This Row],[_IsLeaf]]=1),"",IF(Tasks[[#This Row],[_AlapShift]]=0,Tasks[[#This Row],[_LeafFcstFinish]],WORKDAY.INTL(Tasks[[#This Row],[_LeafFcstFinish]],Tasks[[#This Row],[_AlapShift]],WorkWeek,Holidays)))</f>
        <v/>
      </c>
      <c r="DL156" s="115" t="str">
        <f aca="false">IF(Tasks[[#This Row],[Task Name]]="","",IF(Tasks[[#This Row],[_IsSummary]],MIN(INDEX(Tasks[_ShownCalcStart],Tasks[[#This Row],[_Row]]+1):INDEX(Tasks[_ShownCalcStart],Tasks[[#This Row],[_Row]]+Tasks[[#This Row],[_Descendants]])),Tasks[[#This Row],[_ShownCalcStart]]))</f>
        <v/>
      </c>
      <c r="DM156" s="115" t="str">
        <f aca="false">IF(Tasks[[#This Row],[Task Name]]="","",IF(Tasks[[#This Row],[_IsSummary]],MAX(INDEX(Tasks[_ShownCalcFinish],Tasks[[#This Row],[_Row]]+1):INDEX(Tasks[_ShownCalcFinish],Tasks[[#This Row],[_Row]]+Tasks[[#This Row],[_Descendants]])),Tasks[[#This Row],[_ShownCalcFinish]]))</f>
        <v/>
      </c>
      <c r="DN15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6" s="38" t="n">
        <f aca="false">IF(AND(Tasks[[#This Row],[_IsLeaf]]=1,Tasks[[#This Row],[_LeafTotalWork]]&gt;0),NETWORKDAYS.INTL(ProjectStart,Tasks[[#This Row],[_ShownFcstStart]],WorkWeek,Holidays),0)</f>
        <v>0</v>
      </c>
      <c r="EA156" s="38" t="n">
        <f aca="false">IF(AND(Tasks[[#This Row],[_IsLeaf]]=1,Tasks[[#This Row],[_LeafTotalWork]]&gt;0),MAX(Tasks[[#This Row],[_StartWorkday]],NETWORKDAYS.INTL(ProjectStart,Tasks[[#This Row],[_ShownFcstFinish]],WorkWeek,Holidays)),0)</f>
        <v>0</v>
      </c>
      <c r="EB156" s="38" t="n">
        <f aca="false">IF(AND(Tasks[[#This Row],[_IsLeaf]]=1,Tasks[[#This Row],[_LeafTotalWork]]&gt;0),Tasks[[#This Row],[_LeafWork]]/(Tasks[[#This Row],[_FinishWorkday]]-Tasks[[#This Row],[_StartWorkday]]+1),0)</f>
        <v>0</v>
      </c>
      <c r="EC156" s="38" t="n">
        <f aca="false">Tasks[[#This Row],[_WorkPerWorkday]]*(Tasks[[#This Row],[_StartWorkday]]-1)</f>
        <v>-0</v>
      </c>
      <c r="ED156" s="38" t="n">
        <f aca="false">IF(Tasks[[#This Row],[_IsLeaf]]=1,MAX(N(Tasks[[#This Row],[Duration]]),0.1),0)</f>
        <v>0</v>
      </c>
      <c r="EE156" s="38" t="n">
        <f aca="false">Tasks[[#This Row],[_WeightDur]]*Tasks[[#This Row],[_LeafProgress]]</f>
        <v>0</v>
      </c>
      <c r="EF15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6" s="38" t="str">
        <f aca="false">IF(AND(Tasks[[#This Row],[_IsLeaf]]=1,N(Tasks[[#This Row],[Duration]])=0,Tasks[[#This Row],[_LeafProgress]]&lt;1),Tasks[[#This Row],[_ShownFcstFinish]]+Tasks[[#This Row],[_Row]]/100000,"")</f>
        <v/>
      </c>
      <c r="EH15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6" s="38" t="n">
        <f aca="false">IF(NOT(Tasks[[#This Row],[_IsLeaf]]=1),0,IF(Tasks[[#This Row],[Baseline Cost]]="",Tasks[[#This Row],[_LeafTotalCost]],N(Tasks[[#This Row],[Baseline Cost]])))</f>
        <v>0</v>
      </c>
      <c r="EJ156" s="38" t="n">
        <f aca="false">Tasks[[#This Row],[_LeafBudget]]*Tasks[[#This Row],[_PlannedPct]]</f>
        <v>0</v>
      </c>
      <c r="EK156" s="38" t="n">
        <f aca="false">Tasks[[#This Row],[_LeafBudget]]*Tasks[[#This Row],[_LeafProgress]]</f>
        <v>0</v>
      </c>
      <c r="EL156" s="38" t="n">
        <f aca="false">IF(NOT(Tasks[[#This Row],[_IsLeaf]]=1),0,IF(Tasks[[#This Row],[Actual Cost]]="",Tasks[[#This Row],[_LeafTotalCost]]*Tasks[[#This Row],[_LeafProgress]],N(Tasks[[#This Row],[Actual Cost]])))</f>
        <v>0</v>
      </c>
      <c r="EM156" s="38" t="str">
        <f aca="false">IF(Tasks[[#This Row],[Task Name]]="","",LEFT(Tasks[[#This Row],[WBS]],FIND(".",Tasks[[#This Row],[WBS]]&amp;".")-1))</f>
        <v/>
      </c>
      <c r="EN156" s="38" t="str">
        <f aca="false">IF(AND(Tasks[[#This Row],[Task Name]]&lt;&gt;"",Tasks[[#This Row],[_Level]]=1),Tasks[[#This Row],[_Row]],"")</f>
        <v/>
      </c>
      <c r="EO156" s="38" t="str">
        <f aca="false">IF(AND(Tasks[[#This Row],[_IsLeaf]]=1,N(Tasks[[#This Row],[Duration]])=0),Tasks[[#This Row],[Planned Finish]]+Tasks[[#This Row],[_Row]]/100000,"")</f>
        <v/>
      </c>
      <c r="EP156" s="38" t="str">
        <f aca="false">IF(AND(Tasks[[#This Row],[_IsLeaf]]=1,Tasks[[#This Row],[_LeafProgress]]&lt;1,OR(N(Tasks[[#This Row],[Finish Var]])&gt;0,Tasks[[#This Row],[Status]]="Late Start")),MAX(0,Tasks[[#This Row],[Finish Var]])+1-Tasks[[#This Row],[_Row]]/1000000,"")</f>
        <v/>
      </c>
      <c r="EQ156" s="38" t="str">
        <f aca="false">IF(AND(Tasks[[#This Row],[_IsLeaf]]=1,N(Tasks[[#This Row],[Actual Start]])=0,Tasks[[#This Row],[_ShownFcstStart]]&gt;=StatusDate,Tasks[[#This Row],[_ShownFcstStart]]&lt;=LookaheadEnd),Tasks[[#This Row],[_ShownFcstStart]]+Tasks[[#This Row],[_Row]]/100000,"")</f>
        <v/>
      </c>
      <c r="ER156" s="38" t="str">
        <f aca="false">IF(AND(Tasks[[#This Row],[_IsLeaf]]=1,Tasks[[#This Row],[_LeafProgress]]&lt;1,Tasks[[#This Row],[_ShownFcstFinish]]&gt;=StatusDate,Tasks[[#This Row],[_ShownFcstFinish]]&lt;=LookaheadEnd),Tasks[[#This Row],[_ShownFcstFinish]]+Tasks[[#This Row],[_Row]]/100000,"")</f>
        <v/>
      </c>
      <c r="ES156" s="38" t="str">
        <f aca="false">IF(Tasks[[#This Row],[_LeafCritical]],Tasks[[#This Row],[_ShownFcstStart]]+Tasks[[#This Row],[_Row]]/100000,"")</f>
        <v/>
      </c>
      <c r="ET156" s="38" t="n">
        <f aca="false">Tasks[[#This Row],[_LeafWork]]*Tasks[[#This Row],[_LeafProgress]]</f>
        <v>0</v>
      </c>
      <c r="EU156" s="115" t="str">
        <f aca="false">IF(AND(Tasks[[#This Row],[_IsLeaf]]=1,Tasks[[#This Row],[_LeafProgress]]&gt;=1),IF(N(Tasks[[#This Row],[Actual Finish]])&gt;0,Tasks[[#This Row],[Actual Finish]],Tasks[[#This Row],[_ShownFcstFinish]]),"")</f>
        <v/>
      </c>
      <c r="EV156" s="38" t="n">
        <f aca="false">IF(Tasks[[#This Row],[_IsLeaf]]=1,N(Tasks[[#This Row],[Story Points]]),0)</f>
        <v>0</v>
      </c>
      <c r="EW156" s="38" t="str">
        <f aca="false">IF(AND(Tasks[[#This Row],[_IsLeaf]]=1,CurrentSprint&lt;&gt;"",Tasks[[#This Row],[Sprint]]=CurrentSprint),Tasks[[#This Row],[_Row]],"")</f>
        <v/>
      </c>
    </row>
    <row r="157" customFormat="false" ht="15" hidden="false" customHeight="false" outlineLevel="0" collapsed="false">
      <c r="A157" s="51" t="str">
        <f aca="false">IF(Tasks[[#This Row],[Task Name]]="","",COUNTA(Tasks[[#Headers],[Task Name]]:Tasks[[#This Row],[Task Name]])-1)</f>
        <v/>
      </c>
      <c r="B157" s="52" t="n">
        <v>152</v>
      </c>
      <c r="C15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52"/>
      <c r="E157" s="53"/>
      <c r="F157" s="52"/>
      <c r="G157" s="52"/>
      <c r="H157" s="52"/>
      <c r="I157" s="52"/>
      <c r="J157" s="52"/>
      <c r="K157" s="52"/>
      <c r="L157" s="52"/>
      <c r="M157" s="52"/>
      <c r="N157" s="52"/>
      <c r="O157" s="52"/>
      <c r="P157" s="52"/>
      <c r="Q157" s="52"/>
      <c r="R157" s="52"/>
      <c r="S157" s="53"/>
      <c r="T157" s="102"/>
      <c r="U157" s="102"/>
      <c r="V157" s="7"/>
      <c r="W157" s="7"/>
      <c r="X157" s="53"/>
      <c r="Y157" s="31" t="str">
        <f aca="false">IF(Tasks[[#This Row],[Task Name]]="","",IF(Tasks[[#This Row],[_IsSummary]],MIN(INDEX(Tasks[_ShownFcstStart],Tasks[[#This Row],[_Row]]+1):INDEX(Tasks[_ShownFcstStart],Tasks[[#This Row],[_Row]]+Tasks[[#This Row],[_Descendants]])),Tasks[[#This Row],[_ShownFcstStart]]))</f>
        <v/>
      </c>
      <c r="Z157" s="31" t="str">
        <f aca="false">IF(Tasks[[#This Row],[Task Name]]="","",IF(Tasks[[#This Row],[_IsSummary]],MAX(INDEX(Tasks[_ShownFcstFinish],Tasks[[#This Row],[_Row]]+1):INDEX(Tasks[_ShownFcstFinish],Tasks[[#This Row],[_Row]]+Tasks[[#This Row],[_Descendants]])),Tasks[[#This Row],[_ShownFcstFinish]]))</f>
        <v/>
      </c>
      <c r="AA157" s="51" t="str">
        <f aca="false">IF(Tasks[[#This Row],[Task Name]]="","",IF(Tasks[[#This Row],[Progress]]&gt;=1,"Complete",IF(OR(N(Tasks[[#This Row],[Actual Start]])&gt;0,Tasks[[#This Row],[Progress]]&gt;0),IF(Tasks[[#This Row],[Finish Var]]&gt;0,"Behind","In Progress"),IF(Tasks[[#This Row],[Planned Start]]&lt;StatusDate,"Late Start","Not Started"))))</f>
        <v/>
      </c>
      <c r="AB157" s="51" t="str">
        <f aca="false">IF(Tasks[[#This Row],[Task Name]]="","",IF(IF(Tasks[[#This Row],[_IsSummary]],COUNTIF(INDEX(Tasks[_LeafCritical],Tasks[[#This Row],[_Row]]+1):INDEX(Tasks[_LeafCritical],Tasks[[#This Row],[_Row]]+Tasks[[#This Row],[_Descendants]]),TRUE())&gt;0,Tasks[[#This Row],[_LeafCritical]]),"Yes",""))</f>
        <v/>
      </c>
      <c r="AC15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7" s="51" t="str">
        <f aca="false">IF(Tasks[[#This Row],[Task Name]]="","",IF(Tasks[[#This Row],[_Level]]&lt;=OutlineShowLevel,"Yes","No"))</f>
        <v/>
      </c>
      <c r="AE157" s="7"/>
      <c r="AF157" s="52"/>
      <c r="AG157" s="53"/>
      <c r="AH157" s="7"/>
      <c r="AI15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7" s="31" t="str">
        <f aca="false">IF(Tasks[[#This Row],[Task Name]]="","",IF(N(Tasks[[#This Row],[Baseline Start]])&gt;0,Tasks[[#This Row],[Baseline Start]],Tasks[[#This Row],[_CalcStart]]))</f>
        <v/>
      </c>
      <c r="AK157" s="31" t="str">
        <f aca="false">IF(Tasks[[#This Row],[Task Name]]="","",IF(N(Tasks[[#This Row],[Baseline Finish]])&gt;0,Tasks[[#This Row],[Baseline Finish]],Tasks[[#This Row],[_CalcFinish]]))</f>
        <v/>
      </c>
      <c r="AL15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7" s="31" t="str">
        <f aca="false">IF(Tasks[[#This Row],[Task Name]]="","",IF(Tasks[[#This Row],[_IsSummary]],MIN(INDEX(Tasks[_LeafLateStart],Tasks[[#This Row],[_Row]]+1):INDEX(Tasks[_LeafLateStart],Tasks[[#This Row],[_Row]]+Tasks[[#This Row],[_Descendants]])),Tasks[[#This Row],[_LeafLateStart]]))</f>
        <v/>
      </c>
      <c r="AN157" s="31" t="str">
        <f aca="false">IF(Tasks[[#This Row],[Task Name]]="","",IF(Tasks[[#This Row],[_IsSummary]],MAX(INDEX(Tasks[_LeafLateFinish],Tasks[[#This Row],[_Row]]+1):INDEX(Tasks[_LeafLateFinish],Tasks[[#This Row],[_Row]]+Tasks[[#This Row],[_Descendants]])),Tasks[[#This Row],[_LeafLateFinish]]))</f>
        <v/>
      </c>
      <c r="AO157" s="51" t="str">
        <f aca="false">IF(Tasks[[#This Row],[Task Name]]="","",IF(Tasks[[#This Row],[_IsSummary]],MIN(INDEX(Tasks[_LeafTotalSlack],Tasks[[#This Row],[_Row]]+1):INDEX(Tasks[_LeafTotalSlack],Tasks[[#This Row],[_Row]]+Tasks[[#This Row],[_Descendants]])),Tasks[[#This Row],[_LeafTotalSlack]]))</f>
        <v/>
      </c>
      <c r="AP15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7" s="110" t="str">
        <f aca="false">IF(Tasks[[#This Row],[Task Name]]="","",IF(Tasks[[#This Row],[_IsSummary]],SUM(INDEX(Tasks[_LeafTotalWork],Tasks[[#This Row],[_Row]]+1):INDEX(Tasks[_LeafTotalWork],Tasks[[#This Row],[_Row]]+Tasks[[#This Row],[_Descendants]])),Tasks[[#This Row],[_LeafTotalWork]]))</f>
        <v/>
      </c>
      <c r="AV15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7" s="111" t="str">
        <f aca="false">IF(Tasks[[#This Row],[Task Name]]="","",IF(Tasks[[#This Row],[_IsSummary]],SUM(INDEX(Tasks[_LeafTotalCost],Tasks[[#This Row],[_Row]]+1):INDEX(Tasks[_LeafTotalCost],Tasks[[#This Row],[_Row]]+Tasks[[#This Row],[_Descendants]])),Tasks[[#This Row],[_LeafTotalCost]]))</f>
        <v/>
      </c>
      <c r="AY157" s="112"/>
      <c r="AZ15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7" s="52"/>
      <c r="BB157" s="98"/>
      <c r="BC157" s="51" t="str">
        <f aca="false">IF(OR(Tasks[[#This Row],[Task Name]]="",Tasks[[#This Row],[Baseline Duration]]=""),"",Tasks[[#This Row],[BL Source Duration]]-N(Tasks[[#This Row],[Baseline Duration]]))</f>
        <v/>
      </c>
      <c r="BD157" s="110" t="str">
        <f aca="false">IF(OR(Tasks[[#This Row],[Task Name]]="",Tasks[[#This Row],[Baseline Work]]=""),"",Tasks[[#This Row],[Work]]-N(Tasks[[#This Row],[Baseline Work]]))</f>
        <v/>
      </c>
      <c r="BE157" s="111" t="str">
        <f aca="false">IF(OR(Tasks[[#This Row],[Task Name]]="",Tasks[[#This Row],[Baseline Cost]]=""),"",Tasks[[#This Row],[Cost]]-N(Tasks[[#This Row],[Baseline Cost]]))</f>
        <v/>
      </c>
      <c r="BF157" s="31" t="str">
        <f aca="false">IF(Tasks[[#This Row],[Task Name]]="","",Tasks[[#This Row],[Forecast Start]])</f>
        <v/>
      </c>
      <c r="BG157" s="31" t="str">
        <f aca="false">IF(Tasks[[#This Row],[Task Name]]="","",Tasks[[#This Row],[Forecast Finish]])</f>
        <v/>
      </c>
      <c r="BH157" s="51" t="str">
        <f aca="false">IF(Tasks[[#This Row],[Task Name]]="","",IF(Tasks[[#This Row],[_IsSummary]],NETWORKDAYS.INTL(Tasks[[#This Row],[Forecast Start]],Tasks[[#This Row],[Forecast Finish]],WorkWeek,Holidays),N(Tasks[[#This Row],[Duration]])))</f>
        <v/>
      </c>
      <c r="BI157" s="110" t="str">
        <f aca="false">IF(Tasks[[#This Row],[Task Name]]="","",Tasks[[#This Row],[Work]])</f>
        <v/>
      </c>
      <c r="BJ157" s="111" t="str">
        <f aca="false">IF(Tasks[[#This Row],[Task Name]]="","",Tasks[[#This Row],[Cost]])</f>
        <v/>
      </c>
      <c r="BK157" s="7"/>
      <c r="BL157" s="7"/>
      <c r="BM157" s="52"/>
      <c r="BN157" s="113"/>
      <c r="BO157" s="112"/>
      <c r="BP157" s="111" t="str">
        <f aca="false">IF(Tasks[[#This Row],[Task Name]]="","",IF(Tasks[[#This Row],[_IsSummary]],SUM(INDEX(Tasks[_LeafEV],Tasks[[#This Row],[_Row]]+1):INDEX(Tasks[_LeafEV],Tasks[[#This Row],[_Row]]+Tasks[[#This Row],[_Descendants]])),Tasks[[#This Row],[_LeafEV]]))</f>
        <v/>
      </c>
      <c r="BQ157" s="111" t="str">
        <f aca="false">IF(Tasks[[#This Row],[Task Name]]="","",IF(Tasks[[#This Row],[_IsSummary]],SUM(INDEX(Tasks[_LeafBudget],Tasks[[#This Row],[_Row]]+1):INDEX(Tasks[_LeafBudget],Tasks[[#This Row],[_Row]]+Tasks[[#This Row],[_Descendants]])),Tasks[[#This Row],[_LeafBudget]]))</f>
        <v/>
      </c>
      <c r="BR157" s="111" t="str">
        <f aca="false">IF(Tasks[[#This Row],[Task Name]]="","",IF(Tasks[[#This Row],[_IsSummary]],SUM(INDEX(Tasks[_LeafPV],Tasks[[#This Row],[_Row]]+1):INDEX(Tasks[_LeafPV],Tasks[[#This Row],[_Row]]+Tasks[[#This Row],[_Descendants]])),Tasks[[#This Row],[_LeafPV]]))</f>
        <v/>
      </c>
      <c r="BS157" s="111" t="str">
        <f aca="false">IF(Tasks[[#This Row],[Task Name]]="","",IF(Tasks[[#This Row],[_IsSummary]],SUM(INDEX(Tasks[_LeafAC],Tasks[[#This Row],[_Row]]+1):INDEX(Tasks[_LeafAC],Tasks[[#This Row],[_Row]]+Tasks[[#This Row],[_Descendants]])),Tasks[[#This Row],[_LeafAC]]))</f>
        <v/>
      </c>
      <c r="BT157" s="38" t="str">
        <f aca="false">IF(Tasks[[#This Row],[Task Name]]="","",MAX(1,N(Tasks[[#This Row],[Level]])))</f>
        <v/>
      </c>
      <c r="BU157" s="38" t="n">
        <f aca="false">ROW()-ROW(Tasks[[#Headers],[ID]])</f>
        <v>152</v>
      </c>
      <c r="BV157" s="38" t="n">
        <f aca="false">IF(OR(Tasks[[#This Row],[Task Name]]="",Tasks[[#This Row],[_Level]]&lt;=1),0,IFERROR(LOOKUP(2,1/(Tasks[[#Headers],[_Level]]:Tasks[[#This Row],[_Level]]=Tasks[[#This Row],[_Level]]-1),ROW(Tasks[[#Headers],[_Level]]:Tasks[[#This Row],[_Level]])),0))</f>
        <v>0</v>
      </c>
      <c r="BW157" s="38" t="n">
        <f aca="false">IFERROR(N(INDEX(Tasks[_Level],Tasks[[#This Row],[_Row]]+1)),0)</f>
        <v>0</v>
      </c>
      <c r="BX157" s="114" t="b">
        <f aca="false">AND(Tasks[[#This Row],[Task Name]]&lt;&gt;"",Tasks[[#This Row],[_NextLevel]]&gt;Tasks[[#This Row],[_Level]])</f>
        <v>0</v>
      </c>
      <c r="BY157" s="38" t="n">
        <f aca="false">IF(Tasks[[#This Row],[_IsSummary]],COUNTIF(Tasks[WBS],Tasks[[#This Row],[WBS]]&amp;".*"),0)</f>
        <v>0</v>
      </c>
      <c r="BZ157" s="38" t="n">
        <f aca="false">IF(AND(Tasks[[#This Row],[Task Name]]&lt;&gt;"",NOT(Tasks[[#This Row],[_IsSummary]])),1,0)</f>
        <v>0</v>
      </c>
      <c r="CA157" s="38" t="n">
        <f aca="false">IF(N(Tasks[[#This Row],[Pred1 UID]])=0,0,IFERROR(MATCH(Tasks[[#This Row],[Pred1 UID]],Tasks[UID],0),-1))</f>
        <v>0</v>
      </c>
      <c r="CB157" s="38" t="n">
        <f aca="false">IF(N(Tasks[[#This Row],[Pred2 UID]])=0,0,IFERROR(MATCH(Tasks[[#This Row],[Pred2 UID]],Tasks[UID],0),-1))</f>
        <v>0</v>
      </c>
      <c r="CC157" s="38" t="n">
        <f aca="false">IF(N(Tasks[[#This Row],[Pred3 UID]])=0,0,IFERROR(MATCH(Tasks[[#This Row],[Pred3 UID]],Tasks[UID],0),-1))</f>
        <v>0</v>
      </c>
      <c r="CD157" s="38" t="n">
        <f aca="false">IF(N(Tasks[[#This Row],[Pred4 UID]])=0,0,IFERROR(MATCH(Tasks[[#This Row],[Pred4 UID]],Tasks[UID],0),-1))</f>
        <v>0</v>
      </c>
      <c r="CE15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7" s="115" t="n">
        <f aca="false">IF(OR(Tasks[[#This Row],[_ConstraintCode]]=2,Tasks[[#This Row],[_ConstraintCode]]=3,Tasks[[#This Row],[_ConstraintCode]]=4,Tasks[[#This Row],[_ConstraintCode]]=6),Tasks[[#This Row],[_ConstraintStart]],0)</f>
        <v>0</v>
      </c>
      <c r="CH157" s="115" t="n">
        <f aca="false">IF(OR(Tasks[[#This Row],[_ConstraintCode]]=2,Tasks[[#This Row],[_ConstraintCode]]=3,Tasks[[#This Row],[_ConstraintCode]]=5,Tasks[[#This Row],[_ConstraintCode]]=7),Tasks[[#This Row],[_ConstraintStart]],2958465)</f>
        <v>2958465</v>
      </c>
      <c r="CI15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7" s="115" t="str">
        <f aca="false">IF(NOT(Tasks[[#This Row],[_IsLeaf]]=1),"",IF(N(Tasks[[#This Row],[Duration]])&lt;=0,Tasks[[#This Row],[_LeafCalcStart]],WORKDAY.INTL(Tasks[[#This Row],[_LeafCalcStart]],Tasks[[#This Row],[Duration]]-1,WorkWeek,Holidays)))</f>
        <v/>
      </c>
      <c r="CK15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7" s="38" t="n">
        <f aca="false">IF(NOT(Tasks[[#This Row],[_IsLeaf]]=1),0,IF(N(Tasks[[#This Row],[Actual Finish]])&gt;0,1,MIN(1,N(Tasks[[#This Row],[% Complete]]))))</f>
        <v>0</v>
      </c>
      <c r="CN157" s="38" t="n">
        <f aca="false">IF(OR(NOT(Tasks[[#This Row],[_IsLeaf]]=1),Tasks[[#This Row],[Resource]]=""),0,N(Tasks[[#This Row],[Duration]])*HoursPerDay*IF(Tasks[[#This Row],[Units]]="",DefaultUnits,Tasks[[#This Row],[Units]]))</f>
        <v>0</v>
      </c>
      <c r="CO157" s="38" t="n">
        <f aca="false">IF(Tasks[[#This Row],[_LeafWork]]=0,0,Tasks[[#This Row],[_LeafWork]]*IFERROR(INDEX(res_Rate,MATCH(Tasks[[#This Row],[Resource]],res_Name,0)),0))</f>
        <v>0</v>
      </c>
      <c r="CP157" s="38" t="n">
        <f aca="false">Tasks[[#This Row],[_LeafWork]]+IF(Tasks[[#This Row],[_IsLeaf]]=1,SUMIFS(asg_Work,asg_TaskUID,Tasks[[#This Row],[UID]],asg_Valid,1),0)</f>
        <v>0</v>
      </c>
      <c r="CQ157" s="38" t="n">
        <f aca="false">Tasks[[#This Row],[_LeafCost]]+IF(Tasks[[#This Row],[_IsLeaf]]=1,SUMIFS(asg_Cost,asg_TaskUID,Tasks[[#This Row],[UID]],asg_Valid,1),0)</f>
        <v>0</v>
      </c>
      <c r="CR157" s="38" t="n">
        <f aca="false">IF(Tasks[[#This Row],[_LeafTotalCost]]=0,Tasks[[#This Row],[_LeafAC]],Tasks[[#This Row],[_LeafAC]]*Tasks[[#This Row],[_LeafCost]]/Tasks[[#This Row],[_LeafTotalCost]])</f>
        <v>0</v>
      </c>
      <c r="CS15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7" s="38" t="n">
        <f aca="false">IF(NOT(Tasks[[#This Row],[_IsLeaf]]=1),0,MAX(_xlfn.MAXIFS(Tasks[_Row],Tasks[Pred1 UID],Tasks[[#This Row],[UID]]),_xlfn.MAXIFS(Tasks[_Row],Tasks[Pred2 UID],Tasks[[#This Row],[UID]]),_xlfn.MAXIFS(Tasks[_Row],Tasks[Pred3 UID],Tasks[[#This Row],[UID]]),_xlfn.MAXIFS(Tasks[_Row],Tasks[Pred4 UID],Tasks[[#This Row],[UID]])))</f>
        <v>0</v>
      </c>
      <c r="DB15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7" s="115" t="str">
        <f aca="false">IF(NOT(Tasks[[#This Row],[_IsLeaf]]=1),"",IF(N(Tasks[[#This Row],[Duration]])&lt;=0,Tasks[[#This Row],[_LeafLateFinish]],WORKDAY.INTL(Tasks[[#This Row],[_LeafLateFinish]],-(Tasks[[#This Row],[Duration]]-1),WorkWeek,Holidays)))</f>
        <v/>
      </c>
      <c r="DE15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7" s="114" t="b">
        <f aca="false">AND(Tasks[[#This Row],[_IsLeaf]]=1,Tasks[[#This Row],[_LeafProgress]]&lt;1,N(Tasks[[#This Row],[_LeafTotalSlack]])&lt;=CriticalSlackDays)</f>
        <v>0</v>
      </c>
      <c r="DG157" s="38" t="n">
        <f aca="false">IF(AND(Tasks[[#This Row],[_IsLeaf]]=1,Tasks[[#This Row],[_ConstraintCode]]=1,Tasks[[#This Row],[Mode]]&lt;&gt;"Manual",N(Tasks[[#This Row],[Actual Start]])=0),MAX(0,N(Tasks[[#This Row],[Free Slack]])),0)</f>
        <v>0</v>
      </c>
      <c r="DH157" s="115" t="str">
        <f aca="false">IF(NOT(Tasks[[#This Row],[_IsLeaf]]=1),"",IF(Tasks[[#This Row],[_AlapShift]]=0,Tasks[[#This Row],[_LeafCalcStart]],WORKDAY.INTL(Tasks[[#This Row],[_LeafCalcStart]],Tasks[[#This Row],[_AlapShift]],WorkWeek,Holidays)))</f>
        <v/>
      </c>
      <c r="DI157" s="115" t="str">
        <f aca="false">IF(NOT(Tasks[[#This Row],[_IsLeaf]]=1),"",IF(Tasks[[#This Row],[_AlapShift]]=0,Tasks[[#This Row],[_LeafCalcFinish]],WORKDAY.INTL(Tasks[[#This Row],[_LeafCalcFinish]],Tasks[[#This Row],[_AlapShift]],WorkWeek,Holidays)))</f>
        <v/>
      </c>
      <c r="DJ157" s="115" t="str">
        <f aca="false">IF(NOT(Tasks[[#This Row],[_IsLeaf]]=1),"",IF(Tasks[[#This Row],[_AlapShift]]=0,Tasks[[#This Row],[_LeafFcstStart]],WORKDAY.INTL(Tasks[[#This Row],[_LeafFcstStart]],Tasks[[#This Row],[_AlapShift]],WorkWeek,Holidays)))</f>
        <v/>
      </c>
      <c r="DK157" s="115" t="str">
        <f aca="false">IF(NOT(Tasks[[#This Row],[_IsLeaf]]=1),"",IF(Tasks[[#This Row],[_AlapShift]]=0,Tasks[[#This Row],[_LeafFcstFinish]],WORKDAY.INTL(Tasks[[#This Row],[_LeafFcstFinish]],Tasks[[#This Row],[_AlapShift]],WorkWeek,Holidays)))</f>
        <v/>
      </c>
      <c r="DL157" s="115" t="str">
        <f aca="false">IF(Tasks[[#This Row],[Task Name]]="","",IF(Tasks[[#This Row],[_IsSummary]],MIN(INDEX(Tasks[_ShownCalcStart],Tasks[[#This Row],[_Row]]+1):INDEX(Tasks[_ShownCalcStart],Tasks[[#This Row],[_Row]]+Tasks[[#This Row],[_Descendants]])),Tasks[[#This Row],[_ShownCalcStart]]))</f>
        <v/>
      </c>
      <c r="DM157" s="115" t="str">
        <f aca="false">IF(Tasks[[#This Row],[Task Name]]="","",IF(Tasks[[#This Row],[_IsSummary]],MAX(INDEX(Tasks[_ShownCalcFinish],Tasks[[#This Row],[_Row]]+1):INDEX(Tasks[_ShownCalcFinish],Tasks[[#This Row],[_Row]]+Tasks[[#This Row],[_Descendants]])),Tasks[[#This Row],[_ShownCalcFinish]]))</f>
        <v/>
      </c>
      <c r="DN15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7" s="38" t="n">
        <f aca="false">IF(AND(Tasks[[#This Row],[_IsLeaf]]=1,Tasks[[#This Row],[_LeafTotalWork]]&gt;0),NETWORKDAYS.INTL(ProjectStart,Tasks[[#This Row],[_ShownFcstStart]],WorkWeek,Holidays),0)</f>
        <v>0</v>
      </c>
      <c r="EA157" s="38" t="n">
        <f aca="false">IF(AND(Tasks[[#This Row],[_IsLeaf]]=1,Tasks[[#This Row],[_LeafTotalWork]]&gt;0),MAX(Tasks[[#This Row],[_StartWorkday]],NETWORKDAYS.INTL(ProjectStart,Tasks[[#This Row],[_ShownFcstFinish]],WorkWeek,Holidays)),0)</f>
        <v>0</v>
      </c>
      <c r="EB157" s="38" t="n">
        <f aca="false">IF(AND(Tasks[[#This Row],[_IsLeaf]]=1,Tasks[[#This Row],[_LeafTotalWork]]&gt;0),Tasks[[#This Row],[_LeafWork]]/(Tasks[[#This Row],[_FinishWorkday]]-Tasks[[#This Row],[_StartWorkday]]+1),0)</f>
        <v>0</v>
      </c>
      <c r="EC157" s="38" t="n">
        <f aca="false">Tasks[[#This Row],[_WorkPerWorkday]]*(Tasks[[#This Row],[_StartWorkday]]-1)</f>
        <v>-0</v>
      </c>
      <c r="ED157" s="38" t="n">
        <f aca="false">IF(Tasks[[#This Row],[_IsLeaf]]=1,MAX(N(Tasks[[#This Row],[Duration]]),0.1),0)</f>
        <v>0</v>
      </c>
      <c r="EE157" s="38" t="n">
        <f aca="false">Tasks[[#This Row],[_WeightDur]]*Tasks[[#This Row],[_LeafProgress]]</f>
        <v>0</v>
      </c>
      <c r="EF15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7" s="38" t="str">
        <f aca="false">IF(AND(Tasks[[#This Row],[_IsLeaf]]=1,N(Tasks[[#This Row],[Duration]])=0,Tasks[[#This Row],[_LeafProgress]]&lt;1),Tasks[[#This Row],[_ShownFcstFinish]]+Tasks[[#This Row],[_Row]]/100000,"")</f>
        <v/>
      </c>
      <c r="EH15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7" s="38" t="n">
        <f aca="false">IF(NOT(Tasks[[#This Row],[_IsLeaf]]=1),0,IF(Tasks[[#This Row],[Baseline Cost]]="",Tasks[[#This Row],[_LeafTotalCost]],N(Tasks[[#This Row],[Baseline Cost]])))</f>
        <v>0</v>
      </c>
      <c r="EJ157" s="38" t="n">
        <f aca="false">Tasks[[#This Row],[_LeafBudget]]*Tasks[[#This Row],[_PlannedPct]]</f>
        <v>0</v>
      </c>
      <c r="EK157" s="38" t="n">
        <f aca="false">Tasks[[#This Row],[_LeafBudget]]*Tasks[[#This Row],[_LeafProgress]]</f>
        <v>0</v>
      </c>
      <c r="EL157" s="38" t="n">
        <f aca="false">IF(NOT(Tasks[[#This Row],[_IsLeaf]]=1),0,IF(Tasks[[#This Row],[Actual Cost]]="",Tasks[[#This Row],[_LeafTotalCost]]*Tasks[[#This Row],[_LeafProgress]],N(Tasks[[#This Row],[Actual Cost]])))</f>
        <v>0</v>
      </c>
      <c r="EM157" s="38" t="str">
        <f aca="false">IF(Tasks[[#This Row],[Task Name]]="","",LEFT(Tasks[[#This Row],[WBS]],FIND(".",Tasks[[#This Row],[WBS]]&amp;".")-1))</f>
        <v/>
      </c>
      <c r="EN157" s="38" t="str">
        <f aca="false">IF(AND(Tasks[[#This Row],[Task Name]]&lt;&gt;"",Tasks[[#This Row],[_Level]]=1),Tasks[[#This Row],[_Row]],"")</f>
        <v/>
      </c>
      <c r="EO157" s="38" t="str">
        <f aca="false">IF(AND(Tasks[[#This Row],[_IsLeaf]]=1,N(Tasks[[#This Row],[Duration]])=0),Tasks[[#This Row],[Planned Finish]]+Tasks[[#This Row],[_Row]]/100000,"")</f>
        <v/>
      </c>
      <c r="EP157" s="38" t="str">
        <f aca="false">IF(AND(Tasks[[#This Row],[_IsLeaf]]=1,Tasks[[#This Row],[_LeafProgress]]&lt;1,OR(N(Tasks[[#This Row],[Finish Var]])&gt;0,Tasks[[#This Row],[Status]]="Late Start")),MAX(0,Tasks[[#This Row],[Finish Var]])+1-Tasks[[#This Row],[_Row]]/1000000,"")</f>
        <v/>
      </c>
      <c r="EQ157" s="38" t="str">
        <f aca="false">IF(AND(Tasks[[#This Row],[_IsLeaf]]=1,N(Tasks[[#This Row],[Actual Start]])=0,Tasks[[#This Row],[_ShownFcstStart]]&gt;=StatusDate,Tasks[[#This Row],[_ShownFcstStart]]&lt;=LookaheadEnd),Tasks[[#This Row],[_ShownFcstStart]]+Tasks[[#This Row],[_Row]]/100000,"")</f>
        <v/>
      </c>
      <c r="ER157" s="38" t="str">
        <f aca="false">IF(AND(Tasks[[#This Row],[_IsLeaf]]=1,Tasks[[#This Row],[_LeafProgress]]&lt;1,Tasks[[#This Row],[_ShownFcstFinish]]&gt;=StatusDate,Tasks[[#This Row],[_ShownFcstFinish]]&lt;=LookaheadEnd),Tasks[[#This Row],[_ShownFcstFinish]]+Tasks[[#This Row],[_Row]]/100000,"")</f>
        <v/>
      </c>
      <c r="ES157" s="38" t="str">
        <f aca="false">IF(Tasks[[#This Row],[_LeafCritical]],Tasks[[#This Row],[_ShownFcstStart]]+Tasks[[#This Row],[_Row]]/100000,"")</f>
        <v/>
      </c>
      <c r="ET157" s="38" t="n">
        <f aca="false">Tasks[[#This Row],[_LeafWork]]*Tasks[[#This Row],[_LeafProgress]]</f>
        <v>0</v>
      </c>
      <c r="EU157" s="115" t="str">
        <f aca="false">IF(AND(Tasks[[#This Row],[_IsLeaf]]=1,Tasks[[#This Row],[_LeafProgress]]&gt;=1),IF(N(Tasks[[#This Row],[Actual Finish]])&gt;0,Tasks[[#This Row],[Actual Finish]],Tasks[[#This Row],[_ShownFcstFinish]]),"")</f>
        <v/>
      </c>
      <c r="EV157" s="38" t="n">
        <f aca="false">IF(Tasks[[#This Row],[_IsLeaf]]=1,N(Tasks[[#This Row],[Story Points]]),0)</f>
        <v>0</v>
      </c>
      <c r="EW157" s="38" t="str">
        <f aca="false">IF(AND(Tasks[[#This Row],[_IsLeaf]]=1,CurrentSprint&lt;&gt;"",Tasks[[#This Row],[Sprint]]=CurrentSprint),Tasks[[#This Row],[_Row]],"")</f>
        <v/>
      </c>
    </row>
    <row r="158" customFormat="false" ht="15" hidden="false" customHeight="false" outlineLevel="0" collapsed="false">
      <c r="A158" s="51" t="str">
        <f aca="false">IF(Tasks[[#This Row],[Task Name]]="","",COUNTA(Tasks[[#Headers],[Task Name]]:Tasks[[#This Row],[Task Name]])-1)</f>
        <v/>
      </c>
      <c r="B158" s="52" t="n">
        <v>153</v>
      </c>
      <c r="C15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52"/>
      <c r="E158" s="53"/>
      <c r="F158" s="52"/>
      <c r="G158" s="52"/>
      <c r="H158" s="52"/>
      <c r="I158" s="52"/>
      <c r="J158" s="52"/>
      <c r="K158" s="52"/>
      <c r="L158" s="52"/>
      <c r="M158" s="52"/>
      <c r="N158" s="52"/>
      <c r="O158" s="52"/>
      <c r="P158" s="52"/>
      <c r="Q158" s="52"/>
      <c r="R158" s="52"/>
      <c r="S158" s="53"/>
      <c r="T158" s="102"/>
      <c r="U158" s="102"/>
      <c r="V158" s="7"/>
      <c r="W158" s="7"/>
      <c r="X158" s="53"/>
      <c r="Y158" s="31" t="str">
        <f aca="false">IF(Tasks[[#This Row],[Task Name]]="","",IF(Tasks[[#This Row],[_IsSummary]],MIN(INDEX(Tasks[_ShownFcstStart],Tasks[[#This Row],[_Row]]+1):INDEX(Tasks[_ShownFcstStart],Tasks[[#This Row],[_Row]]+Tasks[[#This Row],[_Descendants]])),Tasks[[#This Row],[_ShownFcstStart]]))</f>
        <v/>
      </c>
      <c r="Z158" s="31" t="str">
        <f aca="false">IF(Tasks[[#This Row],[Task Name]]="","",IF(Tasks[[#This Row],[_IsSummary]],MAX(INDEX(Tasks[_ShownFcstFinish],Tasks[[#This Row],[_Row]]+1):INDEX(Tasks[_ShownFcstFinish],Tasks[[#This Row],[_Row]]+Tasks[[#This Row],[_Descendants]])),Tasks[[#This Row],[_ShownFcstFinish]]))</f>
        <v/>
      </c>
      <c r="AA158" s="51" t="str">
        <f aca="false">IF(Tasks[[#This Row],[Task Name]]="","",IF(Tasks[[#This Row],[Progress]]&gt;=1,"Complete",IF(OR(N(Tasks[[#This Row],[Actual Start]])&gt;0,Tasks[[#This Row],[Progress]]&gt;0),IF(Tasks[[#This Row],[Finish Var]]&gt;0,"Behind","In Progress"),IF(Tasks[[#This Row],[Planned Start]]&lt;StatusDate,"Late Start","Not Started"))))</f>
        <v/>
      </c>
      <c r="AB158" s="51" t="str">
        <f aca="false">IF(Tasks[[#This Row],[Task Name]]="","",IF(IF(Tasks[[#This Row],[_IsSummary]],COUNTIF(INDEX(Tasks[_LeafCritical],Tasks[[#This Row],[_Row]]+1):INDEX(Tasks[_LeafCritical],Tasks[[#This Row],[_Row]]+Tasks[[#This Row],[_Descendants]]),TRUE())&gt;0,Tasks[[#This Row],[_LeafCritical]]),"Yes",""))</f>
        <v/>
      </c>
      <c r="AC15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8" s="51" t="str">
        <f aca="false">IF(Tasks[[#This Row],[Task Name]]="","",IF(Tasks[[#This Row],[_Level]]&lt;=OutlineShowLevel,"Yes","No"))</f>
        <v/>
      </c>
      <c r="AE158" s="7"/>
      <c r="AF158" s="52"/>
      <c r="AG158" s="53"/>
      <c r="AH158" s="7"/>
      <c r="AI15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8" s="31" t="str">
        <f aca="false">IF(Tasks[[#This Row],[Task Name]]="","",IF(N(Tasks[[#This Row],[Baseline Start]])&gt;0,Tasks[[#This Row],[Baseline Start]],Tasks[[#This Row],[_CalcStart]]))</f>
        <v/>
      </c>
      <c r="AK158" s="31" t="str">
        <f aca="false">IF(Tasks[[#This Row],[Task Name]]="","",IF(N(Tasks[[#This Row],[Baseline Finish]])&gt;0,Tasks[[#This Row],[Baseline Finish]],Tasks[[#This Row],[_CalcFinish]]))</f>
        <v/>
      </c>
      <c r="AL15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8" s="31" t="str">
        <f aca="false">IF(Tasks[[#This Row],[Task Name]]="","",IF(Tasks[[#This Row],[_IsSummary]],MIN(INDEX(Tasks[_LeafLateStart],Tasks[[#This Row],[_Row]]+1):INDEX(Tasks[_LeafLateStart],Tasks[[#This Row],[_Row]]+Tasks[[#This Row],[_Descendants]])),Tasks[[#This Row],[_LeafLateStart]]))</f>
        <v/>
      </c>
      <c r="AN158" s="31" t="str">
        <f aca="false">IF(Tasks[[#This Row],[Task Name]]="","",IF(Tasks[[#This Row],[_IsSummary]],MAX(INDEX(Tasks[_LeafLateFinish],Tasks[[#This Row],[_Row]]+1):INDEX(Tasks[_LeafLateFinish],Tasks[[#This Row],[_Row]]+Tasks[[#This Row],[_Descendants]])),Tasks[[#This Row],[_LeafLateFinish]]))</f>
        <v/>
      </c>
      <c r="AO158" s="51" t="str">
        <f aca="false">IF(Tasks[[#This Row],[Task Name]]="","",IF(Tasks[[#This Row],[_IsSummary]],MIN(INDEX(Tasks[_LeafTotalSlack],Tasks[[#This Row],[_Row]]+1):INDEX(Tasks[_LeafTotalSlack],Tasks[[#This Row],[_Row]]+Tasks[[#This Row],[_Descendants]])),Tasks[[#This Row],[_LeafTotalSlack]]))</f>
        <v/>
      </c>
      <c r="AP15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8" s="110" t="str">
        <f aca="false">IF(Tasks[[#This Row],[Task Name]]="","",IF(Tasks[[#This Row],[_IsSummary]],SUM(INDEX(Tasks[_LeafTotalWork],Tasks[[#This Row],[_Row]]+1):INDEX(Tasks[_LeafTotalWork],Tasks[[#This Row],[_Row]]+Tasks[[#This Row],[_Descendants]])),Tasks[[#This Row],[_LeafTotalWork]]))</f>
        <v/>
      </c>
      <c r="AV15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8" s="111" t="str">
        <f aca="false">IF(Tasks[[#This Row],[Task Name]]="","",IF(Tasks[[#This Row],[_IsSummary]],SUM(INDEX(Tasks[_LeafTotalCost],Tasks[[#This Row],[_Row]]+1):INDEX(Tasks[_LeafTotalCost],Tasks[[#This Row],[_Row]]+Tasks[[#This Row],[_Descendants]])),Tasks[[#This Row],[_LeafTotalCost]]))</f>
        <v/>
      </c>
      <c r="AY158" s="112"/>
      <c r="AZ15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8" s="52"/>
      <c r="BB158" s="98"/>
      <c r="BC158" s="51" t="str">
        <f aca="false">IF(OR(Tasks[[#This Row],[Task Name]]="",Tasks[[#This Row],[Baseline Duration]]=""),"",Tasks[[#This Row],[BL Source Duration]]-N(Tasks[[#This Row],[Baseline Duration]]))</f>
        <v/>
      </c>
      <c r="BD158" s="110" t="str">
        <f aca="false">IF(OR(Tasks[[#This Row],[Task Name]]="",Tasks[[#This Row],[Baseline Work]]=""),"",Tasks[[#This Row],[Work]]-N(Tasks[[#This Row],[Baseline Work]]))</f>
        <v/>
      </c>
      <c r="BE158" s="111" t="str">
        <f aca="false">IF(OR(Tasks[[#This Row],[Task Name]]="",Tasks[[#This Row],[Baseline Cost]]=""),"",Tasks[[#This Row],[Cost]]-N(Tasks[[#This Row],[Baseline Cost]]))</f>
        <v/>
      </c>
      <c r="BF158" s="31" t="str">
        <f aca="false">IF(Tasks[[#This Row],[Task Name]]="","",Tasks[[#This Row],[Forecast Start]])</f>
        <v/>
      </c>
      <c r="BG158" s="31" t="str">
        <f aca="false">IF(Tasks[[#This Row],[Task Name]]="","",Tasks[[#This Row],[Forecast Finish]])</f>
        <v/>
      </c>
      <c r="BH158" s="51" t="str">
        <f aca="false">IF(Tasks[[#This Row],[Task Name]]="","",IF(Tasks[[#This Row],[_IsSummary]],NETWORKDAYS.INTL(Tasks[[#This Row],[Forecast Start]],Tasks[[#This Row],[Forecast Finish]],WorkWeek,Holidays),N(Tasks[[#This Row],[Duration]])))</f>
        <v/>
      </c>
      <c r="BI158" s="110" t="str">
        <f aca="false">IF(Tasks[[#This Row],[Task Name]]="","",Tasks[[#This Row],[Work]])</f>
        <v/>
      </c>
      <c r="BJ158" s="111" t="str">
        <f aca="false">IF(Tasks[[#This Row],[Task Name]]="","",Tasks[[#This Row],[Cost]])</f>
        <v/>
      </c>
      <c r="BK158" s="7"/>
      <c r="BL158" s="7"/>
      <c r="BM158" s="52"/>
      <c r="BN158" s="113"/>
      <c r="BO158" s="112"/>
      <c r="BP158" s="111" t="str">
        <f aca="false">IF(Tasks[[#This Row],[Task Name]]="","",IF(Tasks[[#This Row],[_IsSummary]],SUM(INDEX(Tasks[_LeafEV],Tasks[[#This Row],[_Row]]+1):INDEX(Tasks[_LeafEV],Tasks[[#This Row],[_Row]]+Tasks[[#This Row],[_Descendants]])),Tasks[[#This Row],[_LeafEV]]))</f>
        <v/>
      </c>
      <c r="BQ158" s="111" t="str">
        <f aca="false">IF(Tasks[[#This Row],[Task Name]]="","",IF(Tasks[[#This Row],[_IsSummary]],SUM(INDEX(Tasks[_LeafBudget],Tasks[[#This Row],[_Row]]+1):INDEX(Tasks[_LeafBudget],Tasks[[#This Row],[_Row]]+Tasks[[#This Row],[_Descendants]])),Tasks[[#This Row],[_LeafBudget]]))</f>
        <v/>
      </c>
      <c r="BR158" s="111" t="str">
        <f aca="false">IF(Tasks[[#This Row],[Task Name]]="","",IF(Tasks[[#This Row],[_IsSummary]],SUM(INDEX(Tasks[_LeafPV],Tasks[[#This Row],[_Row]]+1):INDEX(Tasks[_LeafPV],Tasks[[#This Row],[_Row]]+Tasks[[#This Row],[_Descendants]])),Tasks[[#This Row],[_LeafPV]]))</f>
        <v/>
      </c>
      <c r="BS158" s="111" t="str">
        <f aca="false">IF(Tasks[[#This Row],[Task Name]]="","",IF(Tasks[[#This Row],[_IsSummary]],SUM(INDEX(Tasks[_LeafAC],Tasks[[#This Row],[_Row]]+1):INDEX(Tasks[_LeafAC],Tasks[[#This Row],[_Row]]+Tasks[[#This Row],[_Descendants]])),Tasks[[#This Row],[_LeafAC]]))</f>
        <v/>
      </c>
      <c r="BT158" s="38" t="str">
        <f aca="false">IF(Tasks[[#This Row],[Task Name]]="","",MAX(1,N(Tasks[[#This Row],[Level]])))</f>
        <v/>
      </c>
      <c r="BU158" s="38" t="n">
        <f aca="false">ROW()-ROW(Tasks[[#Headers],[ID]])</f>
        <v>153</v>
      </c>
      <c r="BV158" s="38" t="n">
        <f aca="false">IF(OR(Tasks[[#This Row],[Task Name]]="",Tasks[[#This Row],[_Level]]&lt;=1),0,IFERROR(LOOKUP(2,1/(Tasks[[#Headers],[_Level]]:Tasks[[#This Row],[_Level]]=Tasks[[#This Row],[_Level]]-1),ROW(Tasks[[#Headers],[_Level]]:Tasks[[#This Row],[_Level]])),0))</f>
        <v>0</v>
      </c>
      <c r="BW158" s="38" t="n">
        <f aca="false">IFERROR(N(INDEX(Tasks[_Level],Tasks[[#This Row],[_Row]]+1)),0)</f>
        <v>0</v>
      </c>
      <c r="BX158" s="114" t="b">
        <f aca="false">AND(Tasks[[#This Row],[Task Name]]&lt;&gt;"",Tasks[[#This Row],[_NextLevel]]&gt;Tasks[[#This Row],[_Level]])</f>
        <v>0</v>
      </c>
      <c r="BY158" s="38" t="n">
        <f aca="false">IF(Tasks[[#This Row],[_IsSummary]],COUNTIF(Tasks[WBS],Tasks[[#This Row],[WBS]]&amp;".*"),0)</f>
        <v>0</v>
      </c>
      <c r="BZ158" s="38" t="n">
        <f aca="false">IF(AND(Tasks[[#This Row],[Task Name]]&lt;&gt;"",NOT(Tasks[[#This Row],[_IsSummary]])),1,0)</f>
        <v>0</v>
      </c>
      <c r="CA158" s="38" t="n">
        <f aca="false">IF(N(Tasks[[#This Row],[Pred1 UID]])=0,0,IFERROR(MATCH(Tasks[[#This Row],[Pred1 UID]],Tasks[UID],0),-1))</f>
        <v>0</v>
      </c>
      <c r="CB158" s="38" t="n">
        <f aca="false">IF(N(Tasks[[#This Row],[Pred2 UID]])=0,0,IFERROR(MATCH(Tasks[[#This Row],[Pred2 UID]],Tasks[UID],0),-1))</f>
        <v>0</v>
      </c>
      <c r="CC158" s="38" t="n">
        <f aca="false">IF(N(Tasks[[#This Row],[Pred3 UID]])=0,0,IFERROR(MATCH(Tasks[[#This Row],[Pred3 UID]],Tasks[UID],0),-1))</f>
        <v>0</v>
      </c>
      <c r="CD158" s="38" t="n">
        <f aca="false">IF(N(Tasks[[#This Row],[Pred4 UID]])=0,0,IFERROR(MATCH(Tasks[[#This Row],[Pred4 UID]],Tasks[UID],0),-1))</f>
        <v>0</v>
      </c>
      <c r="CE15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8" s="115" t="n">
        <f aca="false">IF(OR(Tasks[[#This Row],[_ConstraintCode]]=2,Tasks[[#This Row],[_ConstraintCode]]=3,Tasks[[#This Row],[_ConstraintCode]]=4,Tasks[[#This Row],[_ConstraintCode]]=6),Tasks[[#This Row],[_ConstraintStart]],0)</f>
        <v>0</v>
      </c>
      <c r="CH158" s="115" t="n">
        <f aca="false">IF(OR(Tasks[[#This Row],[_ConstraintCode]]=2,Tasks[[#This Row],[_ConstraintCode]]=3,Tasks[[#This Row],[_ConstraintCode]]=5,Tasks[[#This Row],[_ConstraintCode]]=7),Tasks[[#This Row],[_ConstraintStart]],2958465)</f>
        <v>2958465</v>
      </c>
      <c r="CI15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8" s="115" t="str">
        <f aca="false">IF(NOT(Tasks[[#This Row],[_IsLeaf]]=1),"",IF(N(Tasks[[#This Row],[Duration]])&lt;=0,Tasks[[#This Row],[_LeafCalcStart]],WORKDAY.INTL(Tasks[[#This Row],[_LeafCalcStart]],Tasks[[#This Row],[Duration]]-1,WorkWeek,Holidays)))</f>
        <v/>
      </c>
      <c r="CK15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8" s="38" t="n">
        <f aca="false">IF(NOT(Tasks[[#This Row],[_IsLeaf]]=1),0,IF(N(Tasks[[#This Row],[Actual Finish]])&gt;0,1,MIN(1,N(Tasks[[#This Row],[% Complete]]))))</f>
        <v>0</v>
      </c>
      <c r="CN158" s="38" t="n">
        <f aca="false">IF(OR(NOT(Tasks[[#This Row],[_IsLeaf]]=1),Tasks[[#This Row],[Resource]]=""),0,N(Tasks[[#This Row],[Duration]])*HoursPerDay*IF(Tasks[[#This Row],[Units]]="",DefaultUnits,Tasks[[#This Row],[Units]]))</f>
        <v>0</v>
      </c>
      <c r="CO158" s="38" t="n">
        <f aca="false">IF(Tasks[[#This Row],[_LeafWork]]=0,0,Tasks[[#This Row],[_LeafWork]]*IFERROR(INDEX(res_Rate,MATCH(Tasks[[#This Row],[Resource]],res_Name,0)),0))</f>
        <v>0</v>
      </c>
      <c r="CP158" s="38" t="n">
        <f aca="false">Tasks[[#This Row],[_LeafWork]]+IF(Tasks[[#This Row],[_IsLeaf]]=1,SUMIFS(asg_Work,asg_TaskUID,Tasks[[#This Row],[UID]],asg_Valid,1),0)</f>
        <v>0</v>
      </c>
      <c r="CQ158" s="38" t="n">
        <f aca="false">Tasks[[#This Row],[_LeafCost]]+IF(Tasks[[#This Row],[_IsLeaf]]=1,SUMIFS(asg_Cost,asg_TaskUID,Tasks[[#This Row],[UID]],asg_Valid,1),0)</f>
        <v>0</v>
      </c>
      <c r="CR158" s="38" t="n">
        <f aca="false">IF(Tasks[[#This Row],[_LeafTotalCost]]=0,Tasks[[#This Row],[_LeafAC]],Tasks[[#This Row],[_LeafAC]]*Tasks[[#This Row],[_LeafCost]]/Tasks[[#This Row],[_LeafTotalCost]])</f>
        <v>0</v>
      </c>
      <c r="CS15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8" s="38" t="n">
        <f aca="false">IF(NOT(Tasks[[#This Row],[_IsLeaf]]=1),0,MAX(_xlfn.MAXIFS(Tasks[_Row],Tasks[Pred1 UID],Tasks[[#This Row],[UID]]),_xlfn.MAXIFS(Tasks[_Row],Tasks[Pred2 UID],Tasks[[#This Row],[UID]]),_xlfn.MAXIFS(Tasks[_Row],Tasks[Pred3 UID],Tasks[[#This Row],[UID]]),_xlfn.MAXIFS(Tasks[_Row],Tasks[Pred4 UID],Tasks[[#This Row],[UID]])))</f>
        <v>0</v>
      </c>
      <c r="DB15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8" s="115" t="str">
        <f aca="false">IF(NOT(Tasks[[#This Row],[_IsLeaf]]=1),"",IF(N(Tasks[[#This Row],[Duration]])&lt;=0,Tasks[[#This Row],[_LeafLateFinish]],WORKDAY.INTL(Tasks[[#This Row],[_LeafLateFinish]],-(Tasks[[#This Row],[Duration]]-1),WorkWeek,Holidays)))</f>
        <v/>
      </c>
      <c r="DE15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8" s="114" t="b">
        <f aca="false">AND(Tasks[[#This Row],[_IsLeaf]]=1,Tasks[[#This Row],[_LeafProgress]]&lt;1,N(Tasks[[#This Row],[_LeafTotalSlack]])&lt;=CriticalSlackDays)</f>
        <v>0</v>
      </c>
      <c r="DG158" s="38" t="n">
        <f aca="false">IF(AND(Tasks[[#This Row],[_IsLeaf]]=1,Tasks[[#This Row],[_ConstraintCode]]=1,Tasks[[#This Row],[Mode]]&lt;&gt;"Manual",N(Tasks[[#This Row],[Actual Start]])=0),MAX(0,N(Tasks[[#This Row],[Free Slack]])),0)</f>
        <v>0</v>
      </c>
      <c r="DH158" s="115" t="str">
        <f aca="false">IF(NOT(Tasks[[#This Row],[_IsLeaf]]=1),"",IF(Tasks[[#This Row],[_AlapShift]]=0,Tasks[[#This Row],[_LeafCalcStart]],WORKDAY.INTL(Tasks[[#This Row],[_LeafCalcStart]],Tasks[[#This Row],[_AlapShift]],WorkWeek,Holidays)))</f>
        <v/>
      </c>
      <c r="DI158" s="115" t="str">
        <f aca="false">IF(NOT(Tasks[[#This Row],[_IsLeaf]]=1),"",IF(Tasks[[#This Row],[_AlapShift]]=0,Tasks[[#This Row],[_LeafCalcFinish]],WORKDAY.INTL(Tasks[[#This Row],[_LeafCalcFinish]],Tasks[[#This Row],[_AlapShift]],WorkWeek,Holidays)))</f>
        <v/>
      </c>
      <c r="DJ158" s="115" t="str">
        <f aca="false">IF(NOT(Tasks[[#This Row],[_IsLeaf]]=1),"",IF(Tasks[[#This Row],[_AlapShift]]=0,Tasks[[#This Row],[_LeafFcstStart]],WORKDAY.INTL(Tasks[[#This Row],[_LeafFcstStart]],Tasks[[#This Row],[_AlapShift]],WorkWeek,Holidays)))</f>
        <v/>
      </c>
      <c r="DK158" s="115" t="str">
        <f aca="false">IF(NOT(Tasks[[#This Row],[_IsLeaf]]=1),"",IF(Tasks[[#This Row],[_AlapShift]]=0,Tasks[[#This Row],[_LeafFcstFinish]],WORKDAY.INTL(Tasks[[#This Row],[_LeafFcstFinish]],Tasks[[#This Row],[_AlapShift]],WorkWeek,Holidays)))</f>
        <v/>
      </c>
      <c r="DL158" s="115" t="str">
        <f aca="false">IF(Tasks[[#This Row],[Task Name]]="","",IF(Tasks[[#This Row],[_IsSummary]],MIN(INDEX(Tasks[_ShownCalcStart],Tasks[[#This Row],[_Row]]+1):INDEX(Tasks[_ShownCalcStart],Tasks[[#This Row],[_Row]]+Tasks[[#This Row],[_Descendants]])),Tasks[[#This Row],[_ShownCalcStart]]))</f>
        <v/>
      </c>
      <c r="DM158" s="115" t="str">
        <f aca="false">IF(Tasks[[#This Row],[Task Name]]="","",IF(Tasks[[#This Row],[_IsSummary]],MAX(INDEX(Tasks[_ShownCalcFinish],Tasks[[#This Row],[_Row]]+1):INDEX(Tasks[_ShownCalcFinish],Tasks[[#This Row],[_Row]]+Tasks[[#This Row],[_Descendants]])),Tasks[[#This Row],[_ShownCalcFinish]]))</f>
        <v/>
      </c>
      <c r="DN15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8" s="38" t="n">
        <f aca="false">IF(AND(Tasks[[#This Row],[_IsLeaf]]=1,Tasks[[#This Row],[_LeafTotalWork]]&gt;0),NETWORKDAYS.INTL(ProjectStart,Tasks[[#This Row],[_ShownFcstStart]],WorkWeek,Holidays),0)</f>
        <v>0</v>
      </c>
      <c r="EA158" s="38" t="n">
        <f aca="false">IF(AND(Tasks[[#This Row],[_IsLeaf]]=1,Tasks[[#This Row],[_LeafTotalWork]]&gt;0),MAX(Tasks[[#This Row],[_StartWorkday]],NETWORKDAYS.INTL(ProjectStart,Tasks[[#This Row],[_ShownFcstFinish]],WorkWeek,Holidays)),0)</f>
        <v>0</v>
      </c>
      <c r="EB158" s="38" t="n">
        <f aca="false">IF(AND(Tasks[[#This Row],[_IsLeaf]]=1,Tasks[[#This Row],[_LeafTotalWork]]&gt;0),Tasks[[#This Row],[_LeafWork]]/(Tasks[[#This Row],[_FinishWorkday]]-Tasks[[#This Row],[_StartWorkday]]+1),0)</f>
        <v>0</v>
      </c>
      <c r="EC158" s="38" t="n">
        <f aca="false">Tasks[[#This Row],[_WorkPerWorkday]]*(Tasks[[#This Row],[_StartWorkday]]-1)</f>
        <v>-0</v>
      </c>
      <c r="ED158" s="38" t="n">
        <f aca="false">IF(Tasks[[#This Row],[_IsLeaf]]=1,MAX(N(Tasks[[#This Row],[Duration]]),0.1),0)</f>
        <v>0</v>
      </c>
      <c r="EE158" s="38" t="n">
        <f aca="false">Tasks[[#This Row],[_WeightDur]]*Tasks[[#This Row],[_LeafProgress]]</f>
        <v>0</v>
      </c>
      <c r="EF15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8" s="38" t="str">
        <f aca="false">IF(AND(Tasks[[#This Row],[_IsLeaf]]=1,N(Tasks[[#This Row],[Duration]])=0,Tasks[[#This Row],[_LeafProgress]]&lt;1),Tasks[[#This Row],[_ShownFcstFinish]]+Tasks[[#This Row],[_Row]]/100000,"")</f>
        <v/>
      </c>
      <c r="EH15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8" s="38" t="n">
        <f aca="false">IF(NOT(Tasks[[#This Row],[_IsLeaf]]=1),0,IF(Tasks[[#This Row],[Baseline Cost]]="",Tasks[[#This Row],[_LeafTotalCost]],N(Tasks[[#This Row],[Baseline Cost]])))</f>
        <v>0</v>
      </c>
      <c r="EJ158" s="38" t="n">
        <f aca="false">Tasks[[#This Row],[_LeafBudget]]*Tasks[[#This Row],[_PlannedPct]]</f>
        <v>0</v>
      </c>
      <c r="EK158" s="38" t="n">
        <f aca="false">Tasks[[#This Row],[_LeafBudget]]*Tasks[[#This Row],[_LeafProgress]]</f>
        <v>0</v>
      </c>
      <c r="EL158" s="38" t="n">
        <f aca="false">IF(NOT(Tasks[[#This Row],[_IsLeaf]]=1),0,IF(Tasks[[#This Row],[Actual Cost]]="",Tasks[[#This Row],[_LeafTotalCost]]*Tasks[[#This Row],[_LeafProgress]],N(Tasks[[#This Row],[Actual Cost]])))</f>
        <v>0</v>
      </c>
      <c r="EM158" s="38" t="str">
        <f aca="false">IF(Tasks[[#This Row],[Task Name]]="","",LEFT(Tasks[[#This Row],[WBS]],FIND(".",Tasks[[#This Row],[WBS]]&amp;".")-1))</f>
        <v/>
      </c>
      <c r="EN158" s="38" t="str">
        <f aca="false">IF(AND(Tasks[[#This Row],[Task Name]]&lt;&gt;"",Tasks[[#This Row],[_Level]]=1),Tasks[[#This Row],[_Row]],"")</f>
        <v/>
      </c>
      <c r="EO158" s="38" t="str">
        <f aca="false">IF(AND(Tasks[[#This Row],[_IsLeaf]]=1,N(Tasks[[#This Row],[Duration]])=0),Tasks[[#This Row],[Planned Finish]]+Tasks[[#This Row],[_Row]]/100000,"")</f>
        <v/>
      </c>
      <c r="EP158" s="38" t="str">
        <f aca="false">IF(AND(Tasks[[#This Row],[_IsLeaf]]=1,Tasks[[#This Row],[_LeafProgress]]&lt;1,OR(N(Tasks[[#This Row],[Finish Var]])&gt;0,Tasks[[#This Row],[Status]]="Late Start")),MAX(0,Tasks[[#This Row],[Finish Var]])+1-Tasks[[#This Row],[_Row]]/1000000,"")</f>
        <v/>
      </c>
      <c r="EQ158" s="38" t="str">
        <f aca="false">IF(AND(Tasks[[#This Row],[_IsLeaf]]=1,N(Tasks[[#This Row],[Actual Start]])=0,Tasks[[#This Row],[_ShownFcstStart]]&gt;=StatusDate,Tasks[[#This Row],[_ShownFcstStart]]&lt;=LookaheadEnd),Tasks[[#This Row],[_ShownFcstStart]]+Tasks[[#This Row],[_Row]]/100000,"")</f>
        <v/>
      </c>
      <c r="ER158" s="38" t="str">
        <f aca="false">IF(AND(Tasks[[#This Row],[_IsLeaf]]=1,Tasks[[#This Row],[_LeafProgress]]&lt;1,Tasks[[#This Row],[_ShownFcstFinish]]&gt;=StatusDate,Tasks[[#This Row],[_ShownFcstFinish]]&lt;=LookaheadEnd),Tasks[[#This Row],[_ShownFcstFinish]]+Tasks[[#This Row],[_Row]]/100000,"")</f>
        <v/>
      </c>
      <c r="ES158" s="38" t="str">
        <f aca="false">IF(Tasks[[#This Row],[_LeafCritical]],Tasks[[#This Row],[_ShownFcstStart]]+Tasks[[#This Row],[_Row]]/100000,"")</f>
        <v/>
      </c>
      <c r="ET158" s="38" t="n">
        <f aca="false">Tasks[[#This Row],[_LeafWork]]*Tasks[[#This Row],[_LeafProgress]]</f>
        <v>0</v>
      </c>
      <c r="EU158" s="115" t="str">
        <f aca="false">IF(AND(Tasks[[#This Row],[_IsLeaf]]=1,Tasks[[#This Row],[_LeafProgress]]&gt;=1),IF(N(Tasks[[#This Row],[Actual Finish]])&gt;0,Tasks[[#This Row],[Actual Finish]],Tasks[[#This Row],[_ShownFcstFinish]]),"")</f>
        <v/>
      </c>
      <c r="EV158" s="38" t="n">
        <f aca="false">IF(Tasks[[#This Row],[_IsLeaf]]=1,N(Tasks[[#This Row],[Story Points]]),0)</f>
        <v>0</v>
      </c>
      <c r="EW158" s="38" t="str">
        <f aca="false">IF(AND(Tasks[[#This Row],[_IsLeaf]]=1,CurrentSprint&lt;&gt;"",Tasks[[#This Row],[Sprint]]=CurrentSprint),Tasks[[#This Row],[_Row]],"")</f>
        <v/>
      </c>
    </row>
    <row r="159" customFormat="false" ht="15" hidden="false" customHeight="false" outlineLevel="0" collapsed="false">
      <c r="A159" s="51" t="str">
        <f aca="false">IF(Tasks[[#This Row],[Task Name]]="","",COUNTA(Tasks[[#Headers],[Task Name]]:Tasks[[#This Row],[Task Name]])-1)</f>
        <v/>
      </c>
      <c r="B159" s="52" t="n">
        <v>154</v>
      </c>
      <c r="C15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52"/>
      <c r="E159" s="53"/>
      <c r="F159" s="52"/>
      <c r="G159" s="52"/>
      <c r="H159" s="52"/>
      <c r="I159" s="52"/>
      <c r="J159" s="52"/>
      <c r="K159" s="52"/>
      <c r="L159" s="52"/>
      <c r="M159" s="52"/>
      <c r="N159" s="52"/>
      <c r="O159" s="52"/>
      <c r="P159" s="52"/>
      <c r="Q159" s="52"/>
      <c r="R159" s="52"/>
      <c r="S159" s="53"/>
      <c r="T159" s="102"/>
      <c r="U159" s="102"/>
      <c r="V159" s="7"/>
      <c r="W159" s="7"/>
      <c r="X159" s="53"/>
      <c r="Y159" s="31" t="str">
        <f aca="false">IF(Tasks[[#This Row],[Task Name]]="","",IF(Tasks[[#This Row],[_IsSummary]],MIN(INDEX(Tasks[_ShownFcstStart],Tasks[[#This Row],[_Row]]+1):INDEX(Tasks[_ShownFcstStart],Tasks[[#This Row],[_Row]]+Tasks[[#This Row],[_Descendants]])),Tasks[[#This Row],[_ShownFcstStart]]))</f>
        <v/>
      </c>
      <c r="Z159" s="31" t="str">
        <f aca="false">IF(Tasks[[#This Row],[Task Name]]="","",IF(Tasks[[#This Row],[_IsSummary]],MAX(INDEX(Tasks[_ShownFcstFinish],Tasks[[#This Row],[_Row]]+1):INDEX(Tasks[_ShownFcstFinish],Tasks[[#This Row],[_Row]]+Tasks[[#This Row],[_Descendants]])),Tasks[[#This Row],[_ShownFcstFinish]]))</f>
        <v/>
      </c>
      <c r="AA159" s="51" t="str">
        <f aca="false">IF(Tasks[[#This Row],[Task Name]]="","",IF(Tasks[[#This Row],[Progress]]&gt;=1,"Complete",IF(OR(N(Tasks[[#This Row],[Actual Start]])&gt;0,Tasks[[#This Row],[Progress]]&gt;0),IF(Tasks[[#This Row],[Finish Var]]&gt;0,"Behind","In Progress"),IF(Tasks[[#This Row],[Planned Start]]&lt;StatusDate,"Late Start","Not Started"))))</f>
        <v/>
      </c>
      <c r="AB159" s="51" t="str">
        <f aca="false">IF(Tasks[[#This Row],[Task Name]]="","",IF(IF(Tasks[[#This Row],[_IsSummary]],COUNTIF(INDEX(Tasks[_LeafCritical],Tasks[[#This Row],[_Row]]+1):INDEX(Tasks[_LeafCritical],Tasks[[#This Row],[_Row]]+Tasks[[#This Row],[_Descendants]]),TRUE())&gt;0,Tasks[[#This Row],[_LeafCritical]]),"Yes",""))</f>
        <v/>
      </c>
      <c r="AC15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9" s="51" t="str">
        <f aca="false">IF(Tasks[[#This Row],[Task Name]]="","",IF(Tasks[[#This Row],[_Level]]&lt;=OutlineShowLevel,"Yes","No"))</f>
        <v/>
      </c>
      <c r="AE159" s="7"/>
      <c r="AF159" s="52"/>
      <c r="AG159" s="53"/>
      <c r="AH159" s="7"/>
      <c r="AI15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9" s="31" t="str">
        <f aca="false">IF(Tasks[[#This Row],[Task Name]]="","",IF(N(Tasks[[#This Row],[Baseline Start]])&gt;0,Tasks[[#This Row],[Baseline Start]],Tasks[[#This Row],[_CalcStart]]))</f>
        <v/>
      </c>
      <c r="AK159" s="31" t="str">
        <f aca="false">IF(Tasks[[#This Row],[Task Name]]="","",IF(N(Tasks[[#This Row],[Baseline Finish]])&gt;0,Tasks[[#This Row],[Baseline Finish]],Tasks[[#This Row],[_CalcFinish]]))</f>
        <v/>
      </c>
      <c r="AL15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9" s="31" t="str">
        <f aca="false">IF(Tasks[[#This Row],[Task Name]]="","",IF(Tasks[[#This Row],[_IsSummary]],MIN(INDEX(Tasks[_LeafLateStart],Tasks[[#This Row],[_Row]]+1):INDEX(Tasks[_LeafLateStart],Tasks[[#This Row],[_Row]]+Tasks[[#This Row],[_Descendants]])),Tasks[[#This Row],[_LeafLateStart]]))</f>
        <v/>
      </c>
      <c r="AN159" s="31" t="str">
        <f aca="false">IF(Tasks[[#This Row],[Task Name]]="","",IF(Tasks[[#This Row],[_IsSummary]],MAX(INDEX(Tasks[_LeafLateFinish],Tasks[[#This Row],[_Row]]+1):INDEX(Tasks[_LeafLateFinish],Tasks[[#This Row],[_Row]]+Tasks[[#This Row],[_Descendants]])),Tasks[[#This Row],[_LeafLateFinish]]))</f>
        <v/>
      </c>
      <c r="AO159" s="51" t="str">
        <f aca="false">IF(Tasks[[#This Row],[Task Name]]="","",IF(Tasks[[#This Row],[_IsSummary]],MIN(INDEX(Tasks[_LeafTotalSlack],Tasks[[#This Row],[_Row]]+1):INDEX(Tasks[_LeafTotalSlack],Tasks[[#This Row],[_Row]]+Tasks[[#This Row],[_Descendants]])),Tasks[[#This Row],[_LeafTotalSlack]]))</f>
        <v/>
      </c>
      <c r="AP15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9" s="110" t="str">
        <f aca="false">IF(Tasks[[#This Row],[Task Name]]="","",IF(Tasks[[#This Row],[_IsSummary]],SUM(INDEX(Tasks[_LeafTotalWork],Tasks[[#This Row],[_Row]]+1):INDEX(Tasks[_LeafTotalWork],Tasks[[#This Row],[_Row]]+Tasks[[#This Row],[_Descendants]])),Tasks[[#This Row],[_LeafTotalWork]]))</f>
        <v/>
      </c>
      <c r="AV15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9" s="111" t="str">
        <f aca="false">IF(Tasks[[#This Row],[Task Name]]="","",IF(Tasks[[#This Row],[_IsSummary]],SUM(INDEX(Tasks[_LeafTotalCost],Tasks[[#This Row],[_Row]]+1):INDEX(Tasks[_LeafTotalCost],Tasks[[#This Row],[_Row]]+Tasks[[#This Row],[_Descendants]])),Tasks[[#This Row],[_LeafTotalCost]]))</f>
        <v/>
      </c>
      <c r="AY159" s="112"/>
      <c r="AZ15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9" s="52"/>
      <c r="BB159" s="98"/>
      <c r="BC159" s="51" t="str">
        <f aca="false">IF(OR(Tasks[[#This Row],[Task Name]]="",Tasks[[#This Row],[Baseline Duration]]=""),"",Tasks[[#This Row],[BL Source Duration]]-N(Tasks[[#This Row],[Baseline Duration]]))</f>
        <v/>
      </c>
      <c r="BD159" s="110" t="str">
        <f aca="false">IF(OR(Tasks[[#This Row],[Task Name]]="",Tasks[[#This Row],[Baseline Work]]=""),"",Tasks[[#This Row],[Work]]-N(Tasks[[#This Row],[Baseline Work]]))</f>
        <v/>
      </c>
      <c r="BE159" s="111" t="str">
        <f aca="false">IF(OR(Tasks[[#This Row],[Task Name]]="",Tasks[[#This Row],[Baseline Cost]]=""),"",Tasks[[#This Row],[Cost]]-N(Tasks[[#This Row],[Baseline Cost]]))</f>
        <v/>
      </c>
      <c r="BF159" s="31" t="str">
        <f aca="false">IF(Tasks[[#This Row],[Task Name]]="","",Tasks[[#This Row],[Forecast Start]])</f>
        <v/>
      </c>
      <c r="BG159" s="31" t="str">
        <f aca="false">IF(Tasks[[#This Row],[Task Name]]="","",Tasks[[#This Row],[Forecast Finish]])</f>
        <v/>
      </c>
      <c r="BH159" s="51" t="str">
        <f aca="false">IF(Tasks[[#This Row],[Task Name]]="","",IF(Tasks[[#This Row],[_IsSummary]],NETWORKDAYS.INTL(Tasks[[#This Row],[Forecast Start]],Tasks[[#This Row],[Forecast Finish]],WorkWeek,Holidays),N(Tasks[[#This Row],[Duration]])))</f>
        <v/>
      </c>
      <c r="BI159" s="110" t="str">
        <f aca="false">IF(Tasks[[#This Row],[Task Name]]="","",Tasks[[#This Row],[Work]])</f>
        <v/>
      </c>
      <c r="BJ159" s="111" t="str">
        <f aca="false">IF(Tasks[[#This Row],[Task Name]]="","",Tasks[[#This Row],[Cost]])</f>
        <v/>
      </c>
      <c r="BK159" s="7"/>
      <c r="BL159" s="7"/>
      <c r="BM159" s="52"/>
      <c r="BN159" s="113"/>
      <c r="BO159" s="112"/>
      <c r="BP159" s="111" t="str">
        <f aca="false">IF(Tasks[[#This Row],[Task Name]]="","",IF(Tasks[[#This Row],[_IsSummary]],SUM(INDEX(Tasks[_LeafEV],Tasks[[#This Row],[_Row]]+1):INDEX(Tasks[_LeafEV],Tasks[[#This Row],[_Row]]+Tasks[[#This Row],[_Descendants]])),Tasks[[#This Row],[_LeafEV]]))</f>
        <v/>
      </c>
      <c r="BQ159" s="111" t="str">
        <f aca="false">IF(Tasks[[#This Row],[Task Name]]="","",IF(Tasks[[#This Row],[_IsSummary]],SUM(INDEX(Tasks[_LeafBudget],Tasks[[#This Row],[_Row]]+1):INDEX(Tasks[_LeafBudget],Tasks[[#This Row],[_Row]]+Tasks[[#This Row],[_Descendants]])),Tasks[[#This Row],[_LeafBudget]]))</f>
        <v/>
      </c>
      <c r="BR159" s="111" t="str">
        <f aca="false">IF(Tasks[[#This Row],[Task Name]]="","",IF(Tasks[[#This Row],[_IsSummary]],SUM(INDEX(Tasks[_LeafPV],Tasks[[#This Row],[_Row]]+1):INDEX(Tasks[_LeafPV],Tasks[[#This Row],[_Row]]+Tasks[[#This Row],[_Descendants]])),Tasks[[#This Row],[_LeafPV]]))</f>
        <v/>
      </c>
      <c r="BS159" s="111" t="str">
        <f aca="false">IF(Tasks[[#This Row],[Task Name]]="","",IF(Tasks[[#This Row],[_IsSummary]],SUM(INDEX(Tasks[_LeafAC],Tasks[[#This Row],[_Row]]+1):INDEX(Tasks[_LeafAC],Tasks[[#This Row],[_Row]]+Tasks[[#This Row],[_Descendants]])),Tasks[[#This Row],[_LeafAC]]))</f>
        <v/>
      </c>
      <c r="BT159" s="38" t="str">
        <f aca="false">IF(Tasks[[#This Row],[Task Name]]="","",MAX(1,N(Tasks[[#This Row],[Level]])))</f>
        <v/>
      </c>
      <c r="BU159" s="38" t="n">
        <f aca="false">ROW()-ROW(Tasks[[#Headers],[ID]])</f>
        <v>154</v>
      </c>
      <c r="BV159" s="38" t="n">
        <f aca="false">IF(OR(Tasks[[#This Row],[Task Name]]="",Tasks[[#This Row],[_Level]]&lt;=1),0,IFERROR(LOOKUP(2,1/(Tasks[[#Headers],[_Level]]:Tasks[[#This Row],[_Level]]=Tasks[[#This Row],[_Level]]-1),ROW(Tasks[[#Headers],[_Level]]:Tasks[[#This Row],[_Level]])),0))</f>
        <v>0</v>
      </c>
      <c r="BW159" s="38" t="n">
        <f aca="false">IFERROR(N(INDEX(Tasks[_Level],Tasks[[#This Row],[_Row]]+1)),0)</f>
        <v>0</v>
      </c>
      <c r="BX159" s="114" t="b">
        <f aca="false">AND(Tasks[[#This Row],[Task Name]]&lt;&gt;"",Tasks[[#This Row],[_NextLevel]]&gt;Tasks[[#This Row],[_Level]])</f>
        <v>0</v>
      </c>
      <c r="BY159" s="38" t="n">
        <f aca="false">IF(Tasks[[#This Row],[_IsSummary]],COUNTIF(Tasks[WBS],Tasks[[#This Row],[WBS]]&amp;".*"),0)</f>
        <v>0</v>
      </c>
      <c r="BZ159" s="38" t="n">
        <f aca="false">IF(AND(Tasks[[#This Row],[Task Name]]&lt;&gt;"",NOT(Tasks[[#This Row],[_IsSummary]])),1,0)</f>
        <v>0</v>
      </c>
      <c r="CA159" s="38" t="n">
        <f aca="false">IF(N(Tasks[[#This Row],[Pred1 UID]])=0,0,IFERROR(MATCH(Tasks[[#This Row],[Pred1 UID]],Tasks[UID],0),-1))</f>
        <v>0</v>
      </c>
      <c r="CB159" s="38" t="n">
        <f aca="false">IF(N(Tasks[[#This Row],[Pred2 UID]])=0,0,IFERROR(MATCH(Tasks[[#This Row],[Pred2 UID]],Tasks[UID],0),-1))</f>
        <v>0</v>
      </c>
      <c r="CC159" s="38" t="n">
        <f aca="false">IF(N(Tasks[[#This Row],[Pred3 UID]])=0,0,IFERROR(MATCH(Tasks[[#This Row],[Pred3 UID]],Tasks[UID],0),-1))</f>
        <v>0</v>
      </c>
      <c r="CD159" s="38" t="n">
        <f aca="false">IF(N(Tasks[[#This Row],[Pred4 UID]])=0,0,IFERROR(MATCH(Tasks[[#This Row],[Pred4 UID]],Tasks[UID],0),-1))</f>
        <v>0</v>
      </c>
      <c r="CE15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9" s="115" t="n">
        <f aca="false">IF(OR(Tasks[[#This Row],[_ConstraintCode]]=2,Tasks[[#This Row],[_ConstraintCode]]=3,Tasks[[#This Row],[_ConstraintCode]]=4,Tasks[[#This Row],[_ConstraintCode]]=6),Tasks[[#This Row],[_ConstraintStart]],0)</f>
        <v>0</v>
      </c>
      <c r="CH159" s="115" t="n">
        <f aca="false">IF(OR(Tasks[[#This Row],[_ConstraintCode]]=2,Tasks[[#This Row],[_ConstraintCode]]=3,Tasks[[#This Row],[_ConstraintCode]]=5,Tasks[[#This Row],[_ConstraintCode]]=7),Tasks[[#This Row],[_ConstraintStart]],2958465)</f>
        <v>2958465</v>
      </c>
      <c r="CI15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9" s="115" t="str">
        <f aca="false">IF(NOT(Tasks[[#This Row],[_IsLeaf]]=1),"",IF(N(Tasks[[#This Row],[Duration]])&lt;=0,Tasks[[#This Row],[_LeafCalcStart]],WORKDAY.INTL(Tasks[[#This Row],[_LeafCalcStart]],Tasks[[#This Row],[Duration]]-1,WorkWeek,Holidays)))</f>
        <v/>
      </c>
      <c r="CK15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9" s="38" t="n">
        <f aca="false">IF(NOT(Tasks[[#This Row],[_IsLeaf]]=1),0,IF(N(Tasks[[#This Row],[Actual Finish]])&gt;0,1,MIN(1,N(Tasks[[#This Row],[% Complete]]))))</f>
        <v>0</v>
      </c>
      <c r="CN159" s="38" t="n">
        <f aca="false">IF(OR(NOT(Tasks[[#This Row],[_IsLeaf]]=1),Tasks[[#This Row],[Resource]]=""),0,N(Tasks[[#This Row],[Duration]])*HoursPerDay*IF(Tasks[[#This Row],[Units]]="",DefaultUnits,Tasks[[#This Row],[Units]]))</f>
        <v>0</v>
      </c>
      <c r="CO159" s="38" t="n">
        <f aca="false">IF(Tasks[[#This Row],[_LeafWork]]=0,0,Tasks[[#This Row],[_LeafWork]]*IFERROR(INDEX(res_Rate,MATCH(Tasks[[#This Row],[Resource]],res_Name,0)),0))</f>
        <v>0</v>
      </c>
      <c r="CP159" s="38" t="n">
        <f aca="false">Tasks[[#This Row],[_LeafWork]]+IF(Tasks[[#This Row],[_IsLeaf]]=1,SUMIFS(asg_Work,asg_TaskUID,Tasks[[#This Row],[UID]],asg_Valid,1),0)</f>
        <v>0</v>
      </c>
      <c r="CQ159" s="38" t="n">
        <f aca="false">Tasks[[#This Row],[_LeafCost]]+IF(Tasks[[#This Row],[_IsLeaf]]=1,SUMIFS(asg_Cost,asg_TaskUID,Tasks[[#This Row],[UID]],asg_Valid,1),0)</f>
        <v>0</v>
      </c>
      <c r="CR159" s="38" t="n">
        <f aca="false">IF(Tasks[[#This Row],[_LeafTotalCost]]=0,Tasks[[#This Row],[_LeafAC]],Tasks[[#This Row],[_LeafAC]]*Tasks[[#This Row],[_LeafCost]]/Tasks[[#This Row],[_LeafTotalCost]])</f>
        <v>0</v>
      </c>
      <c r="CS15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9" s="38" t="n">
        <f aca="false">IF(NOT(Tasks[[#This Row],[_IsLeaf]]=1),0,MAX(_xlfn.MAXIFS(Tasks[_Row],Tasks[Pred1 UID],Tasks[[#This Row],[UID]]),_xlfn.MAXIFS(Tasks[_Row],Tasks[Pred2 UID],Tasks[[#This Row],[UID]]),_xlfn.MAXIFS(Tasks[_Row],Tasks[Pred3 UID],Tasks[[#This Row],[UID]]),_xlfn.MAXIFS(Tasks[_Row],Tasks[Pred4 UID],Tasks[[#This Row],[UID]])))</f>
        <v>0</v>
      </c>
      <c r="DB15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9" s="115" t="str">
        <f aca="false">IF(NOT(Tasks[[#This Row],[_IsLeaf]]=1),"",IF(N(Tasks[[#This Row],[Duration]])&lt;=0,Tasks[[#This Row],[_LeafLateFinish]],WORKDAY.INTL(Tasks[[#This Row],[_LeafLateFinish]],-(Tasks[[#This Row],[Duration]]-1),WorkWeek,Holidays)))</f>
        <v/>
      </c>
      <c r="DE15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9" s="114" t="b">
        <f aca="false">AND(Tasks[[#This Row],[_IsLeaf]]=1,Tasks[[#This Row],[_LeafProgress]]&lt;1,N(Tasks[[#This Row],[_LeafTotalSlack]])&lt;=CriticalSlackDays)</f>
        <v>0</v>
      </c>
      <c r="DG159" s="38" t="n">
        <f aca="false">IF(AND(Tasks[[#This Row],[_IsLeaf]]=1,Tasks[[#This Row],[_ConstraintCode]]=1,Tasks[[#This Row],[Mode]]&lt;&gt;"Manual",N(Tasks[[#This Row],[Actual Start]])=0),MAX(0,N(Tasks[[#This Row],[Free Slack]])),0)</f>
        <v>0</v>
      </c>
      <c r="DH159" s="115" t="str">
        <f aca="false">IF(NOT(Tasks[[#This Row],[_IsLeaf]]=1),"",IF(Tasks[[#This Row],[_AlapShift]]=0,Tasks[[#This Row],[_LeafCalcStart]],WORKDAY.INTL(Tasks[[#This Row],[_LeafCalcStart]],Tasks[[#This Row],[_AlapShift]],WorkWeek,Holidays)))</f>
        <v/>
      </c>
      <c r="DI159" s="115" t="str">
        <f aca="false">IF(NOT(Tasks[[#This Row],[_IsLeaf]]=1),"",IF(Tasks[[#This Row],[_AlapShift]]=0,Tasks[[#This Row],[_LeafCalcFinish]],WORKDAY.INTL(Tasks[[#This Row],[_LeafCalcFinish]],Tasks[[#This Row],[_AlapShift]],WorkWeek,Holidays)))</f>
        <v/>
      </c>
      <c r="DJ159" s="115" t="str">
        <f aca="false">IF(NOT(Tasks[[#This Row],[_IsLeaf]]=1),"",IF(Tasks[[#This Row],[_AlapShift]]=0,Tasks[[#This Row],[_LeafFcstStart]],WORKDAY.INTL(Tasks[[#This Row],[_LeafFcstStart]],Tasks[[#This Row],[_AlapShift]],WorkWeek,Holidays)))</f>
        <v/>
      </c>
      <c r="DK159" s="115" t="str">
        <f aca="false">IF(NOT(Tasks[[#This Row],[_IsLeaf]]=1),"",IF(Tasks[[#This Row],[_AlapShift]]=0,Tasks[[#This Row],[_LeafFcstFinish]],WORKDAY.INTL(Tasks[[#This Row],[_LeafFcstFinish]],Tasks[[#This Row],[_AlapShift]],WorkWeek,Holidays)))</f>
        <v/>
      </c>
      <c r="DL159" s="115" t="str">
        <f aca="false">IF(Tasks[[#This Row],[Task Name]]="","",IF(Tasks[[#This Row],[_IsSummary]],MIN(INDEX(Tasks[_ShownCalcStart],Tasks[[#This Row],[_Row]]+1):INDEX(Tasks[_ShownCalcStart],Tasks[[#This Row],[_Row]]+Tasks[[#This Row],[_Descendants]])),Tasks[[#This Row],[_ShownCalcStart]]))</f>
        <v/>
      </c>
      <c r="DM159" s="115" t="str">
        <f aca="false">IF(Tasks[[#This Row],[Task Name]]="","",IF(Tasks[[#This Row],[_IsSummary]],MAX(INDEX(Tasks[_ShownCalcFinish],Tasks[[#This Row],[_Row]]+1):INDEX(Tasks[_ShownCalcFinish],Tasks[[#This Row],[_Row]]+Tasks[[#This Row],[_Descendants]])),Tasks[[#This Row],[_ShownCalcFinish]]))</f>
        <v/>
      </c>
      <c r="DN15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9" s="38" t="n">
        <f aca="false">IF(AND(Tasks[[#This Row],[_IsLeaf]]=1,Tasks[[#This Row],[_LeafTotalWork]]&gt;0),NETWORKDAYS.INTL(ProjectStart,Tasks[[#This Row],[_ShownFcstStart]],WorkWeek,Holidays),0)</f>
        <v>0</v>
      </c>
      <c r="EA159" s="38" t="n">
        <f aca="false">IF(AND(Tasks[[#This Row],[_IsLeaf]]=1,Tasks[[#This Row],[_LeafTotalWork]]&gt;0),MAX(Tasks[[#This Row],[_StartWorkday]],NETWORKDAYS.INTL(ProjectStart,Tasks[[#This Row],[_ShownFcstFinish]],WorkWeek,Holidays)),0)</f>
        <v>0</v>
      </c>
      <c r="EB159" s="38" t="n">
        <f aca="false">IF(AND(Tasks[[#This Row],[_IsLeaf]]=1,Tasks[[#This Row],[_LeafTotalWork]]&gt;0),Tasks[[#This Row],[_LeafWork]]/(Tasks[[#This Row],[_FinishWorkday]]-Tasks[[#This Row],[_StartWorkday]]+1),0)</f>
        <v>0</v>
      </c>
      <c r="EC159" s="38" t="n">
        <f aca="false">Tasks[[#This Row],[_WorkPerWorkday]]*(Tasks[[#This Row],[_StartWorkday]]-1)</f>
        <v>-0</v>
      </c>
      <c r="ED159" s="38" t="n">
        <f aca="false">IF(Tasks[[#This Row],[_IsLeaf]]=1,MAX(N(Tasks[[#This Row],[Duration]]),0.1),0)</f>
        <v>0</v>
      </c>
      <c r="EE159" s="38" t="n">
        <f aca="false">Tasks[[#This Row],[_WeightDur]]*Tasks[[#This Row],[_LeafProgress]]</f>
        <v>0</v>
      </c>
      <c r="EF15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9" s="38" t="str">
        <f aca="false">IF(AND(Tasks[[#This Row],[_IsLeaf]]=1,N(Tasks[[#This Row],[Duration]])=0,Tasks[[#This Row],[_LeafProgress]]&lt;1),Tasks[[#This Row],[_ShownFcstFinish]]+Tasks[[#This Row],[_Row]]/100000,"")</f>
        <v/>
      </c>
      <c r="EH15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9" s="38" t="n">
        <f aca="false">IF(NOT(Tasks[[#This Row],[_IsLeaf]]=1),0,IF(Tasks[[#This Row],[Baseline Cost]]="",Tasks[[#This Row],[_LeafTotalCost]],N(Tasks[[#This Row],[Baseline Cost]])))</f>
        <v>0</v>
      </c>
      <c r="EJ159" s="38" t="n">
        <f aca="false">Tasks[[#This Row],[_LeafBudget]]*Tasks[[#This Row],[_PlannedPct]]</f>
        <v>0</v>
      </c>
      <c r="EK159" s="38" t="n">
        <f aca="false">Tasks[[#This Row],[_LeafBudget]]*Tasks[[#This Row],[_LeafProgress]]</f>
        <v>0</v>
      </c>
      <c r="EL159" s="38" t="n">
        <f aca="false">IF(NOT(Tasks[[#This Row],[_IsLeaf]]=1),0,IF(Tasks[[#This Row],[Actual Cost]]="",Tasks[[#This Row],[_LeafTotalCost]]*Tasks[[#This Row],[_LeafProgress]],N(Tasks[[#This Row],[Actual Cost]])))</f>
        <v>0</v>
      </c>
      <c r="EM159" s="38" t="str">
        <f aca="false">IF(Tasks[[#This Row],[Task Name]]="","",LEFT(Tasks[[#This Row],[WBS]],FIND(".",Tasks[[#This Row],[WBS]]&amp;".")-1))</f>
        <v/>
      </c>
      <c r="EN159" s="38" t="str">
        <f aca="false">IF(AND(Tasks[[#This Row],[Task Name]]&lt;&gt;"",Tasks[[#This Row],[_Level]]=1),Tasks[[#This Row],[_Row]],"")</f>
        <v/>
      </c>
      <c r="EO159" s="38" t="str">
        <f aca="false">IF(AND(Tasks[[#This Row],[_IsLeaf]]=1,N(Tasks[[#This Row],[Duration]])=0),Tasks[[#This Row],[Planned Finish]]+Tasks[[#This Row],[_Row]]/100000,"")</f>
        <v/>
      </c>
      <c r="EP159" s="38" t="str">
        <f aca="false">IF(AND(Tasks[[#This Row],[_IsLeaf]]=1,Tasks[[#This Row],[_LeafProgress]]&lt;1,OR(N(Tasks[[#This Row],[Finish Var]])&gt;0,Tasks[[#This Row],[Status]]="Late Start")),MAX(0,Tasks[[#This Row],[Finish Var]])+1-Tasks[[#This Row],[_Row]]/1000000,"")</f>
        <v/>
      </c>
      <c r="EQ159" s="38" t="str">
        <f aca="false">IF(AND(Tasks[[#This Row],[_IsLeaf]]=1,N(Tasks[[#This Row],[Actual Start]])=0,Tasks[[#This Row],[_ShownFcstStart]]&gt;=StatusDate,Tasks[[#This Row],[_ShownFcstStart]]&lt;=LookaheadEnd),Tasks[[#This Row],[_ShownFcstStart]]+Tasks[[#This Row],[_Row]]/100000,"")</f>
        <v/>
      </c>
      <c r="ER159" s="38" t="str">
        <f aca="false">IF(AND(Tasks[[#This Row],[_IsLeaf]]=1,Tasks[[#This Row],[_LeafProgress]]&lt;1,Tasks[[#This Row],[_ShownFcstFinish]]&gt;=StatusDate,Tasks[[#This Row],[_ShownFcstFinish]]&lt;=LookaheadEnd),Tasks[[#This Row],[_ShownFcstFinish]]+Tasks[[#This Row],[_Row]]/100000,"")</f>
        <v/>
      </c>
      <c r="ES159" s="38" t="str">
        <f aca="false">IF(Tasks[[#This Row],[_LeafCritical]],Tasks[[#This Row],[_ShownFcstStart]]+Tasks[[#This Row],[_Row]]/100000,"")</f>
        <v/>
      </c>
      <c r="ET159" s="38" t="n">
        <f aca="false">Tasks[[#This Row],[_LeafWork]]*Tasks[[#This Row],[_LeafProgress]]</f>
        <v>0</v>
      </c>
      <c r="EU159" s="115" t="str">
        <f aca="false">IF(AND(Tasks[[#This Row],[_IsLeaf]]=1,Tasks[[#This Row],[_LeafProgress]]&gt;=1),IF(N(Tasks[[#This Row],[Actual Finish]])&gt;0,Tasks[[#This Row],[Actual Finish]],Tasks[[#This Row],[_ShownFcstFinish]]),"")</f>
        <v/>
      </c>
      <c r="EV159" s="38" t="n">
        <f aca="false">IF(Tasks[[#This Row],[_IsLeaf]]=1,N(Tasks[[#This Row],[Story Points]]),0)</f>
        <v>0</v>
      </c>
      <c r="EW159" s="38" t="str">
        <f aca="false">IF(AND(Tasks[[#This Row],[_IsLeaf]]=1,CurrentSprint&lt;&gt;"",Tasks[[#This Row],[Sprint]]=CurrentSprint),Tasks[[#This Row],[_Row]],"")</f>
        <v/>
      </c>
    </row>
    <row r="160" customFormat="false" ht="15" hidden="false" customHeight="false" outlineLevel="0" collapsed="false">
      <c r="A160" s="51" t="str">
        <f aca="false">IF(Tasks[[#This Row],[Task Name]]="","",COUNTA(Tasks[[#Headers],[Task Name]]:Tasks[[#This Row],[Task Name]])-1)</f>
        <v/>
      </c>
      <c r="B160" s="52" t="n">
        <v>155</v>
      </c>
      <c r="C16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52"/>
      <c r="E160" s="53"/>
      <c r="F160" s="52"/>
      <c r="G160" s="52"/>
      <c r="H160" s="52"/>
      <c r="I160" s="52"/>
      <c r="J160" s="52"/>
      <c r="K160" s="52"/>
      <c r="L160" s="52"/>
      <c r="M160" s="52"/>
      <c r="N160" s="52"/>
      <c r="O160" s="52"/>
      <c r="P160" s="52"/>
      <c r="Q160" s="52"/>
      <c r="R160" s="52"/>
      <c r="S160" s="53"/>
      <c r="T160" s="102"/>
      <c r="U160" s="102"/>
      <c r="V160" s="7"/>
      <c r="W160" s="7"/>
      <c r="X160" s="53"/>
      <c r="Y160" s="31" t="str">
        <f aca="false">IF(Tasks[[#This Row],[Task Name]]="","",IF(Tasks[[#This Row],[_IsSummary]],MIN(INDEX(Tasks[_ShownFcstStart],Tasks[[#This Row],[_Row]]+1):INDEX(Tasks[_ShownFcstStart],Tasks[[#This Row],[_Row]]+Tasks[[#This Row],[_Descendants]])),Tasks[[#This Row],[_ShownFcstStart]]))</f>
        <v/>
      </c>
      <c r="Z160" s="31" t="str">
        <f aca="false">IF(Tasks[[#This Row],[Task Name]]="","",IF(Tasks[[#This Row],[_IsSummary]],MAX(INDEX(Tasks[_ShownFcstFinish],Tasks[[#This Row],[_Row]]+1):INDEX(Tasks[_ShownFcstFinish],Tasks[[#This Row],[_Row]]+Tasks[[#This Row],[_Descendants]])),Tasks[[#This Row],[_ShownFcstFinish]]))</f>
        <v/>
      </c>
      <c r="AA160" s="51" t="str">
        <f aca="false">IF(Tasks[[#This Row],[Task Name]]="","",IF(Tasks[[#This Row],[Progress]]&gt;=1,"Complete",IF(OR(N(Tasks[[#This Row],[Actual Start]])&gt;0,Tasks[[#This Row],[Progress]]&gt;0),IF(Tasks[[#This Row],[Finish Var]]&gt;0,"Behind","In Progress"),IF(Tasks[[#This Row],[Planned Start]]&lt;StatusDate,"Late Start","Not Started"))))</f>
        <v/>
      </c>
      <c r="AB160" s="51" t="str">
        <f aca="false">IF(Tasks[[#This Row],[Task Name]]="","",IF(IF(Tasks[[#This Row],[_IsSummary]],COUNTIF(INDEX(Tasks[_LeafCritical],Tasks[[#This Row],[_Row]]+1):INDEX(Tasks[_LeafCritical],Tasks[[#This Row],[_Row]]+Tasks[[#This Row],[_Descendants]]),TRUE())&gt;0,Tasks[[#This Row],[_LeafCritical]]),"Yes",""))</f>
        <v/>
      </c>
      <c r="AC16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0" s="51" t="str">
        <f aca="false">IF(Tasks[[#This Row],[Task Name]]="","",IF(Tasks[[#This Row],[_Level]]&lt;=OutlineShowLevel,"Yes","No"))</f>
        <v/>
      </c>
      <c r="AE160" s="7"/>
      <c r="AF160" s="52"/>
      <c r="AG160" s="53"/>
      <c r="AH160" s="7"/>
      <c r="AI16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0" s="31" t="str">
        <f aca="false">IF(Tasks[[#This Row],[Task Name]]="","",IF(N(Tasks[[#This Row],[Baseline Start]])&gt;0,Tasks[[#This Row],[Baseline Start]],Tasks[[#This Row],[_CalcStart]]))</f>
        <v/>
      </c>
      <c r="AK160" s="31" t="str">
        <f aca="false">IF(Tasks[[#This Row],[Task Name]]="","",IF(N(Tasks[[#This Row],[Baseline Finish]])&gt;0,Tasks[[#This Row],[Baseline Finish]],Tasks[[#This Row],[_CalcFinish]]))</f>
        <v/>
      </c>
      <c r="AL16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0" s="31" t="str">
        <f aca="false">IF(Tasks[[#This Row],[Task Name]]="","",IF(Tasks[[#This Row],[_IsSummary]],MIN(INDEX(Tasks[_LeafLateStart],Tasks[[#This Row],[_Row]]+1):INDEX(Tasks[_LeafLateStart],Tasks[[#This Row],[_Row]]+Tasks[[#This Row],[_Descendants]])),Tasks[[#This Row],[_LeafLateStart]]))</f>
        <v/>
      </c>
      <c r="AN160" s="31" t="str">
        <f aca="false">IF(Tasks[[#This Row],[Task Name]]="","",IF(Tasks[[#This Row],[_IsSummary]],MAX(INDEX(Tasks[_LeafLateFinish],Tasks[[#This Row],[_Row]]+1):INDEX(Tasks[_LeafLateFinish],Tasks[[#This Row],[_Row]]+Tasks[[#This Row],[_Descendants]])),Tasks[[#This Row],[_LeafLateFinish]]))</f>
        <v/>
      </c>
      <c r="AO160" s="51" t="str">
        <f aca="false">IF(Tasks[[#This Row],[Task Name]]="","",IF(Tasks[[#This Row],[_IsSummary]],MIN(INDEX(Tasks[_LeafTotalSlack],Tasks[[#This Row],[_Row]]+1):INDEX(Tasks[_LeafTotalSlack],Tasks[[#This Row],[_Row]]+Tasks[[#This Row],[_Descendants]])),Tasks[[#This Row],[_LeafTotalSlack]]))</f>
        <v/>
      </c>
      <c r="AP16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0" s="110" t="str">
        <f aca="false">IF(Tasks[[#This Row],[Task Name]]="","",IF(Tasks[[#This Row],[_IsSummary]],SUM(INDEX(Tasks[_LeafTotalWork],Tasks[[#This Row],[_Row]]+1):INDEX(Tasks[_LeafTotalWork],Tasks[[#This Row],[_Row]]+Tasks[[#This Row],[_Descendants]])),Tasks[[#This Row],[_LeafTotalWork]]))</f>
        <v/>
      </c>
      <c r="AV16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0" s="111" t="str">
        <f aca="false">IF(Tasks[[#This Row],[Task Name]]="","",IF(Tasks[[#This Row],[_IsSummary]],SUM(INDEX(Tasks[_LeafTotalCost],Tasks[[#This Row],[_Row]]+1):INDEX(Tasks[_LeafTotalCost],Tasks[[#This Row],[_Row]]+Tasks[[#This Row],[_Descendants]])),Tasks[[#This Row],[_LeafTotalCost]]))</f>
        <v/>
      </c>
      <c r="AY160" s="112"/>
      <c r="AZ16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0" s="52"/>
      <c r="BB160" s="98"/>
      <c r="BC160" s="51" t="str">
        <f aca="false">IF(OR(Tasks[[#This Row],[Task Name]]="",Tasks[[#This Row],[Baseline Duration]]=""),"",Tasks[[#This Row],[BL Source Duration]]-N(Tasks[[#This Row],[Baseline Duration]]))</f>
        <v/>
      </c>
      <c r="BD160" s="110" t="str">
        <f aca="false">IF(OR(Tasks[[#This Row],[Task Name]]="",Tasks[[#This Row],[Baseline Work]]=""),"",Tasks[[#This Row],[Work]]-N(Tasks[[#This Row],[Baseline Work]]))</f>
        <v/>
      </c>
      <c r="BE160" s="111" t="str">
        <f aca="false">IF(OR(Tasks[[#This Row],[Task Name]]="",Tasks[[#This Row],[Baseline Cost]]=""),"",Tasks[[#This Row],[Cost]]-N(Tasks[[#This Row],[Baseline Cost]]))</f>
        <v/>
      </c>
      <c r="BF160" s="31" t="str">
        <f aca="false">IF(Tasks[[#This Row],[Task Name]]="","",Tasks[[#This Row],[Forecast Start]])</f>
        <v/>
      </c>
      <c r="BG160" s="31" t="str">
        <f aca="false">IF(Tasks[[#This Row],[Task Name]]="","",Tasks[[#This Row],[Forecast Finish]])</f>
        <v/>
      </c>
      <c r="BH160" s="51" t="str">
        <f aca="false">IF(Tasks[[#This Row],[Task Name]]="","",IF(Tasks[[#This Row],[_IsSummary]],NETWORKDAYS.INTL(Tasks[[#This Row],[Forecast Start]],Tasks[[#This Row],[Forecast Finish]],WorkWeek,Holidays),N(Tasks[[#This Row],[Duration]])))</f>
        <v/>
      </c>
      <c r="BI160" s="110" t="str">
        <f aca="false">IF(Tasks[[#This Row],[Task Name]]="","",Tasks[[#This Row],[Work]])</f>
        <v/>
      </c>
      <c r="BJ160" s="111" t="str">
        <f aca="false">IF(Tasks[[#This Row],[Task Name]]="","",Tasks[[#This Row],[Cost]])</f>
        <v/>
      </c>
      <c r="BK160" s="7"/>
      <c r="BL160" s="7"/>
      <c r="BM160" s="52"/>
      <c r="BN160" s="113"/>
      <c r="BO160" s="112"/>
      <c r="BP160" s="111" t="str">
        <f aca="false">IF(Tasks[[#This Row],[Task Name]]="","",IF(Tasks[[#This Row],[_IsSummary]],SUM(INDEX(Tasks[_LeafEV],Tasks[[#This Row],[_Row]]+1):INDEX(Tasks[_LeafEV],Tasks[[#This Row],[_Row]]+Tasks[[#This Row],[_Descendants]])),Tasks[[#This Row],[_LeafEV]]))</f>
        <v/>
      </c>
      <c r="BQ160" s="111" t="str">
        <f aca="false">IF(Tasks[[#This Row],[Task Name]]="","",IF(Tasks[[#This Row],[_IsSummary]],SUM(INDEX(Tasks[_LeafBudget],Tasks[[#This Row],[_Row]]+1):INDEX(Tasks[_LeafBudget],Tasks[[#This Row],[_Row]]+Tasks[[#This Row],[_Descendants]])),Tasks[[#This Row],[_LeafBudget]]))</f>
        <v/>
      </c>
      <c r="BR160" s="111" t="str">
        <f aca="false">IF(Tasks[[#This Row],[Task Name]]="","",IF(Tasks[[#This Row],[_IsSummary]],SUM(INDEX(Tasks[_LeafPV],Tasks[[#This Row],[_Row]]+1):INDEX(Tasks[_LeafPV],Tasks[[#This Row],[_Row]]+Tasks[[#This Row],[_Descendants]])),Tasks[[#This Row],[_LeafPV]]))</f>
        <v/>
      </c>
      <c r="BS160" s="111" t="str">
        <f aca="false">IF(Tasks[[#This Row],[Task Name]]="","",IF(Tasks[[#This Row],[_IsSummary]],SUM(INDEX(Tasks[_LeafAC],Tasks[[#This Row],[_Row]]+1):INDEX(Tasks[_LeafAC],Tasks[[#This Row],[_Row]]+Tasks[[#This Row],[_Descendants]])),Tasks[[#This Row],[_LeafAC]]))</f>
        <v/>
      </c>
      <c r="BT160" s="38" t="str">
        <f aca="false">IF(Tasks[[#This Row],[Task Name]]="","",MAX(1,N(Tasks[[#This Row],[Level]])))</f>
        <v/>
      </c>
      <c r="BU160" s="38" t="n">
        <f aca="false">ROW()-ROW(Tasks[[#Headers],[ID]])</f>
        <v>155</v>
      </c>
      <c r="BV160" s="38" t="n">
        <f aca="false">IF(OR(Tasks[[#This Row],[Task Name]]="",Tasks[[#This Row],[_Level]]&lt;=1),0,IFERROR(LOOKUP(2,1/(Tasks[[#Headers],[_Level]]:Tasks[[#This Row],[_Level]]=Tasks[[#This Row],[_Level]]-1),ROW(Tasks[[#Headers],[_Level]]:Tasks[[#This Row],[_Level]])),0))</f>
        <v>0</v>
      </c>
      <c r="BW160" s="38" t="n">
        <f aca="false">IFERROR(N(INDEX(Tasks[_Level],Tasks[[#This Row],[_Row]]+1)),0)</f>
        <v>0</v>
      </c>
      <c r="BX160" s="114" t="b">
        <f aca="false">AND(Tasks[[#This Row],[Task Name]]&lt;&gt;"",Tasks[[#This Row],[_NextLevel]]&gt;Tasks[[#This Row],[_Level]])</f>
        <v>0</v>
      </c>
      <c r="BY160" s="38" t="n">
        <f aca="false">IF(Tasks[[#This Row],[_IsSummary]],COUNTIF(Tasks[WBS],Tasks[[#This Row],[WBS]]&amp;".*"),0)</f>
        <v>0</v>
      </c>
      <c r="BZ160" s="38" t="n">
        <f aca="false">IF(AND(Tasks[[#This Row],[Task Name]]&lt;&gt;"",NOT(Tasks[[#This Row],[_IsSummary]])),1,0)</f>
        <v>0</v>
      </c>
      <c r="CA160" s="38" t="n">
        <f aca="false">IF(N(Tasks[[#This Row],[Pred1 UID]])=0,0,IFERROR(MATCH(Tasks[[#This Row],[Pred1 UID]],Tasks[UID],0),-1))</f>
        <v>0</v>
      </c>
      <c r="CB160" s="38" t="n">
        <f aca="false">IF(N(Tasks[[#This Row],[Pred2 UID]])=0,0,IFERROR(MATCH(Tasks[[#This Row],[Pred2 UID]],Tasks[UID],0),-1))</f>
        <v>0</v>
      </c>
      <c r="CC160" s="38" t="n">
        <f aca="false">IF(N(Tasks[[#This Row],[Pred3 UID]])=0,0,IFERROR(MATCH(Tasks[[#This Row],[Pred3 UID]],Tasks[UID],0),-1))</f>
        <v>0</v>
      </c>
      <c r="CD160" s="38" t="n">
        <f aca="false">IF(N(Tasks[[#This Row],[Pred4 UID]])=0,0,IFERROR(MATCH(Tasks[[#This Row],[Pred4 UID]],Tasks[UID],0),-1))</f>
        <v>0</v>
      </c>
      <c r="CE16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0" s="115" t="n">
        <f aca="false">IF(OR(Tasks[[#This Row],[_ConstraintCode]]=2,Tasks[[#This Row],[_ConstraintCode]]=3,Tasks[[#This Row],[_ConstraintCode]]=4,Tasks[[#This Row],[_ConstraintCode]]=6),Tasks[[#This Row],[_ConstraintStart]],0)</f>
        <v>0</v>
      </c>
      <c r="CH160" s="115" t="n">
        <f aca="false">IF(OR(Tasks[[#This Row],[_ConstraintCode]]=2,Tasks[[#This Row],[_ConstraintCode]]=3,Tasks[[#This Row],[_ConstraintCode]]=5,Tasks[[#This Row],[_ConstraintCode]]=7),Tasks[[#This Row],[_ConstraintStart]],2958465)</f>
        <v>2958465</v>
      </c>
      <c r="CI16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0" s="115" t="str">
        <f aca="false">IF(NOT(Tasks[[#This Row],[_IsLeaf]]=1),"",IF(N(Tasks[[#This Row],[Duration]])&lt;=0,Tasks[[#This Row],[_LeafCalcStart]],WORKDAY.INTL(Tasks[[#This Row],[_LeafCalcStart]],Tasks[[#This Row],[Duration]]-1,WorkWeek,Holidays)))</f>
        <v/>
      </c>
      <c r="CK16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0" s="38" t="n">
        <f aca="false">IF(NOT(Tasks[[#This Row],[_IsLeaf]]=1),0,IF(N(Tasks[[#This Row],[Actual Finish]])&gt;0,1,MIN(1,N(Tasks[[#This Row],[% Complete]]))))</f>
        <v>0</v>
      </c>
      <c r="CN160" s="38" t="n">
        <f aca="false">IF(OR(NOT(Tasks[[#This Row],[_IsLeaf]]=1),Tasks[[#This Row],[Resource]]=""),0,N(Tasks[[#This Row],[Duration]])*HoursPerDay*IF(Tasks[[#This Row],[Units]]="",DefaultUnits,Tasks[[#This Row],[Units]]))</f>
        <v>0</v>
      </c>
      <c r="CO160" s="38" t="n">
        <f aca="false">IF(Tasks[[#This Row],[_LeafWork]]=0,0,Tasks[[#This Row],[_LeafWork]]*IFERROR(INDEX(res_Rate,MATCH(Tasks[[#This Row],[Resource]],res_Name,0)),0))</f>
        <v>0</v>
      </c>
      <c r="CP160" s="38" t="n">
        <f aca="false">Tasks[[#This Row],[_LeafWork]]+IF(Tasks[[#This Row],[_IsLeaf]]=1,SUMIFS(asg_Work,asg_TaskUID,Tasks[[#This Row],[UID]],asg_Valid,1),0)</f>
        <v>0</v>
      </c>
      <c r="CQ160" s="38" t="n">
        <f aca="false">Tasks[[#This Row],[_LeafCost]]+IF(Tasks[[#This Row],[_IsLeaf]]=1,SUMIFS(asg_Cost,asg_TaskUID,Tasks[[#This Row],[UID]],asg_Valid,1),0)</f>
        <v>0</v>
      </c>
      <c r="CR160" s="38" t="n">
        <f aca="false">IF(Tasks[[#This Row],[_LeafTotalCost]]=0,Tasks[[#This Row],[_LeafAC]],Tasks[[#This Row],[_LeafAC]]*Tasks[[#This Row],[_LeafCost]]/Tasks[[#This Row],[_LeafTotalCost]])</f>
        <v>0</v>
      </c>
      <c r="CS16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0" s="38" t="n">
        <f aca="false">IF(NOT(Tasks[[#This Row],[_IsLeaf]]=1),0,MAX(_xlfn.MAXIFS(Tasks[_Row],Tasks[Pred1 UID],Tasks[[#This Row],[UID]]),_xlfn.MAXIFS(Tasks[_Row],Tasks[Pred2 UID],Tasks[[#This Row],[UID]]),_xlfn.MAXIFS(Tasks[_Row],Tasks[Pred3 UID],Tasks[[#This Row],[UID]]),_xlfn.MAXIFS(Tasks[_Row],Tasks[Pred4 UID],Tasks[[#This Row],[UID]])))</f>
        <v>0</v>
      </c>
      <c r="DB16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0" s="115" t="str">
        <f aca="false">IF(NOT(Tasks[[#This Row],[_IsLeaf]]=1),"",IF(N(Tasks[[#This Row],[Duration]])&lt;=0,Tasks[[#This Row],[_LeafLateFinish]],WORKDAY.INTL(Tasks[[#This Row],[_LeafLateFinish]],-(Tasks[[#This Row],[Duration]]-1),WorkWeek,Holidays)))</f>
        <v/>
      </c>
      <c r="DE16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0" s="114" t="b">
        <f aca="false">AND(Tasks[[#This Row],[_IsLeaf]]=1,Tasks[[#This Row],[_LeafProgress]]&lt;1,N(Tasks[[#This Row],[_LeafTotalSlack]])&lt;=CriticalSlackDays)</f>
        <v>0</v>
      </c>
      <c r="DG160" s="38" t="n">
        <f aca="false">IF(AND(Tasks[[#This Row],[_IsLeaf]]=1,Tasks[[#This Row],[_ConstraintCode]]=1,Tasks[[#This Row],[Mode]]&lt;&gt;"Manual",N(Tasks[[#This Row],[Actual Start]])=0),MAX(0,N(Tasks[[#This Row],[Free Slack]])),0)</f>
        <v>0</v>
      </c>
      <c r="DH160" s="115" t="str">
        <f aca="false">IF(NOT(Tasks[[#This Row],[_IsLeaf]]=1),"",IF(Tasks[[#This Row],[_AlapShift]]=0,Tasks[[#This Row],[_LeafCalcStart]],WORKDAY.INTL(Tasks[[#This Row],[_LeafCalcStart]],Tasks[[#This Row],[_AlapShift]],WorkWeek,Holidays)))</f>
        <v/>
      </c>
      <c r="DI160" s="115" t="str">
        <f aca="false">IF(NOT(Tasks[[#This Row],[_IsLeaf]]=1),"",IF(Tasks[[#This Row],[_AlapShift]]=0,Tasks[[#This Row],[_LeafCalcFinish]],WORKDAY.INTL(Tasks[[#This Row],[_LeafCalcFinish]],Tasks[[#This Row],[_AlapShift]],WorkWeek,Holidays)))</f>
        <v/>
      </c>
      <c r="DJ160" s="115" t="str">
        <f aca="false">IF(NOT(Tasks[[#This Row],[_IsLeaf]]=1),"",IF(Tasks[[#This Row],[_AlapShift]]=0,Tasks[[#This Row],[_LeafFcstStart]],WORKDAY.INTL(Tasks[[#This Row],[_LeafFcstStart]],Tasks[[#This Row],[_AlapShift]],WorkWeek,Holidays)))</f>
        <v/>
      </c>
      <c r="DK160" s="115" t="str">
        <f aca="false">IF(NOT(Tasks[[#This Row],[_IsLeaf]]=1),"",IF(Tasks[[#This Row],[_AlapShift]]=0,Tasks[[#This Row],[_LeafFcstFinish]],WORKDAY.INTL(Tasks[[#This Row],[_LeafFcstFinish]],Tasks[[#This Row],[_AlapShift]],WorkWeek,Holidays)))</f>
        <v/>
      </c>
      <c r="DL160" s="115" t="str">
        <f aca="false">IF(Tasks[[#This Row],[Task Name]]="","",IF(Tasks[[#This Row],[_IsSummary]],MIN(INDEX(Tasks[_ShownCalcStart],Tasks[[#This Row],[_Row]]+1):INDEX(Tasks[_ShownCalcStart],Tasks[[#This Row],[_Row]]+Tasks[[#This Row],[_Descendants]])),Tasks[[#This Row],[_ShownCalcStart]]))</f>
        <v/>
      </c>
      <c r="DM160" s="115" t="str">
        <f aca="false">IF(Tasks[[#This Row],[Task Name]]="","",IF(Tasks[[#This Row],[_IsSummary]],MAX(INDEX(Tasks[_ShownCalcFinish],Tasks[[#This Row],[_Row]]+1):INDEX(Tasks[_ShownCalcFinish],Tasks[[#This Row],[_Row]]+Tasks[[#This Row],[_Descendants]])),Tasks[[#This Row],[_ShownCalcFinish]]))</f>
        <v/>
      </c>
      <c r="DN16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0" s="38" t="n">
        <f aca="false">IF(AND(Tasks[[#This Row],[_IsLeaf]]=1,Tasks[[#This Row],[_LeafTotalWork]]&gt;0),NETWORKDAYS.INTL(ProjectStart,Tasks[[#This Row],[_ShownFcstStart]],WorkWeek,Holidays),0)</f>
        <v>0</v>
      </c>
      <c r="EA160" s="38" t="n">
        <f aca="false">IF(AND(Tasks[[#This Row],[_IsLeaf]]=1,Tasks[[#This Row],[_LeafTotalWork]]&gt;0),MAX(Tasks[[#This Row],[_StartWorkday]],NETWORKDAYS.INTL(ProjectStart,Tasks[[#This Row],[_ShownFcstFinish]],WorkWeek,Holidays)),0)</f>
        <v>0</v>
      </c>
      <c r="EB160" s="38" t="n">
        <f aca="false">IF(AND(Tasks[[#This Row],[_IsLeaf]]=1,Tasks[[#This Row],[_LeafTotalWork]]&gt;0),Tasks[[#This Row],[_LeafWork]]/(Tasks[[#This Row],[_FinishWorkday]]-Tasks[[#This Row],[_StartWorkday]]+1),0)</f>
        <v>0</v>
      </c>
      <c r="EC160" s="38" t="n">
        <f aca="false">Tasks[[#This Row],[_WorkPerWorkday]]*(Tasks[[#This Row],[_StartWorkday]]-1)</f>
        <v>-0</v>
      </c>
      <c r="ED160" s="38" t="n">
        <f aca="false">IF(Tasks[[#This Row],[_IsLeaf]]=1,MAX(N(Tasks[[#This Row],[Duration]]),0.1),0)</f>
        <v>0</v>
      </c>
      <c r="EE160" s="38" t="n">
        <f aca="false">Tasks[[#This Row],[_WeightDur]]*Tasks[[#This Row],[_LeafProgress]]</f>
        <v>0</v>
      </c>
      <c r="EF16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0" s="38" t="str">
        <f aca="false">IF(AND(Tasks[[#This Row],[_IsLeaf]]=1,N(Tasks[[#This Row],[Duration]])=0,Tasks[[#This Row],[_LeafProgress]]&lt;1),Tasks[[#This Row],[_ShownFcstFinish]]+Tasks[[#This Row],[_Row]]/100000,"")</f>
        <v/>
      </c>
      <c r="EH16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0" s="38" t="n">
        <f aca="false">IF(NOT(Tasks[[#This Row],[_IsLeaf]]=1),0,IF(Tasks[[#This Row],[Baseline Cost]]="",Tasks[[#This Row],[_LeafTotalCost]],N(Tasks[[#This Row],[Baseline Cost]])))</f>
        <v>0</v>
      </c>
      <c r="EJ160" s="38" t="n">
        <f aca="false">Tasks[[#This Row],[_LeafBudget]]*Tasks[[#This Row],[_PlannedPct]]</f>
        <v>0</v>
      </c>
      <c r="EK160" s="38" t="n">
        <f aca="false">Tasks[[#This Row],[_LeafBudget]]*Tasks[[#This Row],[_LeafProgress]]</f>
        <v>0</v>
      </c>
      <c r="EL160" s="38" t="n">
        <f aca="false">IF(NOT(Tasks[[#This Row],[_IsLeaf]]=1),0,IF(Tasks[[#This Row],[Actual Cost]]="",Tasks[[#This Row],[_LeafTotalCost]]*Tasks[[#This Row],[_LeafProgress]],N(Tasks[[#This Row],[Actual Cost]])))</f>
        <v>0</v>
      </c>
      <c r="EM160" s="38" t="str">
        <f aca="false">IF(Tasks[[#This Row],[Task Name]]="","",LEFT(Tasks[[#This Row],[WBS]],FIND(".",Tasks[[#This Row],[WBS]]&amp;".")-1))</f>
        <v/>
      </c>
      <c r="EN160" s="38" t="str">
        <f aca="false">IF(AND(Tasks[[#This Row],[Task Name]]&lt;&gt;"",Tasks[[#This Row],[_Level]]=1),Tasks[[#This Row],[_Row]],"")</f>
        <v/>
      </c>
      <c r="EO160" s="38" t="str">
        <f aca="false">IF(AND(Tasks[[#This Row],[_IsLeaf]]=1,N(Tasks[[#This Row],[Duration]])=0),Tasks[[#This Row],[Planned Finish]]+Tasks[[#This Row],[_Row]]/100000,"")</f>
        <v/>
      </c>
      <c r="EP160" s="38" t="str">
        <f aca="false">IF(AND(Tasks[[#This Row],[_IsLeaf]]=1,Tasks[[#This Row],[_LeafProgress]]&lt;1,OR(N(Tasks[[#This Row],[Finish Var]])&gt;0,Tasks[[#This Row],[Status]]="Late Start")),MAX(0,Tasks[[#This Row],[Finish Var]])+1-Tasks[[#This Row],[_Row]]/1000000,"")</f>
        <v/>
      </c>
      <c r="EQ160" s="38" t="str">
        <f aca="false">IF(AND(Tasks[[#This Row],[_IsLeaf]]=1,N(Tasks[[#This Row],[Actual Start]])=0,Tasks[[#This Row],[_ShownFcstStart]]&gt;=StatusDate,Tasks[[#This Row],[_ShownFcstStart]]&lt;=LookaheadEnd),Tasks[[#This Row],[_ShownFcstStart]]+Tasks[[#This Row],[_Row]]/100000,"")</f>
        <v/>
      </c>
      <c r="ER160" s="38" t="str">
        <f aca="false">IF(AND(Tasks[[#This Row],[_IsLeaf]]=1,Tasks[[#This Row],[_LeafProgress]]&lt;1,Tasks[[#This Row],[_ShownFcstFinish]]&gt;=StatusDate,Tasks[[#This Row],[_ShownFcstFinish]]&lt;=LookaheadEnd),Tasks[[#This Row],[_ShownFcstFinish]]+Tasks[[#This Row],[_Row]]/100000,"")</f>
        <v/>
      </c>
      <c r="ES160" s="38" t="str">
        <f aca="false">IF(Tasks[[#This Row],[_LeafCritical]],Tasks[[#This Row],[_ShownFcstStart]]+Tasks[[#This Row],[_Row]]/100000,"")</f>
        <v/>
      </c>
      <c r="ET160" s="38" t="n">
        <f aca="false">Tasks[[#This Row],[_LeafWork]]*Tasks[[#This Row],[_LeafProgress]]</f>
        <v>0</v>
      </c>
      <c r="EU160" s="115" t="str">
        <f aca="false">IF(AND(Tasks[[#This Row],[_IsLeaf]]=1,Tasks[[#This Row],[_LeafProgress]]&gt;=1),IF(N(Tasks[[#This Row],[Actual Finish]])&gt;0,Tasks[[#This Row],[Actual Finish]],Tasks[[#This Row],[_ShownFcstFinish]]),"")</f>
        <v/>
      </c>
      <c r="EV160" s="38" t="n">
        <f aca="false">IF(Tasks[[#This Row],[_IsLeaf]]=1,N(Tasks[[#This Row],[Story Points]]),0)</f>
        <v>0</v>
      </c>
      <c r="EW160" s="38" t="str">
        <f aca="false">IF(AND(Tasks[[#This Row],[_IsLeaf]]=1,CurrentSprint&lt;&gt;"",Tasks[[#This Row],[Sprint]]=CurrentSprint),Tasks[[#This Row],[_Row]],"")</f>
        <v/>
      </c>
    </row>
    <row r="161" customFormat="false" ht="15" hidden="false" customHeight="false" outlineLevel="0" collapsed="false">
      <c r="A161" s="51" t="str">
        <f aca="false">IF(Tasks[[#This Row],[Task Name]]="","",COUNTA(Tasks[[#Headers],[Task Name]]:Tasks[[#This Row],[Task Name]])-1)</f>
        <v/>
      </c>
      <c r="B161" s="52" t="n">
        <v>156</v>
      </c>
      <c r="C16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52"/>
      <c r="E161" s="53"/>
      <c r="F161" s="52"/>
      <c r="G161" s="52"/>
      <c r="H161" s="52"/>
      <c r="I161" s="52"/>
      <c r="J161" s="52"/>
      <c r="K161" s="52"/>
      <c r="L161" s="52"/>
      <c r="M161" s="52"/>
      <c r="N161" s="52"/>
      <c r="O161" s="52"/>
      <c r="P161" s="52"/>
      <c r="Q161" s="52"/>
      <c r="R161" s="52"/>
      <c r="S161" s="53"/>
      <c r="T161" s="102"/>
      <c r="U161" s="102"/>
      <c r="V161" s="7"/>
      <c r="W161" s="7"/>
      <c r="X161" s="53"/>
      <c r="Y161" s="31" t="str">
        <f aca="false">IF(Tasks[[#This Row],[Task Name]]="","",IF(Tasks[[#This Row],[_IsSummary]],MIN(INDEX(Tasks[_ShownFcstStart],Tasks[[#This Row],[_Row]]+1):INDEX(Tasks[_ShownFcstStart],Tasks[[#This Row],[_Row]]+Tasks[[#This Row],[_Descendants]])),Tasks[[#This Row],[_ShownFcstStart]]))</f>
        <v/>
      </c>
      <c r="Z161" s="31" t="str">
        <f aca="false">IF(Tasks[[#This Row],[Task Name]]="","",IF(Tasks[[#This Row],[_IsSummary]],MAX(INDEX(Tasks[_ShownFcstFinish],Tasks[[#This Row],[_Row]]+1):INDEX(Tasks[_ShownFcstFinish],Tasks[[#This Row],[_Row]]+Tasks[[#This Row],[_Descendants]])),Tasks[[#This Row],[_ShownFcstFinish]]))</f>
        <v/>
      </c>
      <c r="AA161" s="51" t="str">
        <f aca="false">IF(Tasks[[#This Row],[Task Name]]="","",IF(Tasks[[#This Row],[Progress]]&gt;=1,"Complete",IF(OR(N(Tasks[[#This Row],[Actual Start]])&gt;0,Tasks[[#This Row],[Progress]]&gt;0),IF(Tasks[[#This Row],[Finish Var]]&gt;0,"Behind","In Progress"),IF(Tasks[[#This Row],[Planned Start]]&lt;StatusDate,"Late Start","Not Started"))))</f>
        <v/>
      </c>
      <c r="AB161" s="51" t="str">
        <f aca="false">IF(Tasks[[#This Row],[Task Name]]="","",IF(IF(Tasks[[#This Row],[_IsSummary]],COUNTIF(INDEX(Tasks[_LeafCritical],Tasks[[#This Row],[_Row]]+1):INDEX(Tasks[_LeafCritical],Tasks[[#This Row],[_Row]]+Tasks[[#This Row],[_Descendants]]),TRUE())&gt;0,Tasks[[#This Row],[_LeafCritical]]),"Yes",""))</f>
        <v/>
      </c>
      <c r="AC16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1" s="51" t="str">
        <f aca="false">IF(Tasks[[#This Row],[Task Name]]="","",IF(Tasks[[#This Row],[_Level]]&lt;=OutlineShowLevel,"Yes","No"))</f>
        <v/>
      </c>
      <c r="AE161" s="7"/>
      <c r="AF161" s="52"/>
      <c r="AG161" s="53"/>
      <c r="AH161" s="7"/>
      <c r="AI16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1" s="31" t="str">
        <f aca="false">IF(Tasks[[#This Row],[Task Name]]="","",IF(N(Tasks[[#This Row],[Baseline Start]])&gt;0,Tasks[[#This Row],[Baseline Start]],Tasks[[#This Row],[_CalcStart]]))</f>
        <v/>
      </c>
      <c r="AK161" s="31" t="str">
        <f aca="false">IF(Tasks[[#This Row],[Task Name]]="","",IF(N(Tasks[[#This Row],[Baseline Finish]])&gt;0,Tasks[[#This Row],[Baseline Finish]],Tasks[[#This Row],[_CalcFinish]]))</f>
        <v/>
      </c>
      <c r="AL16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1" s="31" t="str">
        <f aca="false">IF(Tasks[[#This Row],[Task Name]]="","",IF(Tasks[[#This Row],[_IsSummary]],MIN(INDEX(Tasks[_LeafLateStart],Tasks[[#This Row],[_Row]]+1):INDEX(Tasks[_LeafLateStart],Tasks[[#This Row],[_Row]]+Tasks[[#This Row],[_Descendants]])),Tasks[[#This Row],[_LeafLateStart]]))</f>
        <v/>
      </c>
      <c r="AN161" s="31" t="str">
        <f aca="false">IF(Tasks[[#This Row],[Task Name]]="","",IF(Tasks[[#This Row],[_IsSummary]],MAX(INDEX(Tasks[_LeafLateFinish],Tasks[[#This Row],[_Row]]+1):INDEX(Tasks[_LeafLateFinish],Tasks[[#This Row],[_Row]]+Tasks[[#This Row],[_Descendants]])),Tasks[[#This Row],[_LeafLateFinish]]))</f>
        <v/>
      </c>
      <c r="AO161" s="51" t="str">
        <f aca="false">IF(Tasks[[#This Row],[Task Name]]="","",IF(Tasks[[#This Row],[_IsSummary]],MIN(INDEX(Tasks[_LeafTotalSlack],Tasks[[#This Row],[_Row]]+1):INDEX(Tasks[_LeafTotalSlack],Tasks[[#This Row],[_Row]]+Tasks[[#This Row],[_Descendants]])),Tasks[[#This Row],[_LeafTotalSlack]]))</f>
        <v/>
      </c>
      <c r="AP16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1" s="110" t="str">
        <f aca="false">IF(Tasks[[#This Row],[Task Name]]="","",IF(Tasks[[#This Row],[_IsSummary]],SUM(INDEX(Tasks[_LeafTotalWork],Tasks[[#This Row],[_Row]]+1):INDEX(Tasks[_LeafTotalWork],Tasks[[#This Row],[_Row]]+Tasks[[#This Row],[_Descendants]])),Tasks[[#This Row],[_LeafTotalWork]]))</f>
        <v/>
      </c>
      <c r="AV16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1" s="111" t="str">
        <f aca="false">IF(Tasks[[#This Row],[Task Name]]="","",IF(Tasks[[#This Row],[_IsSummary]],SUM(INDEX(Tasks[_LeafTotalCost],Tasks[[#This Row],[_Row]]+1):INDEX(Tasks[_LeafTotalCost],Tasks[[#This Row],[_Row]]+Tasks[[#This Row],[_Descendants]])),Tasks[[#This Row],[_LeafTotalCost]]))</f>
        <v/>
      </c>
      <c r="AY161" s="112"/>
      <c r="AZ16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1" s="52"/>
      <c r="BB161" s="98"/>
      <c r="BC161" s="51" t="str">
        <f aca="false">IF(OR(Tasks[[#This Row],[Task Name]]="",Tasks[[#This Row],[Baseline Duration]]=""),"",Tasks[[#This Row],[BL Source Duration]]-N(Tasks[[#This Row],[Baseline Duration]]))</f>
        <v/>
      </c>
      <c r="BD161" s="110" t="str">
        <f aca="false">IF(OR(Tasks[[#This Row],[Task Name]]="",Tasks[[#This Row],[Baseline Work]]=""),"",Tasks[[#This Row],[Work]]-N(Tasks[[#This Row],[Baseline Work]]))</f>
        <v/>
      </c>
      <c r="BE161" s="111" t="str">
        <f aca="false">IF(OR(Tasks[[#This Row],[Task Name]]="",Tasks[[#This Row],[Baseline Cost]]=""),"",Tasks[[#This Row],[Cost]]-N(Tasks[[#This Row],[Baseline Cost]]))</f>
        <v/>
      </c>
      <c r="BF161" s="31" t="str">
        <f aca="false">IF(Tasks[[#This Row],[Task Name]]="","",Tasks[[#This Row],[Forecast Start]])</f>
        <v/>
      </c>
      <c r="BG161" s="31" t="str">
        <f aca="false">IF(Tasks[[#This Row],[Task Name]]="","",Tasks[[#This Row],[Forecast Finish]])</f>
        <v/>
      </c>
      <c r="BH161" s="51" t="str">
        <f aca="false">IF(Tasks[[#This Row],[Task Name]]="","",IF(Tasks[[#This Row],[_IsSummary]],NETWORKDAYS.INTL(Tasks[[#This Row],[Forecast Start]],Tasks[[#This Row],[Forecast Finish]],WorkWeek,Holidays),N(Tasks[[#This Row],[Duration]])))</f>
        <v/>
      </c>
      <c r="BI161" s="110" t="str">
        <f aca="false">IF(Tasks[[#This Row],[Task Name]]="","",Tasks[[#This Row],[Work]])</f>
        <v/>
      </c>
      <c r="BJ161" s="111" t="str">
        <f aca="false">IF(Tasks[[#This Row],[Task Name]]="","",Tasks[[#This Row],[Cost]])</f>
        <v/>
      </c>
      <c r="BK161" s="7"/>
      <c r="BL161" s="7"/>
      <c r="BM161" s="52"/>
      <c r="BN161" s="113"/>
      <c r="BO161" s="112"/>
      <c r="BP161" s="111" t="str">
        <f aca="false">IF(Tasks[[#This Row],[Task Name]]="","",IF(Tasks[[#This Row],[_IsSummary]],SUM(INDEX(Tasks[_LeafEV],Tasks[[#This Row],[_Row]]+1):INDEX(Tasks[_LeafEV],Tasks[[#This Row],[_Row]]+Tasks[[#This Row],[_Descendants]])),Tasks[[#This Row],[_LeafEV]]))</f>
        <v/>
      </c>
      <c r="BQ161" s="111" t="str">
        <f aca="false">IF(Tasks[[#This Row],[Task Name]]="","",IF(Tasks[[#This Row],[_IsSummary]],SUM(INDEX(Tasks[_LeafBudget],Tasks[[#This Row],[_Row]]+1):INDEX(Tasks[_LeafBudget],Tasks[[#This Row],[_Row]]+Tasks[[#This Row],[_Descendants]])),Tasks[[#This Row],[_LeafBudget]]))</f>
        <v/>
      </c>
      <c r="BR161" s="111" t="str">
        <f aca="false">IF(Tasks[[#This Row],[Task Name]]="","",IF(Tasks[[#This Row],[_IsSummary]],SUM(INDEX(Tasks[_LeafPV],Tasks[[#This Row],[_Row]]+1):INDEX(Tasks[_LeafPV],Tasks[[#This Row],[_Row]]+Tasks[[#This Row],[_Descendants]])),Tasks[[#This Row],[_LeafPV]]))</f>
        <v/>
      </c>
      <c r="BS161" s="111" t="str">
        <f aca="false">IF(Tasks[[#This Row],[Task Name]]="","",IF(Tasks[[#This Row],[_IsSummary]],SUM(INDEX(Tasks[_LeafAC],Tasks[[#This Row],[_Row]]+1):INDEX(Tasks[_LeafAC],Tasks[[#This Row],[_Row]]+Tasks[[#This Row],[_Descendants]])),Tasks[[#This Row],[_LeafAC]]))</f>
        <v/>
      </c>
      <c r="BT161" s="38" t="str">
        <f aca="false">IF(Tasks[[#This Row],[Task Name]]="","",MAX(1,N(Tasks[[#This Row],[Level]])))</f>
        <v/>
      </c>
      <c r="BU161" s="38" t="n">
        <f aca="false">ROW()-ROW(Tasks[[#Headers],[ID]])</f>
        <v>156</v>
      </c>
      <c r="BV161" s="38" t="n">
        <f aca="false">IF(OR(Tasks[[#This Row],[Task Name]]="",Tasks[[#This Row],[_Level]]&lt;=1),0,IFERROR(LOOKUP(2,1/(Tasks[[#Headers],[_Level]]:Tasks[[#This Row],[_Level]]=Tasks[[#This Row],[_Level]]-1),ROW(Tasks[[#Headers],[_Level]]:Tasks[[#This Row],[_Level]])),0))</f>
        <v>0</v>
      </c>
      <c r="BW161" s="38" t="n">
        <f aca="false">IFERROR(N(INDEX(Tasks[_Level],Tasks[[#This Row],[_Row]]+1)),0)</f>
        <v>0</v>
      </c>
      <c r="BX161" s="114" t="b">
        <f aca="false">AND(Tasks[[#This Row],[Task Name]]&lt;&gt;"",Tasks[[#This Row],[_NextLevel]]&gt;Tasks[[#This Row],[_Level]])</f>
        <v>0</v>
      </c>
      <c r="BY161" s="38" t="n">
        <f aca="false">IF(Tasks[[#This Row],[_IsSummary]],COUNTIF(Tasks[WBS],Tasks[[#This Row],[WBS]]&amp;".*"),0)</f>
        <v>0</v>
      </c>
      <c r="BZ161" s="38" t="n">
        <f aca="false">IF(AND(Tasks[[#This Row],[Task Name]]&lt;&gt;"",NOT(Tasks[[#This Row],[_IsSummary]])),1,0)</f>
        <v>0</v>
      </c>
      <c r="CA161" s="38" t="n">
        <f aca="false">IF(N(Tasks[[#This Row],[Pred1 UID]])=0,0,IFERROR(MATCH(Tasks[[#This Row],[Pred1 UID]],Tasks[UID],0),-1))</f>
        <v>0</v>
      </c>
      <c r="CB161" s="38" t="n">
        <f aca="false">IF(N(Tasks[[#This Row],[Pred2 UID]])=0,0,IFERROR(MATCH(Tasks[[#This Row],[Pred2 UID]],Tasks[UID],0),-1))</f>
        <v>0</v>
      </c>
      <c r="CC161" s="38" t="n">
        <f aca="false">IF(N(Tasks[[#This Row],[Pred3 UID]])=0,0,IFERROR(MATCH(Tasks[[#This Row],[Pred3 UID]],Tasks[UID],0),-1))</f>
        <v>0</v>
      </c>
      <c r="CD161" s="38" t="n">
        <f aca="false">IF(N(Tasks[[#This Row],[Pred4 UID]])=0,0,IFERROR(MATCH(Tasks[[#This Row],[Pred4 UID]],Tasks[UID],0),-1))</f>
        <v>0</v>
      </c>
      <c r="CE16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1" s="115" t="n">
        <f aca="false">IF(OR(Tasks[[#This Row],[_ConstraintCode]]=2,Tasks[[#This Row],[_ConstraintCode]]=3,Tasks[[#This Row],[_ConstraintCode]]=4,Tasks[[#This Row],[_ConstraintCode]]=6),Tasks[[#This Row],[_ConstraintStart]],0)</f>
        <v>0</v>
      </c>
      <c r="CH161" s="115" t="n">
        <f aca="false">IF(OR(Tasks[[#This Row],[_ConstraintCode]]=2,Tasks[[#This Row],[_ConstraintCode]]=3,Tasks[[#This Row],[_ConstraintCode]]=5,Tasks[[#This Row],[_ConstraintCode]]=7),Tasks[[#This Row],[_ConstraintStart]],2958465)</f>
        <v>2958465</v>
      </c>
      <c r="CI16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1" s="115" t="str">
        <f aca="false">IF(NOT(Tasks[[#This Row],[_IsLeaf]]=1),"",IF(N(Tasks[[#This Row],[Duration]])&lt;=0,Tasks[[#This Row],[_LeafCalcStart]],WORKDAY.INTL(Tasks[[#This Row],[_LeafCalcStart]],Tasks[[#This Row],[Duration]]-1,WorkWeek,Holidays)))</f>
        <v/>
      </c>
      <c r="CK16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1" s="38" t="n">
        <f aca="false">IF(NOT(Tasks[[#This Row],[_IsLeaf]]=1),0,IF(N(Tasks[[#This Row],[Actual Finish]])&gt;0,1,MIN(1,N(Tasks[[#This Row],[% Complete]]))))</f>
        <v>0</v>
      </c>
      <c r="CN161" s="38" t="n">
        <f aca="false">IF(OR(NOT(Tasks[[#This Row],[_IsLeaf]]=1),Tasks[[#This Row],[Resource]]=""),0,N(Tasks[[#This Row],[Duration]])*HoursPerDay*IF(Tasks[[#This Row],[Units]]="",DefaultUnits,Tasks[[#This Row],[Units]]))</f>
        <v>0</v>
      </c>
      <c r="CO161" s="38" t="n">
        <f aca="false">IF(Tasks[[#This Row],[_LeafWork]]=0,0,Tasks[[#This Row],[_LeafWork]]*IFERROR(INDEX(res_Rate,MATCH(Tasks[[#This Row],[Resource]],res_Name,0)),0))</f>
        <v>0</v>
      </c>
      <c r="CP161" s="38" t="n">
        <f aca="false">Tasks[[#This Row],[_LeafWork]]+IF(Tasks[[#This Row],[_IsLeaf]]=1,SUMIFS(asg_Work,asg_TaskUID,Tasks[[#This Row],[UID]],asg_Valid,1),0)</f>
        <v>0</v>
      </c>
      <c r="CQ161" s="38" t="n">
        <f aca="false">Tasks[[#This Row],[_LeafCost]]+IF(Tasks[[#This Row],[_IsLeaf]]=1,SUMIFS(asg_Cost,asg_TaskUID,Tasks[[#This Row],[UID]],asg_Valid,1),0)</f>
        <v>0</v>
      </c>
      <c r="CR161" s="38" t="n">
        <f aca="false">IF(Tasks[[#This Row],[_LeafTotalCost]]=0,Tasks[[#This Row],[_LeafAC]],Tasks[[#This Row],[_LeafAC]]*Tasks[[#This Row],[_LeafCost]]/Tasks[[#This Row],[_LeafTotalCost]])</f>
        <v>0</v>
      </c>
      <c r="CS16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1" s="38" t="n">
        <f aca="false">IF(NOT(Tasks[[#This Row],[_IsLeaf]]=1),0,MAX(_xlfn.MAXIFS(Tasks[_Row],Tasks[Pred1 UID],Tasks[[#This Row],[UID]]),_xlfn.MAXIFS(Tasks[_Row],Tasks[Pred2 UID],Tasks[[#This Row],[UID]]),_xlfn.MAXIFS(Tasks[_Row],Tasks[Pred3 UID],Tasks[[#This Row],[UID]]),_xlfn.MAXIFS(Tasks[_Row],Tasks[Pred4 UID],Tasks[[#This Row],[UID]])))</f>
        <v>0</v>
      </c>
      <c r="DB16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1" s="115" t="str">
        <f aca="false">IF(NOT(Tasks[[#This Row],[_IsLeaf]]=1),"",IF(N(Tasks[[#This Row],[Duration]])&lt;=0,Tasks[[#This Row],[_LeafLateFinish]],WORKDAY.INTL(Tasks[[#This Row],[_LeafLateFinish]],-(Tasks[[#This Row],[Duration]]-1),WorkWeek,Holidays)))</f>
        <v/>
      </c>
      <c r="DE16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1" s="114" t="b">
        <f aca="false">AND(Tasks[[#This Row],[_IsLeaf]]=1,Tasks[[#This Row],[_LeafProgress]]&lt;1,N(Tasks[[#This Row],[_LeafTotalSlack]])&lt;=CriticalSlackDays)</f>
        <v>0</v>
      </c>
      <c r="DG161" s="38" t="n">
        <f aca="false">IF(AND(Tasks[[#This Row],[_IsLeaf]]=1,Tasks[[#This Row],[_ConstraintCode]]=1,Tasks[[#This Row],[Mode]]&lt;&gt;"Manual",N(Tasks[[#This Row],[Actual Start]])=0),MAX(0,N(Tasks[[#This Row],[Free Slack]])),0)</f>
        <v>0</v>
      </c>
      <c r="DH161" s="115" t="str">
        <f aca="false">IF(NOT(Tasks[[#This Row],[_IsLeaf]]=1),"",IF(Tasks[[#This Row],[_AlapShift]]=0,Tasks[[#This Row],[_LeafCalcStart]],WORKDAY.INTL(Tasks[[#This Row],[_LeafCalcStart]],Tasks[[#This Row],[_AlapShift]],WorkWeek,Holidays)))</f>
        <v/>
      </c>
      <c r="DI161" s="115" t="str">
        <f aca="false">IF(NOT(Tasks[[#This Row],[_IsLeaf]]=1),"",IF(Tasks[[#This Row],[_AlapShift]]=0,Tasks[[#This Row],[_LeafCalcFinish]],WORKDAY.INTL(Tasks[[#This Row],[_LeafCalcFinish]],Tasks[[#This Row],[_AlapShift]],WorkWeek,Holidays)))</f>
        <v/>
      </c>
      <c r="DJ161" s="115" t="str">
        <f aca="false">IF(NOT(Tasks[[#This Row],[_IsLeaf]]=1),"",IF(Tasks[[#This Row],[_AlapShift]]=0,Tasks[[#This Row],[_LeafFcstStart]],WORKDAY.INTL(Tasks[[#This Row],[_LeafFcstStart]],Tasks[[#This Row],[_AlapShift]],WorkWeek,Holidays)))</f>
        <v/>
      </c>
      <c r="DK161" s="115" t="str">
        <f aca="false">IF(NOT(Tasks[[#This Row],[_IsLeaf]]=1),"",IF(Tasks[[#This Row],[_AlapShift]]=0,Tasks[[#This Row],[_LeafFcstFinish]],WORKDAY.INTL(Tasks[[#This Row],[_LeafFcstFinish]],Tasks[[#This Row],[_AlapShift]],WorkWeek,Holidays)))</f>
        <v/>
      </c>
      <c r="DL161" s="115" t="str">
        <f aca="false">IF(Tasks[[#This Row],[Task Name]]="","",IF(Tasks[[#This Row],[_IsSummary]],MIN(INDEX(Tasks[_ShownCalcStart],Tasks[[#This Row],[_Row]]+1):INDEX(Tasks[_ShownCalcStart],Tasks[[#This Row],[_Row]]+Tasks[[#This Row],[_Descendants]])),Tasks[[#This Row],[_ShownCalcStart]]))</f>
        <v/>
      </c>
      <c r="DM161" s="115" t="str">
        <f aca="false">IF(Tasks[[#This Row],[Task Name]]="","",IF(Tasks[[#This Row],[_IsSummary]],MAX(INDEX(Tasks[_ShownCalcFinish],Tasks[[#This Row],[_Row]]+1):INDEX(Tasks[_ShownCalcFinish],Tasks[[#This Row],[_Row]]+Tasks[[#This Row],[_Descendants]])),Tasks[[#This Row],[_ShownCalcFinish]]))</f>
        <v/>
      </c>
      <c r="DN16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1" s="38" t="n">
        <f aca="false">IF(AND(Tasks[[#This Row],[_IsLeaf]]=1,Tasks[[#This Row],[_LeafTotalWork]]&gt;0),NETWORKDAYS.INTL(ProjectStart,Tasks[[#This Row],[_ShownFcstStart]],WorkWeek,Holidays),0)</f>
        <v>0</v>
      </c>
      <c r="EA161" s="38" t="n">
        <f aca="false">IF(AND(Tasks[[#This Row],[_IsLeaf]]=1,Tasks[[#This Row],[_LeafTotalWork]]&gt;0),MAX(Tasks[[#This Row],[_StartWorkday]],NETWORKDAYS.INTL(ProjectStart,Tasks[[#This Row],[_ShownFcstFinish]],WorkWeek,Holidays)),0)</f>
        <v>0</v>
      </c>
      <c r="EB161" s="38" t="n">
        <f aca="false">IF(AND(Tasks[[#This Row],[_IsLeaf]]=1,Tasks[[#This Row],[_LeafTotalWork]]&gt;0),Tasks[[#This Row],[_LeafWork]]/(Tasks[[#This Row],[_FinishWorkday]]-Tasks[[#This Row],[_StartWorkday]]+1),0)</f>
        <v>0</v>
      </c>
      <c r="EC161" s="38" t="n">
        <f aca="false">Tasks[[#This Row],[_WorkPerWorkday]]*(Tasks[[#This Row],[_StartWorkday]]-1)</f>
        <v>-0</v>
      </c>
      <c r="ED161" s="38" t="n">
        <f aca="false">IF(Tasks[[#This Row],[_IsLeaf]]=1,MAX(N(Tasks[[#This Row],[Duration]]),0.1),0)</f>
        <v>0</v>
      </c>
      <c r="EE161" s="38" t="n">
        <f aca="false">Tasks[[#This Row],[_WeightDur]]*Tasks[[#This Row],[_LeafProgress]]</f>
        <v>0</v>
      </c>
      <c r="EF16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1" s="38" t="str">
        <f aca="false">IF(AND(Tasks[[#This Row],[_IsLeaf]]=1,N(Tasks[[#This Row],[Duration]])=0,Tasks[[#This Row],[_LeafProgress]]&lt;1),Tasks[[#This Row],[_ShownFcstFinish]]+Tasks[[#This Row],[_Row]]/100000,"")</f>
        <v/>
      </c>
      <c r="EH16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1" s="38" t="n">
        <f aca="false">IF(NOT(Tasks[[#This Row],[_IsLeaf]]=1),0,IF(Tasks[[#This Row],[Baseline Cost]]="",Tasks[[#This Row],[_LeafTotalCost]],N(Tasks[[#This Row],[Baseline Cost]])))</f>
        <v>0</v>
      </c>
      <c r="EJ161" s="38" t="n">
        <f aca="false">Tasks[[#This Row],[_LeafBudget]]*Tasks[[#This Row],[_PlannedPct]]</f>
        <v>0</v>
      </c>
      <c r="EK161" s="38" t="n">
        <f aca="false">Tasks[[#This Row],[_LeafBudget]]*Tasks[[#This Row],[_LeafProgress]]</f>
        <v>0</v>
      </c>
      <c r="EL161" s="38" t="n">
        <f aca="false">IF(NOT(Tasks[[#This Row],[_IsLeaf]]=1),0,IF(Tasks[[#This Row],[Actual Cost]]="",Tasks[[#This Row],[_LeafTotalCost]]*Tasks[[#This Row],[_LeafProgress]],N(Tasks[[#This Row],[Actual Cost]])))</f>
        <v>0</v>
      </c>
      <c r="EM161" s="38" t="str">
        <f aca="false">IF(Tasks[[#This Row],[Task Name]]="","",LEFT(Tasks[[#This Row],[WBS]],FIND(".",Tasks[[#This Row],[WBS]]&amp;".")-1))</f>
        <v/>
      </c>
      <c r="EN161" s="38" t="str">
        <f aca="false">IF(AND(Tasks[[#This Row],[Task Name]]&lt;&gt;"",Tasks[[#This Row],[_Level]]=1),Tasks[[#This Row],[_Row]],"")</f>
        <v/>
      </c>
      <c r="EO161" s="38" t="str">
        <f aca="false">IF(AND(Tasks[[#This Row],[_IsLeaf]]=1,N(Tasks[[#This Row],[Duration]])=0),Tasks[[#This Row],[Planned Finish]]+Tasks[[#This Row],[_Row]]/100000,"")</f>
        <v/>
      </c>
      <c r="EP161" s="38" t="str">
        <f aca="false">IF(AND(Tasks[[#This Row],[_IsLeaf]]=1,Tasks[[#This Row],[_LeafProgress]]&lt;1,OR(N(Tasks[[#This Row],[Finish Var]])&gt;0,Tasks[[#This Row],[Status]]="Late Start")),MAX(0,Tasks[[#This Row],[Finish Var]])+1-Tasks[[#This Row],[_Row]]/1000000,"")</f>
        <v/>
      </c>
      <c r="EQ161" s="38" t="str">
        <f aca="false">IF(AND(Tasks[[#This Row],[_IsLeaf]]=1,N(Tasks[[#This Row],[Actual Start]])=0,Tasks[[#This Row],[_ShownFcstStart]]&gt;=StatusDate,Tasks[[#This Row],[_ShownFcstStart]]&lt;=LookaheadEnd),Tasks[[#This Row],[_ShownFcstStart]]+Tasks[[#This Row],[_Row]]/100000,"")</f>
        <v/>
      </c>
      <c r="ER161" s="38" t="str">
        <f aca="false">IF(AND(Tasks[[#This Row],[_IsLeaf]]=1,Tasks[[#This Row],[_LeafProgress]]&lt;1,Tasks[[#This Row],[_ShownFcstFinish]]&gt;=StatusDate,Tasks[[#This Row],[_ShownFcstFinish]]&lt;=LookaheadEnd),Tasks[[#This Row],[_ShownFcstFinish]]+Tasks[[#This Row],[_Row]]/100000,"")</f>
        <v/>
      </c>
      <c r="ES161" s="38" t="str">
        <f aca="false">IF(Tasks[[#This Row],[_LeafCritical]],Tasks[[#This Row],[_ShownFcstStart]]+Tasks[[#This Row],[_Row]]/100000,"")</f>
        <v/>
      </c>
      <c r="ET161" s="38" t="n">
        <f aca="false">Tasks[[#This Row],[_LeafWork]]*Tasks[[#This Row],[_LeafProgress]]</f>
        <v>0</v>
      </c>
      <c r="EU161" s="115" t="str">
        <f aca="false">IF(AND(Tasks[[#This Row],[_IsLeaf]]=1,Tasks[[#This Row],[_LeafProgress]]&gt;=1),IF(N(Tasks[[#This Row],[Actual Finish]])&gt;0,Tasks[[#This Row],[Actual Finish]],Tasks[[#This Row],[_ShownFcstFinish]]),"")</f>
        <v/>
      </c>
      <c r="EV161" s="38" t="n">
        <f aca="false">IF(Tasks[[#This Row],[_IsLeaf]]=1,N(Tasks[[#This Row],[Story Points]]),0)</f>
        <v>0</v>
      </c>
      <c r="EW161" s="38" t="str">
        <f aca="false">IF(AND(Tasks[[#This Row],[_IsLeaf]]=1,CurrentSprint&lt;&gt;"",Tasks[[#This Row],[Sprint]]=CurrentSprint),Tasks[[#This Row],[_Row]],"")</f>
        <v/>
      </c>
    </row>
    <row r="162" customFormat="false" ht="15" hidden="false" customHeight="false" outlineLevel="0" collapsed="false">
      <c r="A162" s="51" t="str">
        <f aca="false">IF(Tasks[[#This Row],[Task Name]]="","",COUNTA(Tasks[[#Headers],[Task Name]]:Tasks[[#This Row],[Task Name]])-1)</f>
        <v/>
      </c>
      <c r="B162" s="52" t="n">
        <v>157</v>
      </c>
      <c r="C16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52"/>
      <c r="E162" s="53"/>
      <c r="F162" s="52"/>
      <c r="G162" s="52"/>
      <c r="H162" s="52"/>
      <c r="I162" s="52"/>
      <c r="J162" s="52"/>
      <c r="K162" s="52"/>
      <c r="L162" s="52"/>
      <c r="M162" s="52"/>
      <c r="N162" s="52"/>
      <c r="O162" s="52"/>
      <c r="P162" s="52"/>
      <c r="Q162" s="52"/>
      <c r="R162" s="52"/>
      <c r="S162" s="53"/>
      <c r="T162" s="102"/>
      <c r="U162" s="102"/>
      <c r="V162" s="7"/>
      <c r="W162" s="7"/>
      <c r="X162" s="53"/>
      <c r="Y162" s="31" t="str">
        <f aca="false">IF(Tasks[[#This Row],[Task Name]]="","",IF(Tasks[[#This Row],[_IsSummary]],MIN(INDEX(Tasks[_ShownFcstStart],Tasks[[#This Row],[_Row]]+1):INDEX(Tasks[_ShownFcstStart],Tasks[[#This Row],[_Row]]+Tasks[[#This Row],[_Descendants]])),Tasks[[#This Row],[_ShownFcstStart]]))</f>
        <v/>
      </c>
      <c r="Z162" s="31" t="str">
        <f aca="false">IF(Tasks[[#This Row],[Task Name]]="","",IF(Tasks[[#This Row],[_IsSummary]],MAX(INDEX(Tasks[_ShownFcstFinish],Tasks[[#This Row],[_Row]]+1):INDEX(Tasks[_ShownFcstFinish],Tasks[[#This Row],[_Row]]+Tasks[[#This Row],[_Descendants]])),Tasks[[#This Row],[_ShownFcstFinish]]))</f>
        <v/>
      </c>
      <c r="AA162" s="51" t="str">
        <f aca="false">IF(Tasks[[#This Row],[Task Name]]="","",IF(Tasks[[#This Row],[Progress]]&gt;=1,"Complete",IF(OR(N(Tasks[[#This Row],[Actual Start]])&gt;0,Tasks[[#This Row],[Progress]]&gt;0),IF(Tasks[[#This Row],[Finish Var]]&gt;0,"Behind","In Progress"),IF(Tasks[[#This Row],[Planned Start]]&lt;StatusDate,"Late Start","Not Started"))))</f>
        <v/>
      </c>
      <c r="AB162" s="51" t="str">
        <f aca="false">IF(Tasks[[#This Row],[Task Name]]="","",IF(IF(Tasks[[#This Row],[_IsSummary]],COUNTIF(INDEX(Tasks[_LeafCritical],Tasks[[#This Row],[_Row]]+1):INDEX(Tasks[_LeafCritical],Tasks[[#This Row],[_Row]]+Tasks[[#This Row],[_Descendants]]),TRUE())&gt;0,Tasks[[#This Row],[_LeafCritical]]),"Yes",""))</f>
        <v/>
      </c>
      <c r="AC16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2" s="51" t="str">
        <f aca="false">IF(Tasks[[#This Row],[Task Name]]="","",IF(Tasks[[#This Row],[_Level]]&lt;=OutlineShowLevel,"Yes","No"))</f>
        <v/>
      </c>
      <c r="AE162" s="7"/>
      <c r="AF162" s="52"/>
      <c r="AG162" s="53"/>
      <c r="AH162" s="7"/>
      <c r="AI16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2" s="31" t="str">
        <f aca="false">IF(Tasks[[#This Row],[Task Name]]="","",IF(N(Tasks[[#This Row],[Baseline Start]])&gt;0,Tasks[[#This Row],[Baseline Start]],Tasks[[#This Row],[_CalcStart]]))</f>
        <v/>
      </c>
      <c r="AK162" s="31" t="str">
        <f aca="false">IF(Tasks[[#This Row],[Task Name]]="","",IF(N(Tasks[[#This Row],[Baseline Finish]])&gt;0,Tasks[[#This Row],[Baseline Finish]],Tasks[[#This Row],[_CalcFinish]]))</f>
        <v/>
      </c>
      <c r="AL16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2" s="31" t="str">
        <f aca="false">IF(Tasks[[#This Row],[Task Name]]="","",IF(Tasks[[#This Row],[_IsSummary]],MIN(INDEX(Tasks[_LeafLateStart],Tasks[[#This Row],[_Row]]+1):INDEX(Tasks[_LeafLateStart],Tasks[[#This Row],[_Row]]+Tasks[[#This Row],[_Descendants]])),Tasks[[#This Row],[_LeafLateStart]]))</f>
        <v/>
      </c>
      <c r="AN162" s="31" t="str">
        <f aca="false">IF(Tasks[[#This Row],[Task Name]]="","",IF(Tasks[[#This Row],[_IsSummary]],MAX(INDEX(Tasks[_LeafLateFinish],Tasks[[#This Row],[_Row]]+1):INDEX(Tasks[_LeafLateFinish],Tasks[[#This Row],[_Row]]+Tasks[[#This Row],[_Descendants]])),Tasks[[#This Row],[_LeafLateFinish]]))</f>
        <v/>
      </c>
      <c r="AO162" s="51" t="str">
        <f aca="false">IF(Tasks[[#This Row],[Task Name]]="","",IF(Tasks[[#This Row],[_IsSummary]],MIN(INDEX(Tasks[_LeafTotalSlack],Tasks[[#This Row],[_Row]]+1):INDEX(Tasks[_LeafTotalSlack],Tasks[[#This Row],[_Row]]+Tasks[[#This Row],[_Descendants]])),Tasks[[#This Row],[_LeafTotalSlack]]))</f>
        <v/>
      </c>
      <c r="AP16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2" s="110" t="str">
        <f aca="false">IF(Tasks[[#This Row],[Task Name]]="","",IF(Tasks[[#This Row],[_IsSummary]],SUM(INDEX(Tasks[_LeafTotalWork],Tasks[[#This Row],[_Row]]+1):INDEX(Tasks[_LeafTotalWork],Tasks[[#This Row],[_Row]]+Tasks[[#This Row],[_Descendants]])),Tasks[[#This Row],[_LeafTotalWork]]))</f>
        <v/>
      </c>
      <c r="AV16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2" s="111" t="str">
        <f aca="false">IF(Tasks[[#This Row],[Task Name]]="","",IF(Tasks[[#This Row],[_IsSummary]],SUM(INDEX(Tasks[_LeafTotalCost],Tasks[[#This Row],[_Row]]+1):INDEX(Tasks[_LeafTotalCost],Tasks[[#This Row],[_Row]]+Tasks[[#This Row],[_Descendants]])),Tasks[[#This Row],[_LeafTotalCost]]))</f>
        <v/>
      </c>
      <c r="AY162" s="112"/>
      <c r="AZ16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2" s="52"/>
      <c r="BB162" s="98"/>
      <c r="BC162" s="51" t="str">
        <f aca="false">IF(OR(Tasks[[#This Row],[Task Name]]="",Tasks[[#This Row],[Baseline Duration]]=""),"",Tasks[[#This Row],[BL Source Duration]]-N(Tasks[[#This Row],[Baseline Duration]]))</f>
        <v/>
      </c>
      <c r="BD162" s="110" t="str">
        <f aca="false">IF(OR(Tasks[[#This Row],[Task Name]]="",Tasks[[#This Row],[Baseline Work]]=""),"",Tasks[[#This Row],[Work]]-N(Tasks[[#This Row],[Baseline Work]]))</f>
        <v/>
      </c>
      <c r="BE162" s="111" t="str">
        <f aca="false">IF(OR(Tasks[[#This Row],[Task Name]]="",Tasks[[#This Row],[Baseline Cost]]=""),"",Tasks[[#This Row],[Cost]]-N(Tasks[[#This Row],[Baseline Cost]]))</f>
        <v/>
      </c>
      <c r="BF162" s="31" t="str">
        <f aca="false">IF(Tasks[[#This Row],[Task Name]]="","",Tasks[[#This Row],[Forecast Start]])</f>
        <v/>
      </c>
      <c r="BG162" s="31" t="str">
        <f aca="false">IF(Tasks[[#This Row],[Task Name]]="","",Tasks[[#This Row],[Forecast Finish]])</f>
        <v/>
      </c>
      <c r="BH162" s="51" t="str">
        <f aca="false">IF(Tasks[[#This Row],[Task Name]]="","",IF(Tasks[[#This Row],[_IsSummary]],NETWORKDAYS.INTL(Tasks[[#This Row],[Forecast Start]],Tasks[[#This Row],[Forecast Finish]],WorkWeek,Holidays),N(Tasks[[#This Row],[Duration]])))</f>
        <v/>
      </c>
      <c r="BI162" s="110" t="str">
        <f aca="false">IF(Tasks[[#This Row],[Task Name]]="","",Tasks[[#This Row],[Work]])</f>
        <v/>
      </c>
      <c r="BJ162" s="111" t="str">
        <f aca="false">IF(Tasks[[#This Row],[Task Name]]="","",Tasks[[#This Row],[Cost]])</f>
        <v/>
      </c>
      <c r="BK162" s="7"/>
      <c r="BL162" s="7"/>
      <c r="BM162" s="52"/>
      <c r="BN162" s="113"/>
      <c r="BO162" s="112"/>
      <c r="BP162" s="111" t="str">
        <f aca="false">IF(Tasks[[#This Row],[Task Name]]="","",IF(Tasks[[#This Row],[_IsSummary]],SUM(INDEX(Tasks[_LeafEV],Tasks[[#This Row],[_Row]]+1):INDEX(Tasks[_LeafEV],Tasks[[#This Row],[_Row]]+Tasks[[#This Row],[_Descendants]])),Tasks[[#This Row],[_LeafEV]]))</f>
        <v/>
      </c>
      <c r="BQ162" s="111" t="str">
        <f aca="false">IF(Tasks[[#This Row],[Task Name]]="","",IF(Tasks[[#This Row],[_IsSummary]],SUM(INDEX(Tasks[_LeafBudget],Tasks[[#This Row],[_Row]]+1):INDEX(Tasks[_LeafBudget],Tasks[[#This Row],[_Row]]+Tasks[[#This Row],[_Descendants]])),Tasks[[#This Row],[_LeafBudget]]))</f>
        <v/>
      </c>
      <c r="BR162" s="111" t="str">
        <f aca="false">IF(Tasks[[#This Row],[Task Name]]="","",IF(Tasks[[#This Row],[_IsSummary]],SUM(INDEX(Tasks[_LeafPV],Tasks[[#This Row],[_Row]]+1):INDEX(Tasks[_LeafPV],Tasks[[#This Row],[_Row]]+Tasks[[#This Row],[_Descendants]])),Tasks[[#This Row],[_LeafPV]]))</f>
        <v/>
      </c>
      <c r="BS162" s="111" t="str">
        <f aca="false">IF(Tasks[[#This Row],[Task Name]]="","",IF(Tasks[[#This Row],[_IsSummary]],SUM(INDEX(Tasks[_LeafAC],Tasks[[#This Row],[_Row]]+1):INDEX(Tasks[_LeafAC],Tasks[[#This Row],[_Row]]+Tasks[[#This Row],[_Descendants]])),Tasks[[#This Row],[_LeafAC]]))</f>
        <v/>
      </c>
      <c r="BT162" s="38" t="str">
        <f aca="false">IF(Tasks[[#This Row],[Task Name]]="","",MAX(1,N(Tasks[[#This Row],[Level]])))</f>
        <v/>
      </c>
      <c r="BU162" s="38" t="n">
        <f aca="false">ROW()-ROW(Tasks[[#Headers],[ID]])</f>
        <v>157</v>
      </c>
      <c r="BV162" s="38" t="n">
        <f aca="false">IF(OR(Tasks[[#This Row],[Task Name]]="",Tasks[[#This Row],[_Level]]&lt;=1),0,IFERROR(LOOKUP(2,1/(Tasks[[#Headers],[_Level]]:Tasks[[#This Row],[_Level]]=Tasks[[#This Row],[_Level]]-1),ROW(Tasks[[#Headers],[_Level]]:Tasks[[#This Row],[_Level]])),0))</f>
        <v>0</v>
      </c>
      <c r="BW162" s="38" t="n">
        <f aca="false">IFERROR(N(INDEX(Tasks[_Level],Tasks[[#This Row],[_Row]]+1)),0)</f>
        <v>0</v>
      </c>
      <c r="BX162" s="114" t="b">
        <f aca="false">AND(Tasks[[#This Row],[Task Name]]&lt;&gt;"",Tasks[[#This Row],[_NextLevel]]&gt;Tasks[[#This Row],[_Level]])</f>
        <v>0</v>
      </c>
      <c r="BY162" s="38" t="n">
        <f aca="false">IF(Tasks[[#This Row],[_IsSummary]],COUNTIF(Tasks[WBS],Tasks[[#This Row],[WBS]]&amp;".*"),0)</f>
        <v>0</v>
      </c>
      <c r="BZ162" s="38" t="n">
        <f aca="false">IF(AND(Tasks[[#This Row],[Task Name]]&lt;&gt;"",NOT(Tasks[[#This Row],[_IsSummary]])),1,0)</f>
        <v>0</v>
      </c>
      <c r="CA162" s="38" t="n">
        <f aca="false">IF(N(Tasks[[#This Row],[Pred1 UID]])=0,0,IFERROR(MATCH(Tasks[[#This Row],[Pred1 UID]],Tasks[UID],0),-1))</f>
        <v>0</v>
      </c>
      <c r="CB162" s="38" t="n">
        <f aca="false">IF(N(Tasks[[#This Row],[Pred2 UID]])=0,0,IFERROR(MATCH(Tasks[[#This Row],[Pred2 UID]],Tasks[UID],0),-1))</f>
        <v>0</v>
      </c>
      <c r="CC162" s="38" t="n">
        <f aca="false">IF(N(Tasks[[#This Row],[Pred3 UID]])=0,0,IFERROR(MATCH(Tasks[[#This Row],[Pred3 UID]],Tasks[UID],0),-1))</f>
        <v>0</v>
      </c>
      <c r="CD162" s="38" t="n">
        <f aca="false">IF(N(Tasks[[#This Row],[Pred4 UID]])=0,0,IFERROR(MATCH(Tasks[[#This Row],[Pred4 UID]],Tasks[UID],0),-1))</f>
        <v>0</v>
      </c>
      <c r="CE16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2" s="115" t="n">
        <f aca="false">IF(OR(Tasks[[#This Row],[_ConstraintCode]]=2,Tasks[[#This Row],[_ConstraintCode]]=3,Tasks[[#This Row],[_ConstraintCode]]=4,Tasks[[#This Row],[_ConstraintCode]]=6),Tasks[[#This Row],[_ConstraintStart]],0)</f>
        <v>0</v>
      </c>
      <c r="CH162" s="115" t="n">
        <f aca="false">IF(OR(Tasks[[#This Row],[_ConstraintCode]]=2,Tasks[[#This Row],[_ConstraintCode]]=3,Tasks[[#This Row],[_ConstraintCode]]=5,Tasks[[#This Row],[_ConstraintCode]]=7),Tasks[[#This Row],[_ConstraintStart]],2958465)</f>
        <v>2958465</v>
      </c>
      <c r="CI16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2" s="115" t="str">
        <f aca="false">IF(NOT(Tasks[[#This Row],[_IsLeaf]]=1),"",IF(N(Tasks[[#This Row],[Duration]])&lt;=0,Tasks[[#This Row],[_LeafCalcStart]],WORKDAY.INTL(Tasks[[#This Row],[_LeafCalcStart]],Tasks[[#This Row],[Duration]]-1,WorkWeek,Holidays)))</f>
        <v/>
      </c>
      <c r="CK16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2" s="38" t="n">
        <f aca="false">IF(NOT(Tasks[[#This Row],[_IsLeaf]]=1),0,IF(N(Tasks[[#This Row],[Actual Finish]])&gt;0,1,MIN(1,N(Tasks[[#This Row],[% Complete]]))))</f>
        <v>0</v>
      </c>
      <c r="CN162" s="38" t="n">
        <f aca="false">IF(OR(NOT(Tasks[[#This Row],[_IsLeaf]]=1),Tasks[[#This Row],[Resource]]=""),0,N(Tasks[[#This Row],[Duration]])*HoursPerDay*IF(Tasks[[#This Row],[Units]]="",DefaultUnits,Tasks[[#This Row],[Units]]))</f>
        <v>0</v>
      </c>
      <c r="CO162" s="38" t="n">
        <f aca="false">IF(Tasks[[#This Row],[_LeafWork]]=0,0,Tasks[[#This Row],[_LeafWork]]*IFERROR(INDEX(res_Rate,MATCH(Tasks[[#This Row],[Resource]],res_Name,0)),0))</f>
        <v>0</v>
      </c>
      <c r="CP162" s="38" t="n">
        <f aca="false">Tasks[[#This Row],[_LeafWork]]+IF(Tasks[[#This Row],[_IsLeaf]]=1,SUMIFS(asg_Work,asg_TaskUID,Tasks[[#This Row],[UID]],asg_Valid,1),0)</f>
        <v>0</v>
      </c>
      <c r="CQ162" s="38" t="n">
        <f aca="false">Tasks[[#This Row],[_LeafCost]]+IF(Tasks[[#This Row],[_IsLeaf]]=1,SUMIFS(asg_Cost,asg_TaskUID,Tasks[[#This Row],[UID]],asg_Valid,1),0)</f>
        <v>0</v>
      </c>
      <c r="CR162" s="38" t="n">
        <f aca="false">IF(Tasks[[#This Row],[_LeafTotalCost]]=0,Tasks[[#This Row],[_LeafAC]],Tasks[[#This Row],[_LeafAC]]*Tasks[[#This Row],[_LeafCost]]/Tasks[[#This Row],[_LeafTotalCost]])</f>
        <v>0</v>
      </c>
      <c r="CS16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2" s="38" t="n">
        <f aca="false">IF(NOT(Tasks[[#This Row],[_IsLeaf]]=1),0,MAX(_xlfn.MAXIFS(Tasks[_Row],Tasks[Pred1 UID],Tasks[[#This Row],[UID]]),_xlfn.MAXIFS(Tasks[_Row],Tasks[Pred2 UID],Tasks[[#This Row],[UID]]),_xlfn.MAXIFS(Tasks[_Row],Tasks[Pred3 UID],Tasks[[#This Row],[UID]]),_xlfn.MAXIFS(Tasks[_Row],Tasks[Pred4 UID],Tasks[[#This Row],[UID]])))</f>
        <v>0</v>
      </c>
      <c r="DB16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2" s="115" t="str">
        <f aca="false">IF(NOT(Tasks[[#This Row],[_IsLeaf]]=1),"",IF(N(Tasks[[#This Row],[Duration]])&lt;=0,Tasks[[#This Row],[_LeafLateFinish]],WORKDAY.INTL(Tasks[[#This Row],[_LeafLateFinish]],-(Tasks[[#This Row],[Duration]]-1),WorkWeek,Holidays)))</f>
        <v/>
      </c>
      <c r="DE16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2" s="114" t="b">
        <f aca="false">AND(Tasks[[#This Row],[_IsLeaf]]=1,Tasks[[#This Row],[_LeafProgress]]&lt;1,N(Tasks[[#This Row],[_LeafTotalSlack]])&lt;=CriticalSlackDays)</f>
        <v>0</v>
      </c>
      <c r="DG162" s="38" t="n">
        <f aca="false">IF(AND(Tasks[[#This Row],[_IsLeaf]]=1,Tasks[[#This Row],[_ConstraintCode]]=1,Tasks[[#This Row],[Mode]]&lt;&gt;"Manual",N(Tasks[[#This Row],[Actual Start]])=0),MAX(0,N(Tasks[[#This Row],[Free Slack]])),0)</f>
        <v>0</v>
      </c>
      <c r="DH162" s="115" t="str">
        <f aca="false">IF(NOT(Tasks[[#This Row],[_IsLeaf]]=1),"",IF(Tasks[[#This Row],[_AlapShift]]=0,Tasks[[#This Row],[_LeafCalcStart]],WORKDAY.INTL(Tasks[[#This Row],[_LeafCalcStart]],Tasks[[#This Row],[_AlapShift]],WorkWeek,Holidays)))</f>
        <v/>
      </c>
      <c r="DI162" s="115" t="str">
        <f aca="false">IF(NOT(Tasks[[#This Row],[_IsLeaf]]=1),"",IF(Tasks[[#This Row],[_AlapShift]]=0,Tasks[[#This Row],[_LeafCalcFinish]],WORKDAY.INTL(Tasks[[#This Row],[_LeafCalcFinish]],Tasks[[#This Row],[_AlapShift]],WorkWeek,Holidays)))</f>
        <v/>
      </c>
      <c r="DJ162" s="115" t="str">
        <f aca="false">IF(NOT(Tasks[[#This Row],[_IsLeaf]]=1),"",IF(Tasks[[#This Row],[_AlapShift]]=0,Tasks[[#This Row],[_LeafFcstStart]],WORKDAY.INTL(Tasks[[#This Row],[_LeafFcstStart]],Tasks[[#This Row],[_AlapShift]],WorkWeek,Holidays)))</f>
        <v/>
      </c>
      <c r="DK162" s="115" t="str">
        <f aca="false">IF(NOT(Tasks[[#This Row],[_IsLeaf]]=1),"",IF(Tasks[[#This Row],[_AlapShift]]=0,Tasks[[#This Row],[_LeafFcstFinish]],WORKDAY.INTL(Tasks[[#This Row],[_LeafFcstFinish]],Tasks[[#This Row],[_AlapShift]],WorkWeek,Holidays)))</f>
        <v/>
      </c>
      <c r="DL162" s="115" t="str">
        <f aca="false">IF(Tasks[[#This Row],[Task Name]]="","",IF(Tasks[[#This Row],[_IsSummary]],MIN(INDEX(Tasks[_ShownCalcStart],Tasks[[#This Row],[_Row]]+1):INDEX(Tasks[_ShownCalcStart],Tasks[[#This Row],[_Row]]+Tasks[[#This Row],[_Descendants]])),Tasks[[#This Row],[_ShownCalcStart]]))</f>
        <v/>
      </c>
      <c r="DM162" s="115" t="str">
        <f aca="false">IF(Tasks[[#This Row],[Task Name]]="","",IF(Tasks[[#This Row],[_IsSummary]],MAX(INDEX(Tasks[_ShownCalcFinish],Tasks[[#This Row],[_Row]]+1):INDEX(Tasks[_ShownCalcFinish],Tasks[[#This Row],[_Row]]+Tasks[[#This Row],[_Descendants]])),Tasks[[#This Row],[_ShownCalcFinish]]))</f>
        <v/>
      </c>
      <c r="DN16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2" s="38" t="n">
        <f aca="false">IF(AND(Tasks[[#This Row],[_IsLeaf]]=1,Tasks[[#This Row],[_LeafTotalWork]]&gt;0),NETWORKDAYS.INTL(ProjectStart,Tasks[[#This Row],[_ShownFcstStart]],WorkWeek,Holidays),0)</f>
        <v>0</v>
      </c>
      <c r="EA162" s="38" t="n">
        <f aca="false">IF(AND(Tasks[[#This Row],[_IsLeaf]]=1,Tasks[[#This Row],[_LeafTotalWork]]&gt;0),MAX(Tasks[[#This Row],[_StartWorkday]],NETWORKDAYS.INTL(ProjectStart,Tasks[[#This Row],[_ShownFcstFinish]],WorkWeek,Holidays)),0)</f>
        <v>0</v>
      </c>
      <c r="EB162" s="38" t="n">
        <f aca="false">IF(AND(Tasks[[#This Row],[_IsLeaf]]=1,Tasks[[#This Row],[_LeafTotalWork]]&gt;0),Tasks[[#This Row],[_LeafWork]]/(Tasks[[#This Row],[_FinishWorkday]]-Tasks[[#This Row],[_StartWorkday]]+1),0)</f>
        <v>0</v>
      </c>
      <c r="EC162" s="38" t="n">
        <f aca="false">Tasks[[#This Row],[_WorkPerWorkday]]*(Tasks[[#This Row],[_StartWorkday]]-1)</f>
        <v>-0</v>
      </c>
      <c r="ED162" s="38" t="n">
        <f aca="false">IF(Tasks[[#This Row],[_IsLeaf]]=1,MAX(N(Tasks[[#This Row],[Duration]]),0.1),0)</f>
        <v>0</v>
      </c>
      <c r="EE162" s="38" t="n">
        <f aca="false">Tasks[[#This Row],[_WeightDur]]*Tasks[[#This Row],[_LeafProgress]]</f>
        <v>0</v>
      </c>
      <c r="EF16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2" s="38" t="str">
        <f aca="false">IF(AND(Tasks[[#This Row],[_IsLeaf]]=1,N(Tasks[[#This Row],[Duration]])=0,Tasks[[#This Row],[_LeafProgress]]&lt;1),Tasks[[#This Row],[_ShownFcstFinish]]+Tasks[[#This Row],[_Row]]/100000,"")</f>
        <v/>
      </c>
      <c r="EH16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2" s="38" t="n">
        <f aca="false">IF(NOT(Tasks[[#This Row],[_IsLeaf]]=1),0,IF(Tasks[[#This Row],[Baseline Cost]]="",Tasks[[#This Row],[_LeafTotalCost]],N(Tasks[[#This Row],[Baseline Cost]])))</f>
        <v>0</v>
      </c>
      <c r="EJ162" s="38" t="n">
        <f aca="false">Tasks[[#This Row],[_LeafBudget]]*Tasks[[#This Row],[_PlannedPct]]</f>
        <v>0</v>
      </c>
      <c r="EK162" s="38" t="n">
        <f aca="false">Tasks[[#This Row],[_LeafBudget]]*Tasks[[#This Row],[_LeafProgress]]</f>
        <v>0</v>
      </c>
      <c r="EL162" s="38" t="n">
        <f aca="false">IF(NOT(Tasks[[#This Row],[_IsLeaf]]=1),0,IF(Tasks[[#This Row],[Actual Cost]]="",Tasks[[#This Row],[_LeafTotalCost]]*Tasks[[#This Row],[_LeafProgress]],N(Tasks[[#This Row],[Actual Cost]])))</f>
        <v>0</v>
      </c>
      <c r="EM162" s="38" t="str">
        <f aca="false">IF(Tasks[[#This Row],[Task Name]]="","",LEFT(Tasks[[#This Row],[WBS]],FIND(".",Tasks[[#This Row],[WBS]]&amp;".")-1))</f>
        <v/>
      </c>
      <c r="EN162" s="38" t="str">
        <f aca="false">IF(AND(Tasks[[#This Row],[Task Name]]&lt;&gt;"",Tasks[[#This Row],[_Level]]=1),Tasks[[#This Row],[_Row]],"")</f>
        <v/>
      </c>
      <c r="EO162" s="38" t="str">
        <f aca="false">IF(AND(Tasks[[#This Row],[_IsLeaf]]=1,N(Tasks[[#This Row],[Duration]])=0),Tasks[[#This Row],[Planned Finish]]+Tasks[[#This Row],[_Row]]/100000,"")</f>
        <v/>
      </c>
      <c r="EP162" s="38" t="str">
        <f aca="false">IF(AND(Tasks[[#This Row],[_IsLeaf]]=1,Tasks[[#This Row],[_LeafProgress]]&lt;1,OR(N(Tasks[[#This Row],[Finish Var]])&gt;0,Tasks[[#This Row],[Status]]="Late Start")),MAX(0,Tasks[[#This Row],[Finish Var]])+1-Tasks[[#This Row],[_Row]]/1000000,"")</f>
        <v/>
      </c>
      <c r="EQ162" s="38" t="str">
        <f aca="false">IF(AND(Tasks[[#This Row],[_IsLeaf]]=1,N(Tasks[[#This Row],[Actual Start]])=0,Tasks[[#This Row],[_ShownFcstStart]]&gt;=StatusDate,Tasks[[#This Row],[_ShownFcstStart]]&lt;=LookaheadEnd),Tasks[[#This Row],[_ShownFcstStart]]+Tasks[[#This Row],[_Row]]/100000,"")</f>
        <v/>
      </c>
      <c r="ER162" s="38" t="str">
        <f aca="false">IF(AND(Tasks[[#This Row],[_IsLeaf]]=1,Tasks[[#This Row],[_LeafProgress]]&lt;1,Tasks[[#This Row],[_ShownFcstFinish]]&gt;=StatusDate,Tasks[[#This Row],[_ShownFcstFinish]]&lt;=LookaheadEnd),Tasks[[#This Row],[_ShownFcstFinish]]+Tasks[[#This Row],[_Row]]/100000,"")</f>
        <v/>
      </c>
      <c r="ES162" s="38" t="str">
        <f aca="false">IF(Tasks[[#This Row],[_LeafCritical]],Tasks[[#This Row],[_ShownFcstStart]]+Tasks[[#This Row],[_Row]]/100000,"")</f>
        <v/>
      </c>
      <c r="ET162" s="38" t="n">
        <f aca="false">Tasks[[#This Row],[_LeafWork]]*Tasks[[#This Row],[_LeafProgress]]</f>
        <v>0</v>
      </c>
      <c r="EU162" s="115" t="str">
        <f aca="false">IF(AND(Tasks[[#This Row],[_IsLeaf]]=1,Tasks[[#This Row],[_LeafProgress]]&gt;=1),IF(N(Tasks[[#This Row],[Actual Finish]])&gt;0,Tasks[[#This Row],[Actual Finish]],Tasks[[#This Row],[_ShownFcstFinish]]),"")</f>
        <v/>
      </c>
      <c r="EV162" s="38" t="n">
        <f aca="false">IF(Tasks[[#This Row],[_IsLeaf]]=1,N(Tasks[[#This Row],[Story Points]]),0)</f>
        <v>0</v>
      </c>
      <c r="EW162" s="38" t="str">
        <f aca="false">IF(AND(Tasks[[#This Row],[_IsLeaf]]=1,CurrentSprint&lt;&gt;"",Tasks[[#This Row],[Sprint]]=CurrentSprint),Tasks[[#This Row],[_Row]],"")</f>
        <v/>
      </c>
    </row>
    <row r="163" customFormat="false" ht="15" hidden="false" customHeight="false" outlineLevel="0" collapsed="false">
      <c r="A163" s="51" t="str">
        <f aca="false">IF(Tasks[[#This Row],[Task Name]]="","",COUNTA(Tasks[[#Headers],[Task Name]]:Tasks[[#This Row],[Task Name]])-1)</f>
        <v/>
      </c>
      <c r="B163" s="52" t="n">
        <v>158</v>
      </c>
      <c r="C16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52"/>
      <c r="E163" s="53"/>
      <c r="F163" s="52"/>
      <c r="G163" s="52"/>
      <c r="H163" s="52"/>
      <c r="I163" s="52"/>
      <c r="J163" s="52"/>
      <c r="K163" s="52"/>
      <c r="L163" s="52"/>
      <c r="M163" s="52"/>
      <c r="N163" s="52"/>
      <c r="O163" s="52"/>
      <c r="P163" s="52"/>
      <c r="Q163" s="52"/>
      <c r="R163" s="52"/>
      <c r="S163" s="53"/>
      <c r="T163" s="102"/>
      <c r="U163" s="102"/>
      <c r="V163" s="7"/>
      <c r="W163" s="7"/>
      <c r="X163" s="53"/>
      <c r="Y163" s="31" t="str">
        <f aca="false">IF(Tasks[[#This Row],[Task Name]]="","",IF(Tasks[[#This Row],[_IsSummary]],MIN(INDEX(Tasks[_ShownFcstStart],Tasks[[#This Row],[_Row]]+1):INDEX(Tasks[_ShownFcstStart],Tasks[[#This Row],[_Row]]+Tasks[[#This Row],[_Descendants]])),Tasks[[#This Row],[_ShownFcstStart]]))</f>
        <v/>
      </c>
      <c r="Z163" s="31" t="str">
        <f aca="false">IF(Tasks[[#This Row],[Task Name]]="","",IF(Tasks[[#This Row],[_IsSummary]],MAX(INDEX(Tasks[_ShownFcstFinish],Tasks[[#This Row],[_Row]]+1):INDEX(Tasks[_ShownFcstFinish],Tasks[[#This Row],[_Row]]+Tasks[[#This Row],[_Descendants]])),Tasks[[#This Row],[_ShownFcstFinish]]))</f>
        <v/>
      </c>
      <c r="AA163" s="51" t="str">
        <f aca="false">IF(Tasks[[#This Row],[Task Name]]="","",IF(Tasks[[#This Row],[Progress]]&gt;=1,"Complete",IF(OR(N(Tasks[[#This Row],[Actual Start]])&gt;0,Tasks[[#This Row],[Progress]]&gt;0),IF(Tasks[[#This Row],[Finish Var]]&gt;0,"Behind","In Progress"),IF(Tasks[[#This Row],[Planned Start]]&lt;StatusDate,"Late Start","Not Started"))))</f>
        <v/>
      </c>
      <c r="AB163" s="51" t="str">
        <f aca="false">IF(Tasks[[#This Row],[Task Name]]="","",IF(IF(Tasks[[#This Row],[_IsSummary]],COUNTIF(INDEX(Tasks[_LeafCritical],Tasks[[#This Row],[_Row]]+1):INDEX(Tasks[_LeafCritical],Tasks[[#This Row],[_Row]]+Tasks[[#This Row],[_Descendants]]),TRUE())&gt;0,Tasks[[#This Row],[_LeafCritical]]),"Yes",""))</f>
        <v/>
      </c>
      <c r="AC16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3" s="51" t="str">
        <f aca="false">IF(Tasks[[#This Row],[Task Name]]="","",IF(Tasks[[#This Row],[_Level]]&lt;=OutlineShowLevel,"Yes","No"))</f>
        <v/>
      </c>
      <c r="AE163" s="7"/>
      <c r="AF163" s="52"/>
      <c r="AG163" s="53"/>
      <c r="AH163" s="7"/>
      <c r="AI16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3" s="31" t="str">
        <f aca="false">IF(Tasks[[#This Row],[Task Name]]="","",IF(N(Tasks[[#This Row],[Baseline Start]])&gt;0,Tasks[[#This Row],[Baseline Start]],Tasks[[#This Row],[_CalcStart]]))</f>
        <v/>
      </c>
      <c r="AK163" s="31" t="str">
        <f aca="false">IF(Tasks[[#This Row],[Task Name]]="","",IF(N(Tasks[[#This Row],[Baseline Finish]])&gt;0,Tasks[[#This Row],[Baseline Finish]],Tasks[[#This Row],[_CalcFinish]]))</f>
        <v/>
      </c>
      <c r="AL16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3" s="31" t="str">
        <f aca="false">IF(Tasks[[#This Row],[Task Name]]="","",IF(Tasks[[#This Row],[_IsSummary]],MIN(INDEX(Tasks[_LeafLateStart],Tasks[[#This Row],[_Row]]+1):INDEX(Tasks[_LeafLateStart],Tasks[[#This Row],[_Row]]+Tasks[[#This Row],[_Descendants]])),Tasks[[#This Row],[_LeafLateStart]]))</f>
        <v/>
      </c>
      <c r="AN163" s="31" t="str">
        <f aca="false">IF(Tasks[[#This Row],[Task Name]]="","",IF(Tasks[[#This Row],[_IsSummary]],MAX(INDEX(Tasks[_LeafLateFinish],Tasks[[#This Row],[_Row]]+1):INDEX(Tasks[_LeafLateFinish],Tasks[[#This Row],[_Row]]+Tasks[[#This Row],[_Descendants]])),Tasks[[#This Row],[_LeafLateFinish]]))</f>
        <v/>
      </c>
      <c r="AO163" s="51" t="str">
        <f aca="false">IF(Tasks[[#This Row],[Task Name]]="","",IF(Tasks[[#This Row],[_IsSummary]],MIN(INDEX(Tasks[_LeafTotalSlack],Tasks[[#This Row],[_Row]]+1):INDEX(Tasks[_LeafTotalSlack],Tasks[[#This Row],[_Row]]+Tasks[[#This Row],[_Descendants]])),Tasks[[#This Row],[_LeafTotalSlack]]))</f>
        <v/>
      </c>
      <c r="AP16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3" s="110" t="str">
        <f aca="false">IF(Tasks[[#This Row],[Task Name]]="","",IF(Tasks[[#This Row],[_IsSummary]],SUM(INDEX(Tasks[_LeafTotalWork],Tasks[[#This Row],[_Row]]+1):INDEX(Tasks[_LeafTotalWork],Tasks[[#This Row],[_Row]]+Tasks[[#This Row],[_Descendants]])),Tasks[[#This Row],[_LeafTotalWork]]))</f>
        <v/>
      </c>
      <c r="AV16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3" s="111" t="str">
        <f aca="false">IF(Tasks[[#This Row],[Task Name]]="","",IF(Tasks[[#This Row],[_IsSummary]],SUM(INDEX(Tasks[_LeafTotalCost],Tasks[[#This Row],[_Row]]+1):INDEX(Tasks[_LeafTotalCost],Tasks[[#This Row],[_Row]]+Tasks[[#This Row],[_Descendants]])),Tasks[[#This Row],[_LeafTotalCost]]))</f>
        <v/>
      </c>
      <c r="AY163" s="112"/>
      <c r="AZ16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3" s="52"/>
      <c r="BB163" s="98"/>
      <c r="BC163" s="51" t="str">
        <f aca="false">IF(OR(Tasks[[#This Row],[Task Name]]="",Tasks[[#This Row],[Baseline Duration]]=""),"",Tasks[[#This Row],[BL Source Duration]]-N(Tasks[[#This Row],[Baseline Duration]]))</f>
        <v/>
      </c>
      <c r="BD163" s="110" t="str">
        <f aca="false">IF(OR(Tasks[[#This Row],[Task Name]]="",Tasks[[#This Row],[Baseline Work]]=""),"",Tasks[[#This Row],[Work]]-N(Tasks[[#This Row],[Baseline Work]]))</f>
        <v/>
      </c>
      <c r="BE163" s="111" t="str">
        <f aca="false">IF(OR(Tasks[[#This Row],[Task Name]]="",Tasks[[#This Row],[Baseline Cost]]=""),"",Tasks[[#This Row],[Cost]]-N(Tasks[[#This Row],[Baseline Cost]]))</f>
        <v/>
      </c>
      <c r="BF163" s="31" t="str">
        <f aca="false">IF(Tasks[[#This Row],[Task Name]]="","",Tasks[[#This Row],[Forecast Start]])</f>
        <v/>
      </c>
      <c r="BG163" s="31" t="str">
        <f aca="false">IF(Tasks[[#This Row],[Task Name]]="","",Tasks[[#This Row],[Forecast Finish]])</f>
        <v/>
      </c>
      <c r="BH163" s="51" t="str">
        <f aca="false">IF(Tasks[[#This Row],[Task Name]]="","",IF(Tasks[[#This Row],[_IsSummary]],NETWORKDAYS.INTL(Tasks[[#This Row],[Forecast Start]],Tasks[[#This Row],[Forecast Finish]],WorkWeek,Holidays),N(Tasks[[#This Row],[Duration]])))</f>
        <v/>
      </c>
      <c r="BI163" s="110" t="str">
        <f aca="false">IF(Tasks[[#This Row],[Task Name]]="","",Tasks[[#This Row],[Work]])</f>
        <v/>
      </c>
      <c r="BJ163" s="111" t="str">
        <f aca="false">IF(Tasks[[#This Row],[Task Name]]="","",Tasks[[#This Row],[Cost]])</f>
        <v/>
      </c>
      <c r="BK163" s="7"/>
      <c r="BL163" s="7"/>
      <c r="BM163" s="52"/>
      <c r="BN163" s="113"/>
      <c r="BO163" s="112"/>
      <c r="BP163" s="111" t="str">
        <f aca="false">IF(Tasks[[#This Row],[Task Name]]="","",IF(Tasks[[#This Row],[_IsSummary]],SUM(INDEX(Tasks[_LeafEV],Tasks[[#This Row],[_Row]]+1):INDEX(Tasks[_LeafEV],Tasks[[#This Row],[_Row]]+Tasks[[#This Row],[_Descendants]])),Tasks[[#This Row],[_LeafEV]]))</f>
        <v/>
      </c>
      <c r="BQ163" s="111" t="str">
        <f aca="false">IF(Tasks[[#This Row],[Task Name]]="","",IF(Tasks[[#This Row],[_IsSummary]],SUM(INDEX(Tasks[_LeafBudget],Tasks[[#This Row],[_Row]]+1):INDEX(Tasks[_LeafBudget],Tasks[[#This Row],[_Row]]+Tasks[[#This Row],[_Descendants]])),Tasks[[#This Row],[_LeafBudget]]))</f>
        <v/>
      </c>
      <c r="BR163" s="111" t="str">
        <f aca="false">IF(Tasks[[#This Row],[Task Name]]="","",IF(Tasks[[#This Row],[_IsSummary]],SUM(INDEX(Tasks[_LeafPV],Tasks[[#This Row],[_Row]]+1):INDEX(Tasks[_LeafPV],Tasks[[#This Row],[_Row]]+Tasks[[#This Row],[_Descendants]])),Tasks[[#This Row],[_LeafPV]]))</f>
        <v/>
      </c>
      <c r="BS163" s="111" t="str">
        <f aca="false">IF(Tasks[[#This Row],[Task Name]]="","",IF(Tasks[[#This Row],[_IsSummary]],SUM(INDEX(Tasks[_LeafAC],Tasks[[#This Row],[_Row]]+1):INDEX(Tasks[_LeafAC],Tasks[[#This Row],[_Row]]+Tasks[[#This Row],[_Descendants]])),Tasks[[#This Row],[_LeafAC]]))</f>
        <v/>
      </c>
      <c r="BT163" s="38" t="str">
        <f aca="false">IF(Tasks[[#This Row],[Task Name]]="","",MAX(1,N(Tasks[[#This Row],[Level]])))</f>
        <v/>
      </c>
      <c r="BU163" s="38" t="n">
        <f aca="false">ROW()-ROW(Tasks[[#Headers],[ID]])</f>
        <v>158</v>
      </c>
      <c r="BV163" s="38" t="n">
        <f aca="false">IF(OR(Tasks[[#This Row],[Task Name]]="",Tasks[[#This Row],[_Level]]&lt;=1),0,IFERROR(LOOKUP(2,1/(Tasks[[#Headers],[_Level]]:Tasks[[#This Row],[_Level]]=Tasks[[#This Row],[_Level]]-1),ROW(Tasks[[#Headers],[_Level]]:Tasks[[#This Row],[_Level]])),0))</f>
        <v>0</v>
      </c>
      <c r="BW163" s="38" t="n">
        <f aca="false">IFERROR(N(INDEX(Tasks[_Level],Tasks[[#This Row],[_Row]]+1)),0)</f>
        <v>0</v>
      </c>
      <c r="BX163" s="114" t="b">
        <f aca="false">AND(Tasks[[#This Row],[Task Name]]&lt;&gt;"",Tasks[[#This Row],[_NextLevel]]&gt;Tasks[[#This Row],[_Level]])</f>
        <v>0</v>
      </c>
      <c r="BY163" s="38" t="n">
        <f aca="false">IF(Tasks[[#This Row],[_IsSummary]],COUNTIF(Tasks[WBS],Tasks[[#This Row],[WBS]]&amp;".*"),0)</f>
        <v>0</v>
      </c>
      <c r="BZ163" s="38" t="n">
        <f aca="false">IF(AND(Tasks[[#This Row],[Task Name]]&lt;&gt;"",NOT(Tasks[[#This Row],[_IsSummary]])),1,0)</f>
        <v>0</v>
      </c>
      <c r="CA163" s="38" t="n">
        <f aca="false">IF(N(Tasks[[#This Row],[Pred1 UID]])=0,0,IFERROR(MATCH(Tasks[[#This Row],[Pred1 UID]],Tasks[UID],0),-1))</f>
        <v>0</v>
      </c>
      <c r="CB163" s="38" t="n">
        <f aca="false">IF(N(Tasks[[#This Row],[Pred2 UID]])=0,0,IFERROR(MATCH(Tasks[[#This Row],[Pred2 UID]],Tasks[UID],0),-1))</f>
        <v>0</v>
      </c>
      <c r="CC163" s="38" t="n">
        <f aca="false">IF(N(Tasks[[#This Row],[Pred3 UID]])=0,0,IFERROR(MATCH(Tasks[[#This Row],[Pred3 UID]],Tasks[UID],0),-1))</f>
        <v>0</v>
      </c>
      <c r="CD163" s="38" t="n">
        <f aca="false">IF(N(Tasks[[#This Row],[Pred4 UID]])=0,0,IFERROR(MATCH(Tasks[[#This Row],[Pred4 UID]],Tasks[UID],0),-1))</f>
        <v>0</v>
      </c>
      <c r="CE16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3" s="115" t="n">
        <f aca="false">IF(OR(Tasks[[#This Row],[_ConstraintCode]]=2,Tasks[[#This Row],[_ConstraintCode]]=3,Tasks[[#This Row],[_ConstraintCode]]=4,Tasks[[#This Row],[_ConstraintCode]]=6),Tasks[[#This Row],[_ConstraintStart]],0)</f>
        <v>0</v>
      </c>
      <c r="CH163" s="115" t="n">
        <f aca="false">IF(OR(Tasks[[#This Row],[_ConstraintCode]]=2,Tasks[[#This Row],[_ConstraintCode]]=3,Tasks[[#This Row],[_ConstraintCode]]=5,Tasks[[#This Row],[_ConstraintCode]]=7),Tasks[[#This Row],[_ConstraintStart]],2958465)</f>
        <v>2958465</v>
      </c>
      <c r="CI16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3" s="115" t="str">
        <f aca="false">IF(NOT(Tasks[[#This Row],[_IsLeaf]]=1),"",IF(N(Tasks[[#This Row],[Duration]])&lt;=0,Tasks[[#This Row],[_LeafCalcStart]],WORKDAY.INTL(Tasks[[#This Row],[_LeafCalcStart]],Tasks[[#This Row],[Duration]]-1,WorkWeek,Holidays)))</f>
        <v/>
      </c>
      <c r="CK16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3" s="38" t="n">
        <f aca="false">IF(NOT(Tasks[[#This Row],[_IsLeaf]]=1),0,IF(N(Tasks[[#This Row],[Actual Finish]])&gt;0,1,MIN(1,N(Tasks[[#This Row],[% Complete]]))))</f>
        <v>0</v>
      </c>
      <c r="CN163" s="38" t="n">
        <f aca="false">IF(OR(NOT(Tasks[[#This Row],[_IsLeaf]]=1),Tasks[[#This Row],[Resource]]=""),0,N(Tasks[[#This Row],[Duration]])*HoursPerDay*IF(Tasks[[#This Row],[Units]]="",DefaultUnits,Tasks[[#This Row],[Units]]))</f>
        <v>0</v>
      </c>
      <c r="CO163" s="38" t="n">
        <f aca="false">IF(Tasks[[#This Row],[_LeafWork]]=0,0,Tasks[[#This Row],[_LeafWork]]*IFERROR(INDEX(res_Rate,MATCH(Tasks[[#This Row],[Resource]],res_Name,0)),0))</f>
        <v>0</v>
      </c>
      <c r="CP163" s="38" t="n">
        <f aca="false">Tasks[[#This Row],[_LeafWork]]+IF(Tasks[[#This Row],[_IsLeaf]]=1,SUMIFS(asg_Work,asg_TaskUID,Tasks[[#This Row],[UID]],asg_Valid,1),0)</f>
        <v>0</v>
      </c>
      <c r="CQ163" s="38" t="n">
        <f aca="false">Tasks[[#This Row],[_LeafCost]]+IF(Tasks[[#This Row],[_IsLeaf]]=1,SUMIFS(asg_Cost,asg_TaskUID,Tasks[[#This Row],[UID]],asg_Valid,1),0)</f>
        <v>0</v>
      </c>
      <c r="CR163" s="38" t="n">
        <f aca="false">IF(Tasks[[#This Row],[_LeafTotalCost]]=0,Tasks[[#This Row],[_LeafAC]],Tasks[[#This Row],[_LeafAC]]*Tasks[[#This Row],[_LeafCost]]/Tasks[[#This Row],[_LeafTotalCost]])</f>
        <v>0</v>
      </c>
      <c r="CS16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3" s="38" t="n">
        <f aca="false">IF(NOT(Tasks[[#This Row],[_IsLeaf]]=1),0,MAX(_xlfn.MAXIFS(Tasks[_Row],Tasks[Pred1 UID],Tasks[[#This Row],[UID]]),_xlfn.MAXIFS(Tasks[_Row],Tasks[Pred2 UID],Tasks[[#This Row],[UID]]),_xlfn.MAXIFS(Tasks[_Row],Tasks[Pred3 UID],Tasks[[#This Row],[UID]]),_xlfn.MAXIFS(Tasks[_Row],Tasks[Pred4 UID],Tasks[[#This Row],[UID]])))</f>
        <v>0</v>
      </c>
      <c r="DB16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3" s="115" t="str">
        <f aca="false">IF(NOT(Tasks[[#This Row],[_IsLeaf]]=1),"",IF(N(Tasks[[#This Row],[Duration]])&lt;=0,Tasks[[#This Row],[_LeafLateFinish]],WORKDAY.INTL(Tasks[[#This Row],[_LeafLateFinish]],-(Tasks[[#This Row],[Duration]]-1),WorkWeek,Holidays)))</f>
        <v/>
      </c>
      <c r="DE16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3" s="114" t="b">
        <f aca="false">AND(Tasks[[#This Row],[_IsLeaf]]=1,Tasks[[#This Row],[_LeafProgress]]&lt;1,N(Tasks[[#This Row],[_LeafTotalSlack]])&lt;=CriticalSlackDays)</f>
        <v>0</v>
      </c>
      <c r="DG163" s="38" t="n">
        <f aca="false">IF(AND(Tasks[[#This Row],[_IsLeaf]]=1,Tasks[[#This Row],[_ConstraintCode]]=1,Tasks[[#This Row],[Mode]]&lt;&gt;"Manual",N(Tasks[[#This Row],[Actual Start]])=0),MAX(0,N(Tasks[[#This Row],[Free Slack]])),0)</f>
        <v>0</v>
      </c>
      <c r="DH163" s="115" t="str">
        <f aca="false">IF(NOT(Tasks[[#This Row],[_IsLeaf]]=1),"",IF(Tasks[[#This Row],[_AlapShift]]=0,Tasks[[#This Row],[_LeafCalcStart]],WORKDAY.INTL(Tasks[[#This Row],[_LeafCalcStart]],Tasks[[#This Row],[_AlapShift]],WorkWeek,Holidays)))</f>
        <v/>
      </c>
      <c r="DI163" s="115" t="str">
        <f aca="false">IF(NOT(Tasks[[#This Row],[_IsLeaf]]=1),"",IF(Tasks[[#This Row],[_AlapShift]]=0,Tasks[[#This Row],[_LeafCalcFinish]],WORKDAY.INTL(Tasks[[#This Row],[_LeafCalcFinish]],Tasks[[#This Row],[_AlapShift]],WorkWeek,Holidays)))</f>
        <v/>
      </c>
      <c r="DJ163" s="115" t="str">
        <f aca="false">IF(NOT(Tasks[[#This Row],[_IsLeaf]]=1),"",IF(Tasks[[#This Row],[_AlapShift]]=0,Tasks[[#This Row],[_LeafFcstStart]],WORKDAY.INTL(Tasks[[#This Row],[_LeafFcstStart]],Tasks[[#This Row],[_AlapShift]],WorkWeek,Holidays)))</f>
        <v/>
      </c>
      <c r="DK163" s="115" t="str">
        <f aca="false">IF(NOT(Tasks[[#This Row],[_IsLeaf]]=1),"",IF(Tasks[[#This Row],[_AlapShift]]=0,Tasks[[#This Row],[_LeafFcstFinish]],WORKDAY.INTL(Tasks[[#This Row],[_LeafFcstFinish]],Tasks[[#This Row],[_AlapShift]],WorkWeek,Holidays)))</f>
        <v/>
      </c>
      <c r="DL163" s="115" t="str">
        <f aca="false">IF(Tasks[[#This Row],[Task Name]]="","",IF(Tasks[[#This Row],[_IsSummary]],MIN(INDEX(Tasks[_ShownCalcStart],Tasks[[#This Row],[_Row]]+1):INDEX(Tasks[_ShownCalcStart],Tasks[[#This Row],[_Row]]+Tasks[[#This Row],[_Descendants]])),Tasks[[#This Row],[_ShownCalcStart]]))</f>
        <v/>
      </c>
      <c r="DM163" s="115" t="str">
        <f aca="false">IF(Tasks[[#This Row],[Task Name]]="","",IF(Tasks[[#This Row],[_IsSummary]],MAX(INDEX(Tasks[_ShownCalcFinish],Tasks[[#This Row],[_Row]]+1):INDEX(Tasks[_ShownCalcFinish],Tasks[[#This Row],[_Row]]+Tasks[[#This Row],[_Descendants]])),Tasks[[#This Row],[_ShownCalcFinish]]))</f>
        <v/>
      </c>
      <c r="DN16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3" s="38" t="n">
        <f aca="false">IF(AND(Tasks[[#This Row],[_IsLeaf]]=1,Tasks[[#This Row],[_LeafTotalWork]]&gt;0),NETWORKDAYS.INTL(ProjectStart,Tasks[[#This Row],[_ShownFcstStart]],WorkWeek,Holidays),0)</f>
        <v>0</v>
      </c>
      <c r="EA163" s="38" t="n">
        <f aca="false">IF(AND(Tasks[[#This Row],[_IsLeaf]]=1,Tasks[[#This Row],[_LeafTotalWork]]&gt;0),MAX(Tasks[[#This Row],[_StartWorkday]],NETWORKDAYS.INTL(ProjectStart,Tasks[[#This Row],[_ShownFcstFinish]],WorkWeek,Holidays)),0)</f>
        <v>0</v>
      </c>
      <c r="EB163" s="38" t="n">
        <f aca="false">IF(AND(Tasks[[#This Row],[_IsLeaf]]=1,Tasks[[#This Row],[_LeafTotalWork]]&gt;0),Tasks[[#This Row],[_LeafWork]]/(Tasks[[#This Row],[_FinishWorkday]]-Tasks[[#This Row],[_StartWorkday]]+1),0)</f>
        <v>0</v>
      </c>
      <c r="EC163" s="38" t="n">
        <f aca="false">Tasks[[#This Row],[_WorkPerWorkday]]*(Tasks[[#This Row],[_StartWorkday]]-1)</f>
        <v>-0</v>
      </c>
      <c r="ED163" s="38" t="n">
        <f aca="false">IF(Tasks[[#This Row],[_IsLeaf]]=1,MAX(N(Tasks[[#This Row],[Duration]]),0.1),0)</f>
        <v>0</v>
      </c>
      <c r="EE163" s="38" t="n">
        <f aca="false">Tasks[[#This Row],[_WeightDur]]*Tasks[[#This Row],[_LeafProgress]]</f>
        <v>0</v>
      </c>
      <c r="EF16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3" s="38" t="str">
        <f aca="false">IF(AND(Tasks[[#This Row],[_IsLeaf]]=1,N(Tasks[[#This Row],[Duration]])=0,Tasks[[#This Row],[_LeafProgress]]&lt;1),Tasks[[#This Row],[_ShownFcstFinish]]+Tasks[[#This Row],[_Row]]/100000,"")</f>
        <v/>
      </c>
      <c r="EH16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3" s="38" t="n">
        <f aca="false">IF(NOT(Tasks[[#This Row],[_IsLeaf]]=1),0,IF(Tasks[[#This Row],[Baseline Cost]]="",Tasks[[#This Row],[_LeafTotalCost]],N(Tasks[[#This Row],[Baseline Cost]])))</f>
        <v>0</v>
      </c>
      <c r="EJ163" s="38" t="n">
        <f aca="false">Tasks[[#This Row],[_LeafBudget]]*Tasks[[#This Row],[_PlannedPct]]</f>
        <v>0</v>
      </c>
      <c r="EK163" s="38" t="n">
        <f aca="false">Tasks[[#This Row],[_LeafBudget]]*Tasks[[#This Row],[_LeafProgress]]</f>
        <v>0</v>
      </c>
      <c r="EL163" s="38" t="n">
        <f aca="false">IF(NOT(Tasks[[#This Row],[_IsLeaf]]=1),0,IF(Tasks[[#This Row],[Actual Cost]]="",Tasks[[#This Row],[_LeafTotalCost]]*Tasks[[#This Row],[_LeafProgress]],N(Tasks[[#This Row],[Actual Cost]])))</f>
        <v>0</v>
      </c>
      <c r="EM163" s="38" t="str">
        <f aca="false">IF(Tasks[[#This Row],[Task Name]]="","",LEFT(Tasks[[#This Row],[WBS]],FIND(".",Tasks[[#This Row],[WBS]]&amp;".")-1))</f>
        <v/>
      </c>
      <c r="EN163" s="38" t="str">
        <f aca="false">IF(AND(Tasks[[#This Row],[Task Name]]&lt;&gt;"",Tasks[[#This Row],[_Level]]=1),Tasks[[#This Row],[_Row]],"")</f>
        <v/>
      </c>
      <c r="EO163" s="38" t="str">
        <f aca="false">IF(AND(Tasks[[#This Row],[_IsLeaf]]=1,N(Tasks[[#This Row],[Duration]])=0),Tasks[[#This Row],[Planned Finish]]+Tasks[[#This Row],[_Row]]/100000,"")</f>
        <v/>
      </c>
      <c r="EP163" s="38" t="str">
        <f aca="false">IF(AND(Tasks[[#This Row],[_IsLeaf]]=1,Tasks[[#This Row],[_LeafProgress]]&lt;1,OR(N(Tasks[[#This Row],[Finish Var]])&gt;0,Tasks[[#This Row],[Status]]="Late Start")),MAX(0,Tasks[[#This Row],[Finish Var]])+1-Tasks[[#This Row],[_Row]]/1000000,"")</f>
        <v/>
      </c>
      <c r="EQ163" s="38" t="str">
        <f aca="false">IF(AND(Tasks[[#This Row],[_IsLeaf]]=1,N(Tasks[[#This Row],[Actual Start]])=0,Tasks[[#This Row],[_ShownFcstStart]]&gt;=StatusDate,Tasks[[#This Row],[_ShownFcstStart]]&lt;=LookaheadEnd),Tasks[[#This Row],[_ShownFcstStart]]+Tasks[[#This Row],[_Row]]/100000,"")</f>
        <v/>
      </c>
      <c r="ER163" s="38" t="str">
        <f aca="false">IF(AND(Tasks[[#This Row],[_IsLeaf]]=1,Tasks[[#This Row],[_LeafProgress]]&lt;1,Tasks[[#This Row],[_ShownFcstFinish]]&gt;=StatusDate,Tasks[[#This Row],[_ShownFcstFinish]]&lt;=LookaheadEnd),Tasks[[#This Row],[_ShownFcstFinish]]+Tasks[[#This Row],[_Row]]/100000,"")</f>
        <v/>
      </c>
      <c r="ES163" s="38" t="str">
        <f aca="false">IF(Tasks[[#This Row],[_LeafCritical]],Tasks[[#This Row],[_ShownFcstStart]]+Tasks[[#This Row],[_Row]]/100000,"")</f>
        <v/>
      </c>
      <c r="ET163" s="38" t="n">
        <f aca="false">Tasks[[#This Row],[_LeafWork]]*Tasks[[#This Row],[_LeafProgress]]</f>
        <v>0</v>
      </c>
      <c r="EU163" s="115" t="str">
        <f aca="false">IF(AND(Tasks[[#This Row],[_IsLeaf]]=1,Tasks[[#This Row],[_LeafProgress]]&gt;=1),IF(N(Tasks[[#This Row],[Actual Finish]])&gt;0,Tasks[[#This Row],[Actual Finish]],Tasks[[#This Row],[_ShownFcstFinish]]),"")</f>
        <v/>
      </c>
      <c r="EV163" s="38" t="n">
        <f aca="false">IF(Tasks[[#This Row],[_IsLeaf]]=1,N(Tasks[[#This Row],[Story Points]]),0)</f>
        <v>0</v>
      </c>
      <c r="EW163" s="38" t="str">
        <f aca="false">IF(AND(Tasks[[#This Row],[_IsLeaf]]=1,CurrentSprint&lt;&gt;"",Tasks[[#This Row],[Sprint]]=CurrentSprint),Tasks[[#This Row],[_Row]],"")</f>
        <v/>
      </c>
    </row>
    <row r="164" customFormat="false" ht="15" hidden="false" customHeight="false" outlineLevel="0" collapsed="false">
      <c r="A164" s="51" t="str">
        <f aca="false">IF(Tasks[[#This Row],[Task Name]]="","",COUNTA(Tasks[[#Headers],[Task Name]]:Tasks[[#This Row],[Task Name]])-1)</f>
        <v/>
      </c>
      <c r="B164" s="52" t="n">
        <v>159</v>
      </c>
      <c r="C16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52"/>
      <c r="E164" s="53"/>
      <c r="F164" s="52"/>
      <c r="G164" s="52"/>
      <c r="H164" s="52"/>
      <c r="I164" s="52"/>
      <c r="J164" s="52"/>
      <c r="K164" s="52"/>
      <c r="L164" s="52"/>
      <c r="M164" s="52"/>
      <c r="N164" s="52"/>
      <c r="O164" s="52"/>
      <c r="P164" s="52"/>
      <c r="Q164" s="52"/>
      <c r="R164" s="52"/>
      <c r="S164" s="53"/>
      <c r="T164" s="102"/>
      <c r="U164" s="102"/>
      <c r="V164" s="7"/>
      <c r="W164" s="7"/>
      <c r="X164" s="53"/>
      <c r="Y164" s="31" t="str">
        <f aca="false">IF(Tasks[[#This Row],[Task Name]]="","",IF(Tasks[[#This Row],[_IsSummary]],MIN(INDEX(Tasks[_ShownFcstStart],Tasks[[#This Row],[_Row]]+1):INDEX(Tasks[_ShownFcstStart],Tasks[[#This Row],[_Row]]+Tasks[[#This Row],[_Descendants]])),Tasks[[#This Row],[_ShownFcstStart]]))</f>
        <v/>
      </c>
      <c r="Z164" s="31" t="str">
        <f aca="false">IF(Tasks[[#This Row],[Task Name]]="","",IF(Tasks[[#This Row],[_IsSummary]],MAX(INDEX(Tasks[_ShownFcstFinish],Tasks[[#This Row],[_Row]]+1):INDEX(Tasks[_ShownFcstFinish],Tasks[[#This Row],[_Row]]+Tasks[[#This Row],[_Descendants]])),Tasks[[#This Row],[_ShownFcstFinish]]))</f>
        <v/>
      </c>
      <c r="AA164" s="51" t="str">
        <f aca="false">IF(Tasks[[#This Row],[Task Name]]="","",IF(Tasks[[#This Row],[Progress]]&gt;=1,"Complete",IF(OR(N(Tasks[[#This Row],[Actual Start]])&gt;0,Tasks[[#This Row],[Progress]]&gt;0),IF(Tasks[[#This Row],[Finish Var]]&gt;0,"Behind","In Progress"),IF(Tasks[[#This Row],[Planned Start]]&lt;StatusDate,"Late Start","Not Started"))))</f>
        <v/>
      </c>
      <c r="AB164" s="51" t="str">
        <f aca="false">IF(Tasks[[#This Row],[Task Name]]="","",IF(IF(Tasks[[#This Row],[_IsSummary]],COUNTIF(INDEX(Tasks[_LeafCritical],Tasks[[#This Row],[_Row]]+1):INDEX(Tasks[_LeafCritical],Tasks[[#This Row],[_Row]]+Tasks[[#This Row],[_Descendants]]),TRUE())&gt;0,Tasks[[#This Row],[_LeafCritical]]),"Yes",""))</f>
        <v/>
      </c>
      <c r="AC16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4" s="51" t="str">
        <f aca="false">IF(Tasks[[#This Row],[Task Name]]="","",IF(Tasks[[#This Row],[_Level]]&lt;=OutlineShowLevel,"Yes","No"))</f>
        <v/>
      </c>
      <c r="AE164" s="7"/>
      <c r="AF164" s="52"/>
      <c r="AG164" s="53"/>
      <c r="AH164" s="7"/>
      <c r="AI16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4" s="31" t="str">
        <f aca="false">IF(Tasks[[#This Row],[Task Name]]="","",IF(N(Tasks[[#This Row],[Baseline Start]])&gt;0,Tasks[[#This Row],[Baseline Start]],Tasks[[#This Row],[_CalcStart]]))</f>
        <v/>
      </c>
      <c r="AK164" s="31" t="str">
        <f aca="false">IF(Tasks[[#This Row],[Task Name]]="","",IF(N(Tasks[[#This Row],[Baseline Finish]])&gt;0,Tasks[[#This Row],[Baseline Finish]],Tasks[[#This Row],[_CalcFinish]]))</f>
        <v/>
      </c>
      <c r="AL16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4" s="31" t="str">
        <f aca="false">IF(Tasks[[#This Row],[Task Name]]="","",IF(Tasks[[#This Row],[_IsSummary]],MIN(INDEX(Tasks[_LeafLateStart],Tasks[[#This Row],[_Row]]+1):INDEX(Tasks[_LeafLateStart],Tasks[[#This Row],[_Row]]+Tasks[[#This Row],[_Descendants]])),Tasks[[#This Row],[_LeafLateStart]]))</f>
        <v/>
      </c>
      <c r="AN164" s="31" t="str">
        <f aca="false">IF(Tasks[[#This Row],[Task Name]]="","",IF(Tasks[[#This Row],[_IsSummary]],MAX(INDEX(Tasks[_LeafLateFinish],Tasks[[#This Row],[_Row]]+1):INDEX(Tasks[_LeafLateFinish],Tasks[[#This Row],[_Row]]+Tasks[[#This Row],[_Descendants]])),Tasks[[#This Row],[_LeafLateFinish]]))</f>
        <v/>
      </c>
      <c r="AO164" s="51" t="str">
        <f aca="false">IF(Tasks[[#This Row],[Task Name]]="","",IF(Tasks[[#This Row],[_IsSummary]],MIN(INDEX(Tasks[_LeafTotalSlack],Tasks[[#This Row],[_Row]]+1):INDEX(Tasks[_LeafTotalSlack],Tasks[[#This Row],[_Row]]+Tasks[[#This Row],[_Descendants]])),Tasks[[#This Row],[_LeafTotalSlack]]))</f>
        <v/>
      </c>
      <c r="AP16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4" s="110" t="str">
        <f aca="false">IF(Tasks[[#This Row],[Task Name]]="","",IF(Tasks[[#This Row],[_IsSummary]],SUM(INDEX(Tasks[_LeafTotalWork],Tasks[[#This Row],[_Row]]+1):INDEX(Tasks[_LeafTotalWork],Tasks[[#This Row],[_Row]]+Tasks[[#This Row],[_Descendants]])),Tasks[[#This Row],[_LeafTotalWork]]))</f>
        <v/>
      </c>
      <c r="AV16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4" s="111" t="str">
        <f aca="false">IF(Tasks[[#This Row],[Task Name]]="","",IF(Tasks[[#This Row],[_IsSummary]],SUM(INDEX(Tasks[_LeafTotalCost],Tasks[[#This Row],[_Row]]+1):INDEX(Tasks[_LeafTotalCost],Tasks[[#This Row],[_Row]]+Tasks[[#This Row],[_Descendants]])),Tasks[[#This Row],[_LeafTotalCost]]))</f>
        <v/>
      </c>
      <c r="AY164" s="112"/>
      <c r="AZ16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4" s="52"/>
      <c r="BB164" s="98"/>
      <c r="BC164" s="51" t="str">
        <f aca="false">IF(OR(Tasks[[#This Row],[Task Name]]="",Tasks[[#This Row],[Baseline Duration]]=""),"",Tasks[[#This Row],[BL Source Duration]]-N(Tasks[[#This Row],[Baseline Duration]]))</f>
        <v/>
      </c>
      <c r="BD164" s="110" t="str">
        <f aca="false">IF(OR(Tasks[[#This Row],[Task Name]]="",Tasks[[#This Row],[Baseline Work]]=""),"",Tasks[[#This Row],[Work]]-N(Tasks[[#This Row],[Baseline Work]]))</f>
        <v/>
      </c>
      <c r="BE164" s="111" t="str">
        <f aca="false">IF(OR(Tasks[[#This Row],[Task Name]]="",Tasks[[#This Row],[Baseline Cost]]=""),"",Tasks[[#This Row],[Cost]]-N(Tasks[[#This Row],[Baseline Cost]]))</f>
        <v/>
      </c>
      <c r="BF164" s="31" t="str">
        <f aca="false">IF(Tasks[[#This Row],[Task Name]]="","",Tasks[[#This Row],[Forecast Start]])</f>
        <v/>
      </c>
      <c r="BG164" s="31" t="str">
        <f aca="false">IF(Tasks[[#This Row],[Task Name]]="","",Tasks[[#This Row],[Forecast Finish]])</f>
        <v/>
      </c>
      <c r="BH164" s="51" t="str">
        <f aca="false">IF(Tasks[[#This Row],[Task Name]]="","",IF(Tasks[[#This Row],[_IsSummary]],NETWORKDAYS.INTL(Tasks[[#This Row],[Forecast Start]],Tasks[[#This Row],[Forecast Finish]],WorkWeek,Holidays),N(Tasks[[#This Row],[Duration]])))</f>
        <v/>
      </c>
      <c r="BI164" s="110" t="str">
        <f aca="false">IF(Tasks[[#This Row],[Task Name]]="","",Tasks[[#This Row],[Work]])</f>
        <v/>
      </c>
      <c r="BJ164" s="111" t="str">
        <f aca="false">IF(Tasks[[#This Row],[Task Name]]="","",Tasks[[#This Row],[Cost]])</f>
        <v/>
      </c>
      <c r="BK164" s="7"/>
      <c r="BL164" s="7"/>
      <c r="BM164" s="52"/>
      <c r="BN164" s="113"/>
      <c r="BO164" s="112"/>
      <c r="BP164" s="111" t="str">
        <f aca="false">IF(Tasks[[#This Row],[Task Name]]="","",IF(Tasks[[#This Row],[_IsSummary]],SUM(INDEX(Tasks[_LeafEV],Tasks[[#This Row],[_Row]]+1):INDEX(Tasks[_LeafEV],Tasks[[#This Row],[_Row]]+Tasks[[#This Row],[_Descendants]])),Tasks[[#This Row],[_LeafEV]]))</f>
        <v/>
      </c>
      <c r="BQ164" s="111" t="str">
        <f aca="false">IF(Tasks[[#This Row],[Task Name]]="","",IF(Tasks[[#This Row],[_IsSummary]],SUM(INDEX(Tasks[_LeafBudget],Tasks[[#This Row],[_Row]]+1):INDEX(Tasks[_LeafBudget],Tasks[[#This Row],[_Row]]+Tasks[[#This Row],[_Descendants]])),Tasks[[#This Row],[_LeafBudget]]))</f>
        <v/>
      </c>
      <c r="BR164" s="111" t="str">
        <f aca="false">IF(Tasks[[#This Row],[Task Name]]="","",IF(Tasks[[#This Row],[_IsSummary]],SUM(INDEX(Tasks[_LeafPV],Tasks[[#This Row],[_Row]]+1):INDEX(Tasks[_LeafPV],Tasks[[#This Row],[_Row]]+Tasks[[#This Row],[_Descendants]])),Tasks[[#This Row],[_LeafPV]]))</f>
        <v/>
      </c>
      <c r="BS164" s="111" t="str">
        <f aca="false">IF(Tasks[[#This Row],[Task Name]]="","",IF(Tasks[[#This Row],[_IsSummary]],SUM(INDEX(Tasks[_LeafAC],Tasks[[#This Row],[_Row]]+1):INDEX(Tasks[_LeafAC],Tasks[[#This Row],[_Row]]+Tasks[[#This Row],[_Descendants]])),Tasks[[#This Row],[_LeafAC]]))</f>
        <v/>
      </c>
      <c r="BT164" s="38" t="str">
        <f aca="false">IF(Tasks[[#This Row],[Task Name]]="","",MAX(1,N(Tasks[[#This Row],[Level]])))</f>
        <v/>
      </c>
      <c r="BU164" s="38" t="n">
        <f aca="false">ROW()-ROW(Tasks[[#Headers],[ID]])</f>
        <v>159</v>
      </c>
      <c r="BV164" s="38" t="n">
        <f aca="false">IF(OR(Tasks[[#This Row],[Task Name]]="",Tasks[[#This Row],[_Level]]&lt;=1),0,IFERROR(LOOKUP(2,1/(Tasks[[#Headers],[_Level]]:Tasks[[#This Row],[_Level]]=Tasks[[#This Row],[_Level]]-1),ROW(Tasks[[#Headers],[_Level]]:Tasks[[#This Row],[_Level]])),0))</f>
        <v>0</v>
      </c>
      <c r="BW164" s="38" t="n">
        <f aca="false">IFERROR(N(INDEX(Tasks[_Level],Tasks[[#This Row],[_Row]]+1)),0)</f>
        <v>0</v>
      </c>
      <c r="BX164" s="114" t="b">
        <f aca="false">AND(Tasks[[#This Row],[Task Name]]&lt;&gt;"",Tasks[[#This Row],[_NextLevel]]&gt;Tasks[[#This Row],[_Level]])</f>
        <v>0</v>
      </c>
      <c r="BY164" s="38" t="n">
        <f aca="false">IF(Tasks[[#This Row],[_IsSummary]],COUNTIF(Tasks[WBS],Tasks[[#This Row],[WBS]]&amp;".*"),0)</f>
        <v>0</v>
      </c>
      <c r="BZ164" s="38" t="n">
        <f aca="false">IF(AND(Tasks[[#This Row],[Task Name]]&lt;&gt;"",NOT(Tasks[[#This Row],[_IsSummary]])),1,0)</f>
        <v>0</v>
      </c>
      <c r="CA164" s="38" t="n">
        <f aca="false">IF(N(Tasks[[#This Row],[Pred1 UID]])=0,0,IFERROR(MATCH(Tasks[[#This Row],[Pred1 UID]],Tasks[UID],0),-1))</f>
        <v>0</v>
      </c>
      <c r="CB164" s="38" t="n">
        <f aca="false">IF(N(Tasks[[#This Row],[Pred2 UID]])=0,0,IFERROR(MATCH(Tasks[[#This Row],[Pred2 UID]],Tasks[UID],0),-1))</f>
        <v>0</v>
      </c>
      <c r="CC164" s="38" t="n">
        <f aca="false">IF(N(Tasks[[#This Row],[Pred3 UID]])=0,0,IFERROR(MATCH(Tasks[[#This Row],[Pred3 UID]],Tasks[UID],0),-1))</f>
        <v>0</v>
      </c>
      <c r="CD164" s="38" t="n">
        <f aca="false">IF(N(Tasks[[#This Row],[Pred4 UID]])=0,0,IFERROR(MATCH(Tasks[[#This Row],[Pred4 UID]],Tasks[UID],0),-1))</f>
        <v>0</v>
      </c>
      <c r="CE16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4" s="115" t="n">
        <f aca="false">IF(OR(Tasks[[#This Row],[_ConstraintCode]]=2,Tasks[[#This Row],[_ConstraintCode]]=3,Tasks[[#This Row],[_ConstraintCode]]=4,Tasks[[#This Row],[_ConstraintCode]]=6),Tasks[[#This Row],[_ConstraintStart]],0)</f>
        <v>0</v>
      </c>
      <c r="CH164" s="115" t="n">
        <f aca="false">IF(OR(Tasks[[#This Row],[_ConstraintCode]]=2,Tasks[[#This Row],[_ConstraintCode]]=3,Tasks[[#This Row],[_ConstraintCode]]=5,Tasks[[#This Row],[_ConstraintCode]]=7),Tasks[[#This Row],[_ConstraintStart]],2958465)</f>
        <v>2958465</v>
      </c>
      <c r="CI16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4" s="115" t="str">
        <f aca="false">IF(NOT(Tasks[[#This Row],[_IsLeaf]]=1),"",IF(N(Tasks[[#This Row],[Duration]])&lt;=0,Tasks[[#This Row],[_LeafCalcStart]],WORKDAY.INTL(Tasks[[#This Row],[_LeafCalcStart]],Tasks[[#This Row],[Duration]]-1,WorkWeek,Holidays)))</f>
        <v/>
      </c>
      <c r="CK16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4" s="38" t="n">
        <f aca="false">IF(NOT(Tasks[[#This Row],[_IsLeaf]]=1),0,IF(N(Tasks[[#This Row],[Actual Finish]])&gt;0,1,MIN(1,N(Tasks[[#This Row],[% Complete]]))))</f>
        <v>0</v>
      </c>
      <c r="CN164" s="38" t="n">
        <f aca="false">IF(OR(NOT(Tasks[[#This Row],[_IsLeaf]]=1),Tasks[[#This Row],[Resource]]=""),0,N(Tasks[[#This Row],[Duration]])*HoursPerDay*IF(Tasks[[#This Row],[Units]]="",DefaultUnits,Tasks[[#This Row],[Units]]))</f>
        <v>0</v>
      </c>
      <c r="CO164" s="38" t="n">
        <f aca="false">IF(Tasks[[#This Row],[_LeafWork]]=0,0,Tasks[[#This Row],[_LeafWork]]*IFERROR(INDEX(res_Rate,MATCH(Tasks[[#This Row],[Resource]],res_Name,0)),0))</f>
        <v>0</v>
      </c>
      <c r="CP164" s="38" t="n">
        <f aca="false">Tasks[[#This Row],[_LeafWork]]+IF(Tasks[[#This Row],[_IsLeaf]]=1,SUMIFS(asg_Work,asg_TaskUID,Tasks[[#This Row],[UID]],asg_Valid,1),0)</f>
        <v>0</v>
      </c>
      <c r="CQ164" s="38" t="n">
        <f aca="false">Tasks[[#This Row],[_LeafCost]]+IF(Tasks[[#This Row],[_IsLeaf]]=1,SUMIFS(asg_Cost,asg_TaskUID,Tasks[[#This Row],[UID]],asg_Valid,1),0)</f>
        <v>0</v>
      </c>
      <c r="CR164" s="38" t="n">
        <f aca="false">IF(Tasks[[#This Row],[_LeafTotalCost]]=0,Tasks[[#This Row],[_LeafAC]],Tasks[[#This Row],[_LeafAC]]*Tasks[[#This Row],[_LeafCost]]/Tasks[[#This Row],[_LeafTotalCost]])</f>
        <v>0</v>
      </c>
      <c r="CS16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4" s="38" t="n">
        <f aca="false">IF(NOT(Tasks[[#This Row],[_IsLeaf]]=1),0,MAX(_xlfn.MAXIFS(Tasks[_Row],Tasks[Pred1 UID],Tasks[[#This Row],[UID]]),_xlfn.MAXIFS(Tasks[_Row],Tasks[Pred2 UID],Tasks[[#This Row],[UID]]),_xlfn.MAXIFS(Tasks[_Row],Tasks[Pred3 UID],Tasks[[#This Row],[UID]]),_xlfn.MAXIFS(Tasks[_Row],Tasks[Pred4 UID],Tasks[[#This Row],[UID]])))</f>
        <v>0</v>
      </c>
      <c r="DB16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4" s="115" t="str">
        <f aca="false">IF(NOT(Tasks[[#This Row],[_IsLeaf]]=1),"",IF(N(Tasks[[#This Row],[Duration]])&lt;=0,Tasks[[#This Row],[_LeafLateFinish]],WORKDAY.INTL(Tasks[[#This Row],[_LeafLateFinish]],-(Tasks[[#This Row],[Duration]]-1),WorkWeek,Holidays)))</f>
        <v/>
      </c>
      <c r="DE16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4" s="114" t="b">
        <f aca="false">AND(Tasks[[#This Row],[_IsLeaf]]=1,Tasks[[#This Row],[_LeafProgress]]&lt;1,N(Tasks[[#This Row],[_LeafTotalSlack]])&lt;=CriticalSlackDays)</f>
        <v>0</v>
      </c>
      <c r="DG164" s="38" t="n">
        <f aca="false">IF(AND(Tasks[[#This Row],[_IsLeaf]]=1,Tasks[[#This Row],[_ConstraintCode]]=1,Tasks[[#This Row],[Mode]]&lt;&gt;"Manual",N(Tasks[[#This Row],[Actual Start]])=0),MAX(0,N(Tasks[[#This Row],[Free Slack]])),0)</f>
        <v>0</v>
      </c>
      <c r="DH164" s="115" t="str">
        <f aca="false">IF(NOT(Tasks[[#This Row],[_IsLeaf]]=1),"",IF(Tasks[[#This Row],[_AlapShift]]=0,Tasks[[#This Row],[_LeafCalcStart]],WORKDAY.INTL(Tasks[[#This Row],[_LeafCalcStart]],Tasks[[#This Row],[_AlapShift]],WorkWeek,Holidays)))</f>
        <v/>
      </c>
      <c r="DI164" s="115" t="str">
        <f aca="false">IF(NOT(Tasks[[#This Row],[_IsLeaf]]=1),"",IF(Tasks[[#This Row],[_AlapShift]]=0,Tasks[[#This Row],[_LeafCalcFinish]],WORKDAY.INTL(Tasks[[#This Row],[_LeafCalcFinish]],Tasks[[#This Row],[_AlapShift]],WorkWeek,Holidays)))</f>
        <v/>
      </c>
      <c r="DJ164" s="115" t="str">
        <f aca="false">IF(NOT(Tasks[[#This Row],[_IsLeaf]]=1),"",IF(Tasks[[#This Row],[_AlapShift]]=0,Tasks[[#This Row],[_LeafFcstStart]],WORKDAY.INTL(Tasks[[#This Row],[_LeafFcstStart]],Tasks[[#This Row],[_AlapShift]],WorkWeek,Holidays)))</f>
        <v/>
      </c>
      <c r="DK164" s="115" t="str">
        <f aca="false">IF(NOT(Tasks[[#This Row],[_IsLeaf]]=1),"",IF(Tasks[[#This Row],[_AlapShift]]=0,Tasks[[#This Row],[_LeafFcstFinish]],WORKDAY.INTL(Tasks[[#This Row],[_LeafFcstFinish]],Tasks[[#This Row],[_AlapShift]],WorkWeek,Holidays)))</f>
        <v/>
      </c>
      <c r="DL164" s="115" t="str">
        <f aca="false">IF(Tasks[[#This Row],[Task Name]]="","",IF(Tasks[[#This Row],[_IsSummary]],MIN(INDEX(Tasks[_ShownCalcStart],Tasks[[#This Row],[_Row]]+1):INDEX(Tasks[_ShownCalcStart],Tasks[[#This Row],[_Row]]+Tasks[[#This Row],[_Descendants]])),Tasks[[#This Row],[_ShownCalcStart]]))</f>
        <v/>
      </c>
      <c r="DM164" s="115" t="str">
        <f aca="false">IF(Tasks[[#This Row],[Task Name]]="","",IF(Tasks[[#This Row],[_IsSummary]],MAX(INDEX(Tasks[_ShownCalcFinish],Tasks[[#This Row],[_Row]]+1):INDEX(Tasks[_ShownCalcFinish],Tasks[[#This Row],[_Row]]+Tasks[[#This Row],[_Descendants]])),Tasks[[#This Row],[_ShownCalcFinish]]))</f>
        <v/>
      </c>
      <c r="DN16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4" s="38" t="n">
        <f aca="false">IF(AND(Tasks[[#This Row],[_IsLeaf]]=1,Tasks[[#This Row],[_LeafTotalWork]]&gt;0),NETWORKDAYS.INTL(ProjectStart,Tasks[[#This Row],[_ShownFcstStart]],WorkWeek,Holidays),0)</f>
        <v>0</v>
      </c>
      <c r="EA164" s="38" t="n">
        <f aca="false">IF(AND(Tasks[[#This Row],[_IsLeaf]]=1,Tasks[[#This Row],[_LeafTotalWork]]&gt;0),MAX(Tasks[[#This Row],[_StartWorkday]],NETWORKDAYS.INTL(ProjectStart,Tasks[[#This Row],[_ShownFcstFinish]],WorkWeek,Holidays)),0)</f>
        <v>0</v>
      </c>
      <c r="EB164" s="38" t="n">
        <f aca="false">IF(AND(Tasks[[#This Row],[_IsLeaf]]=1,Tasks[[#This Row],[_LeafTotalWork]]&gt;0),Tasks[[#This Row],[_LeafWork]]/(Tasks[[#This Row],[_FinishWorkday]]-Tasks[[#This Row],[_StartWorkday]]+1),0)</f>
        <v>0</v>
      </c>
      <c r="EC164" s="38" t="n">
        <f aca="false">Tasks[[#This Row],[_WorkPerWorkday]]*(Tasks[[#This Row],[_StartWorkday]]-1)</f>
        <v>-0</v>
      </c>
      <c r="ED164" s="38" t="n">
        <f aca="false">IF(Tasks[[#This Row],[_IsLeaf]]=1,MAX(N(Tasks[[#This Row],[Duration]]),0.1),0)</f>
        <v>0</v>
      </c>
      <c r="EE164" s="38" t="n">
        <f aca="false">Tasks[[#This Row],[_WeightDur]]*Tasks[[#This Row],[_LeafProgress]]</f>
        <v>0</v>
      </c>
      <c r="EF16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4" s="38" t="str">
        <f aca="false">IF(AND(Tasks[[#This Row],[_IsLeaf]]=1,N(Tasks[[#This Row],[Duration]])=0,Tasks[[#This Row],[_LeafProgress]]&lt;1),Tasks[[#This Row],[_ShownFcstFinish]]+Tasks[[#This Row],[_Row]]/100000,"")</f>
        <v/>
      </c>
      <c r="EH16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4" s="38" t="n">
        <f aca="false">IF(NOT(Tasks[[#This Row],[_IsLeaf]]=1),0,IF(Tasks[[#This Row],[Baseline Cost]]="",Tasks[[#This Row],[_LeafTotalCost]],N(Tasks[[#This Row],[Baseline Cost]])))</f>
        <v>0</v>
      </c>
      <c r="EJ164" s="38" t="n">
        <f aca="false">Tasks[[#This Row],[_LeafBudget]]*Tasks[[#This Row],[_PlannedPct]]</f>
        <v>0</v>
      </c>
      <c r="EK164" s="38" t="n">
        <f aca="false">Tasks[[#This Row],[_LeafBudget]]*Tasks[[#This Row],[_LeafProgress]]</f>
        <v>0</v>
      </c>
      <c r="EL164" s="38" t="n">
        <f aca="false">IF(NOT(Tasks[[#This Row],[_IsLeaf]]=1),0,IF(Tasks[[#This Row],[Actual Cost]]="",Tasks[[#This Row],[_LeafTotalCost]]*Tasks[[#This Row],[_LeafProgress]],N(Tasks[[#This Row],[Actual Cost]])))</f>
        <v>0</v>
      </c>
      <c r="EM164" s="38" t="str">
        <f aca="false">IF(Tasks[[#This Row],[Task Name]]="","",LEFT(Tasks[[#This Row],[WBS]],FIND(".",Tasks[[#This Row],[WBS]]&amp;".")-1))</f>
        <v/>
      </c>
      <c r="EN164" s="38" t="str">
        <f aca="false">IF(AND(Tasks[[#This Row],[Task Name]]&lt;&gt;"",Tasks[[#This Row],[_Level]]=1),Tasks[[#This Row],[_Row]],"")</f>
        <v/>
      </c>
      <c r="EO164" s="38" t="str">
        <f aca="false">IF(AND(Tasks[[#This Row],[_IsLeaf]]=1,N(Tasks[[#This Row],[Duration]])=0),Tasks[[#This Row],[Planned Finish]]+Tasks[[#This Row],[_Row]]/100000,"")</f>
        <v/>
      </c>
      <c r="EP164" s="38" t="str">
        <f aca="false">IF(AND(Tasks[[#This Row],[_IsLeaf]]=1,Tasks[[#This Row],[_LeafProgress]]&lt;1,OR(N(Tasks[[#This Row],[Finish Var]])&gt;0,Tasks[[#This Row],[Status]]="Late Start")),MAX(0,Tasks[[#This Row],[Finish Var]])+1-Tasks[[#This Row],[_Row]]/1000000,"")</f>
        <v/>
      </c>
      <c r="EQ164" s="38" t="str">
        <f aca="false">IF(AND(Tasks[[#This Row],[_IsLeaf]]=1,N(Tasks[[#This Row],[Actual Start]])=0,Tasks[[#This Row],[_ShownFcstStart]]&gt;=StatusDate,Tasks[[#This Row],[_ShownFcstStart]]&lt;=LookaheadEnd),Tasks[[#This Row],[_ShownFcstStart]]+Tasks[[#This Row],[_Row]]/100000,"")</f>
        <v/>
      </c>
      <c r="ER164" s="38" t="str">
        <f aca="false">IF(AND(Tasks[[#This Row],[_IsLeaf]]=1,Tasks[[#This Row],[_LeafProgress]]&lt;1,Tasks[[#This Row],[_ShownFcstFinish]]&gt;=StatusDate,Tasks[[#This Row],[_ShownFcstFinish]]&lt;=LookaheadEnd),Tasks[[#This Row],[_ShownFcstFinish]]+Tasks[[#This Row],[_Row]]/100000,"")</f>
        <v/>
      </c>
      <c r="ES164" s="38" t="str">
        <f aca="false">IF(Tasks[[#This Row],[_LeafCritical]],Tasks[[#This Row],[_ShownFcstStart]]+Tasks[[#This Row],[_Row]]/100000,"")</f>
        <v/>
      </c>
      <c r="ET164" s="38" t="n">
        <f aca="false">Tasks[[#This Row],[_LeafWork]]*Tasks[[#This Row],[_LeafProgress]]</f>
        <v>0</v>
      </c>
      <c r="EU164" s="115" t="str">
        <f aca="false">IF(AND(Tasks[[#This Row],[_IsLeaf]]=1,Tasks[[#This Row],[_LeafProgress]]&gt;=1),IF(N(Tasks[[#This Row],[Actual Finish]])&gt;0,Tasks[[#This Row],[Actual Finish]],Tasks[[#This Row],[_ShownFcstFinish]]),"")</f>
        <v/>
      </c>
      <c r="EV164" s="38" t="n">
        <f aca="false">IF(Tasks[[#This Row],[_IsLeaf]]=1,N(Tasks[[#This Row],[Story Points]]),0)</f>
        <v>0</v>
      </c>
      <c r="EW164" s="38" t="str">
        <f aca="false">IF(AND(Tasks[[#This Row],[_IsLeaf]]=1,CurrentSprint&lt;&gt;"",Tasks[[#This Row],[Sprint]]=CurrentSprint),Tasks[[#This Row],[_Row]],"")</f>
        <v/>
      </c>
    </row>
    <row r="165" customFormat="false" ht="15" hidden="false" customHeight="false" outlineLevel="0" collapsed="false">
      <c r="A165" s="51" t="str">
        <f aca="false">IF(Tasks[[#This Row],[Task Name]]="","",COUNTA(Tasks[[#Headers],[Task Name]]:Tasks[[#This Row],[Task Name]])-1)</f>
        <v/>
      </c>
      <c r="B165" s="52" t="n">
        <v>160</v>
      </c>
      <c r="C16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52"/>
      <c r="E165" s="53"/>
      <c r="F165" s="52"/>
      <c r="G165" s="52"/>
      <c r="H165" s="52"/>
      <c r="I165" s="52"/>
      <c r="J165" s="52"/>
      <c r="K165" s="52"/>
      <c r="L165" s="52"/>
      <c r="M165" s="52"/>
      <c r="N165" s="52"/>
      <c r="O165" s="52"/>
      <c r="P165" s="52"/>
      <c r="Q165" s="52"/>
      <c r="R165" s="52"/>
      <c r="S165" s="53"/>
      <c r="T165" s="102"/>
      <c r="U165" s="102"/>
      <c r="V165" s="7"/>
      <c r="W165" s="7"/>
      <c r="X165" s="53"/>
      <c r="Y165" s="31" t="str">
        <f aca="false">IF(Tasks[[#This Row],[Task Name]]="","",IF(Tasks[[#This Row],[_IsSummary]],MIN(INDEX(Tasks[_ShownFcstStart],Tasks[[#This Row],[_Row]]+1):INDEX(Tasks[_ShownFcstStart],Tasks[[#This Row],[_Row]]+Tasks[[#This Row],[_Descendants]])),Tasks[[#This Row],[_ShownFcstStart]]))</f>
        <v/>
      </c>
      <c r="Z165" s="31" t="str">
        <f aca="false">IF(Tasks[[#This Row],[Task Name]]="","",IF(Tasks[[#This Row],[_IsSummary]],MAX(INDEX(Tasks[_ShownFcstFinish],Tasks[[#This Row],[_Row]]+1):INDEX(Tasks[_ShownFcstFinish],Tasks[[#This Row],[_Row]]+Tasks[[#This Row],[_Descendants]])),Tasks[[#This Row],[_ShownFcstFinish]]))</f>
        <v/>
      </c>
      <c r="AA165" s="51" t="str">
        <f aca="false">IF(Tasks[[#This Row],[Task Name]]="","",IF(Tasks[[#This Row],[Progress]]&gt;=1,"Complete",IF(OR(N(Tasks[[#This Row],[Actual Start]])&gt;0,Tasks[[#This Row],[Progress]]&gt;0),IF(Tasks[[#This Row],[Finish Var]]&gt;0,"Behind","In Progress"),IF(Tasks[[#This Row],[Planned Start]]&lt;StatusDate,"Late Start","Not Started"))))</f>
        <v/>
      </c>
      <c r="AB165" s="51" t="str">
        <f aca="false">IF(Tasks[[#This Row],[Task Name]]="","",IF(IF(Tasks[[#This Row],[_IsSummary]],COUNTIF(INDEX(Tasks[_LeafCritical],Tasks[[#This Row],[_Row]]+1):INDEX(Tasks[_LeafCritical],Tasks[[#This Row],[_Row]]+Tasks[[#This Row],[_Descendants]]),TRUE())&gt;0,Tasks[[#This Row],[_LeafCritical]]),"Yes",""))</f>
        <v/>
      </c>
      <c r="AC16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5" s="51" t="str">
        <f aca="false">IF(Tasks[[#This Row],[Task Name]]="","",IF(Tasks[[#This Row],[_Level]]&lt;=OutlineShowLevel,"Yes","No"))</f>
        <v/>
      </c>
      <c r="AE165" s="7"/>
      <c r="AF165" s="52"/>
      <c r="AG165" s="53"/>
      <c r="AH165" s="7"/>
      <c r="AI16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5" s="31" t="str">
        <f aca="false">IF(Tasks[[#This Row],[Task Name]]="","",IF(N(Tasks[[#This Row],[Baseline Start]])&gt;0,Tasks[[#This Row],[Baseline Start]],Tasks[[#This Row],[_CalcStart]]))</f>
        <v/>
      </c>
      <c r="AK165" s="31" t="str">
        <f aca="false">IF(Tasks[[#This Row],[Task Name]]="","",IF(N(Tasks[[#This Row],[Baseline Finish]])&gt;0,Tasks[[#This Row],[Baseline Finish]],Tasks[[#This Row],[_CalcFinish]]))</f>
        <v/>
      </c>
      <c r="AL16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5" s="31" t="str">
        <f aca="false">IF(Tasks[[#This Row],[Task Name]]="","",IF(Tasks[[#This Row],[_IsSummary]],MIN(INDEX(Tasks[_LeafLateStart],Tasks[[#This Row],[_Row]]+1):INDEX(Tasks[_LeafLateStart],Tasks[[#This Row],[_Row]]+Tasks[[#This Row],[_Descendants]])),Tasks[[#This Row],[_LeafLateStart]]))</f>
        <v/>
      </c>
      <c r="AN165" s="31" t="str">
        <f aca="false">IF(Tasks[[#This Row],[Task Name]]="","",IF(Tasks[[#This Row],[_IsSummary]],MAX(INDEX(Tasks[_LeafLateFinish],Tasks[[#This Row],[_Row]]+1):INDEX(Tasks[_LeafLateFinish],Tasks[[#This Row],[_Row]]+Tasks[[#This Row],[_Descendants]])),Tasks[[#This Row],[_LeafLateFinish]]))</f>
        <v/>
      </c>
      <c r="AO165" s="51" t="str">
        <f aca="false">IF(Tasks[[#This Row],[Task Name]]="","",IF(Tasks[[#This Row],[_IsSummary]],MIN(INDEX(Tasks[_LeafTotalSlack],Tasks[[#This Row],[_Row]]+1):INDEX(Tasks[_LeafTotalSlack],Tasks[[#This Row],[_Row]]+Tasks[[#This Row],[_Descendants]])),Tasks[[#This Row],[_LeafTotalSlack]]))</f>
        <v/>
      </c>
      <c r="AP16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5" s="110" t="str">
        <f aca="false">IF(Tasks[[#This Row],[Task Name]]="","",IF(Tasks[[#This Row],[_IsSummary]],SUM(INDEX(Tasks[_LeafTotalWork],Tasks[[#This Row],[_Row]]+1):INDEX(Tasks[_LeafTotalWork],Tasks[[#This Row],[_Row]]+Tasks[[#This Row],[_Descendants]])),Tasks[[#This Row],[_LeafTotalWork]]))</f>
        <v/>
      </c>
      <c r="AV16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5" s="111" t="str">
        <f aca="false">IF(Tasks[[#This Row],[Task Name]]="","",IF(Tasks[[#This Row],[_IsSummary]],SUM(INDEX(Tasks[_LeafTotalCost],Tasks[[#This Row],[_Row]]+1):INDEX(Tasks[_LeafTotalCost],Tasks[[#This Row],[_Row]]+Tasks[[#This Row],[_Descendants]])),Tasks[[#This Row],[_LeafTotalCost]]))</f>
        <v/>
      </c>
      <c r="AY165" s="112"/>
      <c r="AZ16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5" s="52"/>
      <c r="BB165" s="98"/>
      <c r="BC165" s="51" t="str">
        <f aca="false">IF(OR(Tasks[[#This Row],[Task Name]]="",Tasks[[#This Row],[Baseline Duration]]=""),"",Tasks[[#This Row],[BL Source Duration]]-N(Tasks[[#This Row],[Baseline Duration]]))</f>
        <v/>
      </c>
      <c r="BD165" s="110" t="str">
        <f aca="false">IF(OR(Tasks[[#This Row],[Task Name]]="",Tasks[[#This Row],[Baseline Work]]=""),"",Tasks[[#This Row],[Work]]-N(Tasks[[#This Row],[Baseline Work]]))</f>
        <v/>
      </c>
      <c r="BE165" s="111" t="str">
        <f aca="false">IF(OR(Tasks[[#This Row],[Task Name]]="",Tasks[[#This Row],[Baseline Cost]]=""),"",Tasks[[#This Row],[Cost]]-N(Tasks[[#This Row],[Baseline Cost]]))</f>
        <v/>
      </c>
      <c r="BF165" s="31" t="str">
        <f aca="false">IF(Tasks[[#This Row],[Task Name]]="","",Tasks[[#This Row],[Forecast Start]])</f>
        <v/>
      </c>
      <c r="BG165" s="31" t="str">
        <f aca="false">IF(Tasks[[#This Row],[Task Name]]="","",Tasks[[#This Row],[Forecast Finish]])</f>
        <v/>
      </c>
      <c r="BH165" s="51" t="str">
        <f aca="false">IF(Tasks[[#This Row],[Task Name]]="","",IF(Tasks[[#This Row],[_IsSummary]],NETWORKDAYS.INTL(Tasks[[#This Row],[Forecast Start]],Tasks[[#This Row],[Forecast Finish]],WorkWeek,Holidays),N(Tasks[[#This Row],[Duration]])))</f>
        <v/>
      </c>
      <c r="BI165" s="110" t="str">
        <f aca="false">IF(Tasks[[#This Row],[Task Name]]="","",Tasks[[#This Row],[Work]])</f>
        <v/>
      </c>
      <c r="BJ165" s="111" t="str">
        <f aca="false">IF(Tasks[[#This Row],[Task Name]]="","",Tasks[[#This Row],[Cost]])</f>
        <v/>
      </c>
      <c r="BK165" s="7"/>
      <c r="BL165" s="7"/>
      <c r="BM165" s="52"/>
      <c r="BN165" s="113"/>
      <c r="BO165" s="112"/>
      <c r="BP165" s="111" t="str">
        <f aca="false">IF(Tasks[[#This Row],[Task Name]]="","",IF(Tasks[[#This Row],[_IsSummary]],SUM(INDEX(Tasks[_LeafEV],Tasks[[#This Row],[_Row]]+1):INDEX(Tasks[_LeafEV],Tasks[[#This Row],[_Row]]+Tasks[[#This Row],[_Descendants]])),Tasks[[#This Row],[_LeafEV]]))</f>
        <v/>
      </c>
      <c r="BQ165" s="111" t="str">
        <f aca="false">IF(Tasks[[#This Row],[Task Name]]="","",IF(Tasks[[#This Row],[_IsSummary]],SUM(INDEX(Tasks[_LeafBudget],Tasks[[#This Row],[_Row]]+1):INDEX(Tasks[_LeafBudget],Tasks[[#This Row],[_Row]]+Tasks[[#This Row],[_Descendants]])),Tasks[[#This Row],[_LeafBudget]]))</f>
        <v/>
      </c>
      <c r="BR165" s="111" t="str">
        <f aca="false">IF(Tasks[[#This Row],[Task Name]]="","",IF(Tasks[[#This Row],[_IsSummary]],SUM(INDEX(Tasks[_LeafPV],Tasks[[#This Row],[_Row]]+1):INDEX(Tasks[_LeafPV],Tasks[[#This Row],[_Row]]+Tasks[[#This Row],[_Descendants]])),Tasks[[#This Row],[_LeafPV]]))</f>
        <v/>
      </c>
      <c r="BS165" s="111" t="str">
        <f aca="false">IF(Tasks[[#This Row],[Task Name]]="","",IF(Tasks[[#This Row],[_IsSummary]],SUM(INDEX(Tasks[_LeafAC],Tasks[[#This Row],[_Row]]+1):INDEX(Tasks[_LeafAC],Tasks[[#This Row],[_Row]]+Tasks[[#This Row],[_Descendants]])),Tasks[[#This Row],[_LeafAC]]))</f>
        <v/>
      </c>
      <c r="BT165" s="38" t="str">
        <f aca="false">IF(Tasks[[#This Row],[Task Name]]="","",MAX(1,N(Tasks[[#This Row],[Level]])))</f>
        <v/>
      </c>
      <c r="BU165" s="38" t="n">
        <f aca="false">ROW()-ROW(Tasks[[#Headers],[ID]])</f>
        <v>160</v>
      </c>
      <c r="BV165" s="38" t="n">
        <f aca="false">IF(OR(Tasks[[#This Row],[Task Name]]="",Tasks[[#This Row],[_Level]]&lt;=1),0,IFERROR(LOOKUP(2,1/(Tasks[[#Headers],[_Level]]:Tasks[[#This Row],[_Level]]=Tasks[[#This Row],[_Level]]-1),ROW(Tasks[[#Headers],[_Level]]:Tasks[[#This Row],[_Level]])),0))</f>
        <v>0</v>
      </c>
      <c r="BW165" s="38" t="n">
        <f aca="false">IFERROR(N(INDEX(Tasks[_Level],Tasks[[#This Row],[_Row]]+1)),0)</f>
        <v>0</v>
      </c>
      <c r="BX165" s="114" t="b">
        <f aca="false">AND(Tasks[[#This Row],[Task Name]]&lt;&gt;"",Tasks[[#This Row],[_NextLevel]]&gt;Tasks[[#This Row],[_Level]])</f>
        <v>0</v>
      </c>
      <c r="BY165" s="38" t="n">
        <f aca="false">IF(Tasks[[#This Row],[_IsSummary]],COUNTIF(Tasks[WBS],Tasks[[#This Row],[WBS]]&amp;".*"),0)</f>
        <v>0</v>
      </c>
      <c r="BZ165" s="38" t="n">
        <f aca="false">IF(AND(Tasks[[#This Row],[Task Name]]&lt;&gt;"",NOT(Tasks[[#This Row],[_IsSummary]])),1,0)</f>
        <v>0</v>
      </c>
      <c r="CA165" s="38" t="n">
        <f aca="false">IF(N(Tasks[[#This Row],[Pred1 UID]])=0,0,IFERROR(MATCH(Tasks[[#This Row],[Pred1 UID]],Tasks[UID],0),-1))</f>
        <v>0</v>
      </c>
      <c r="CB165" s="38" t="n">
        <f aca="false">IF(N(Tasks[[#This Row],[Pred2 UID]])=0,0,IFERROR(MATCH(Tasks[[#This Row],[Pred2 UID]],Tasks[UID],0),-1))</f>
        <v>0</v>
      </c>
      <c r="CC165" s="38" t="n">
        <f aca="false">IF(N(Tasks[[#This Row],[Pred3 UID]])=0,0,IFERROR(MATCH(Tasks[[#This Row],[Pred3 UID]],Tasks[UID],0),-1))</f>
        <v>0</v>
      </c>
      <c r="CD165" s="38" t="n">
        <f aca="false">IF(N(Tasks[[#This Row],[Pred4 UID]])=0,0,IFERROR(MATCH(Tasks[[#This Row],[Pred4 UID]],Tasks[UID],0),-1))</f>
        <v>0</v>
      </c>
      <c r="CE16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5" s="115" t="n">
        <f aca="false">IF(OR(Tasks[[#This Row],[_ConstraintCode]]=2,Tasks[[#This Row],[_ConstraintCode]]=3,Tasks[[#This Row],[_ConstraintCode]]=4,Tasks[[#This Row],[_ConstraintCode]]=6),Tasks[[#This Row],[_ConstraintStart]],0)</f>
        <v>0</v>
      </c>
      <c r="CH165" s="115" t="n">
        <f aca="false">IF(OR(Tasks[[#This Row],[_ConstraintCode]]=2,Tasks[[#This Row],[_ConstraintCode]]=3,Tasks[[#This Row],[_ConstraintCode]]=5,Tasks[[#This Row],[_ConstraintCode]]=7),Tasks[[#This Row],[_ConstraintStart]],2958465)</f>
        <v>2958465</v>
      </c>
      <c r="CI16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5" s="115" t="str">
        <f aca="false">IF(NOT(Tasks[[#This Row],[_IsLeaf]]=1),"",IF(N(Tasks[[#This Row],[Duration]])&lt;=0,Tasks[[#This Row],[_LeafCalcStart]],WORKDAY.INTL(Tasks[[#This Row],[_LeafCalcStart]],Tasks[[#This Row],[Duration]]-1,WorkWeek,Holidays)))</f>
        <v/>
      </c>
      <c r="CK16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5" s="38" t="n">
        <f aca="false">IF(NOT(Tasks[[#This Row],[_IsLeaf]]=1),0,IF(N(Tasks[[#This Row],[Actual Finish]])&gt;0,1,MIN(1,N(Tasks[[#This Row],[% Complete]]))))</f>
        <v>0</v>
      </c>
      <c r="CN165" s="38" t="n">
        <f aca="false">IF(OR(NOT(Tasks[[#This Row],[_IsLeaf]]=1),Tasks[[#This Row],[Resource]]=""),0,N(Tasks[[#This Row],[Duration]])*HoursPerDay*IF(Tasks[[#This Row],[Units]]="",DefaultUnits,Tasks[[#This Row],[Units]]))</f>
        <v>0</v>
      </c>
      <c r="CO165" s="38" t="n">
        <f aca="false">IF(Tasks[[#This Row],[_LeafWork]]=0,0,Tasks[[#This Row],[_LeafWork]]*IFERROR(INDEX(res_Rate,MATCH(Tasks[[#This Row],[Resource]],res_Name,0)),0))</f>
        <v>0</v>
      </c>
      <c r="CP165" s="38" t="n">
        <f aca="false">Tasks[[#This Row],[_LeafWork]]+IF(Tasks[[#This Row],[_IsLeaf]]=1,SUMIFS(asg_Work,asg_TaskUID,Tasks[[#This Row],[UID]],asg_Valid,1),0)</f>
        <v>0</v>
      </c>
      <c r="CQ165" s="38" t="n">
        <f aca="false">Tasks[[#This Row],[_LeafCost]]+IF(Tasks[[#This Row],[_IsLeaf]]=1,SUMIFS(asg_Cost,asg_TaskUID,Tasks[[#This Row],[UID]],asg_Valid,1),0)</f>
        <v>0</v>
      </c>
      <c r="CR165" s="38" t="n">
        <f aca="false">IF(Tasks[[#This Row],[_LeafTotalCost]]=0,Tasks[[#This Row],[_LeafAC]],Tasks[[#This Row],[_LeafAC]]*Tasks[[#This Row],[_LeafCost]]/Tasks[[#This Row],[_LeafTotalCost]])</f>
        <v>0</v>
      </c>
      <c r="CS16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5" s="38" t="n">
        <f aca="false">IF(NOT(Tasks[[#This Row],[_IsLeaf]]=1),0,MAX(_xlfn.MAXIFS(Tasks[_Row],Tasks[Pred1 UID],Tasks[[#This Row],[UID]]),_xlfn.MAXIFS(Tasks[_Row],Tasks[Pred2 UID],Tasks[[#This Row],[UID]]),_xlfn.MAXIFS(Tasks[_Row],Tasks[Pred3 UID],Tasks[[#This Row],[UID]]),_xlfn.MAXIFS(Tasks[_Row],Tasks[Pred4 UID],Tasks[[#This Row],[UID]])))</f>
        <v>0</v>
      </c>
      <c r="DB16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5" s="115" t="str">
        <f aca="false">IF(NOT(Tasks[[#This Row],[_IsLeaf]]=1),"",IF(N(Tasks[[#This Row],[Duration]])&lt;=0,Tasks[[#This Row],[_LeafLateFinish]],WORKDAY.INTL(Tasks[[#This Row],[_LeafLateFinish]],-(Tasks[[#This Row],[Duration]]-1),WorkWeek,Holidays)))</f>
        <v/>
      </c>
      <c r="DE16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5" s="114" t="b">
        <f aca="false">AND(Tasks[[#This Row],[_IsLeaf]]=1,Tasks[[#This Row],[_LeafProgress]]&lt;1,N(Tasks[[#This Row],[_LeafTotalSlack]])&lt;=CriticalSlackDays)</f>
        <v>0</v>
      </c>
      <c r="DG165" s="38" t="n">
        <f aca="false">IF(AND(Tasks[[#This Row],[_IsLeaf]]=1,Tasks[[#This Row],[_ConstraintCode]]=1,Tasks[[#This Row],[Mode]]&lt;&gt;"Manual",N(Tasks[[#This Row],[Actual Start]])=0),MAX(0,N(Tasks[[#This Row],[Free Slack]])),0)</f>
        <v>0</v>
      </c>
      <c r="DH165" s="115" t="str">
        <f aca="false">IF(NOT(Tasks[[#This Row],[_IsLeaf]]=1),"",IF(Tasks[[#This Row],[_AlapShift]]=0,Tasks[[#This Row],[_LeafCalcStart]],WORKDAY.INTL(Tasks[[#This Row],[_LeafCalcStart]],Tasks[[#This Row],[_AlapShift]],WorkWeek,Holidays)))</f>
        <v/>
      </c>
      <c r="DI165" s="115" t="str">
        <f aca="false">IF(NOT(Tasks[[#This Row],[_IsLeaf]]=1),"",IF(Tasks[[#This Row],[_AlapShift]]=0,Tasks[[#This Row],[_LeafCalcFinish]],WORKDAY.INTL(Tasks[[#This Row],[_LeafCalcFinish]],Tasks[[#This Row],[_AlapShift]],WorkWeek,Holidays)))</f>
        <v/>
      </c>
      <c r="DJ165" s="115" t="str">
        <f aca="false">IF(NOT(Tasks[[#This Row],[_IsLeaf]]=1),"",IF(Tasks[[#This Row],[_AlapShift]]=0,Tasks[[#This Row],[_LeafFcstStart]],WORKDAY.INTL(Tasks[[#This Row],[_LeafFcstStart]],Tasks[[#This Row],[_AlapShift]],WorkWeek,Holidays)))</f>
        <v/>
      </c>
      <c r="DK165" s="115" t="str">
        <f aca="false">IF(NOT(Tasks[[#This Row],[_IsLeaf]]=1),"",IF(Tasks[[#This Row],[_AlapShift]]=0,Tasks[[#This Row],[_LeafFcstFinish]],WORKDAY.INTL(Tasks[[#This Row],[_LeafFcstFinish]],Tasks[[#This Row],[_AlapShift]],WorkWeek,Holidays)))</f>
        <v/>
      </c>
      <c r="DL165" s="115" t="str">
        <f aca="false">IF(Tasks[[#This Row],[Task Name]]="","",IF(Tasks[[#This Row],[_IsSummary]],MIN(INDEX(Tasks[_ShownCalcStart],Tasks[[#This Row],[_Row]]+1):INDEX(Tasks[_ShownCalcStart],Tasks[[#This Row],[_Row]]+Tasks[[#This Row],[_Descendants]])),Tasks[[#This Row],[_ShownCalcStart]]))</f>
        <v/>
      </c>
      <c r="DM165" s="115" t="str">
        <f aca="false">IF(Tasks[[#This Row],[Task Name]]="","",IF(Tasks[[#This Row],[_IsSummary]],MAX(INDEX(Tasks[_ShownCalcFinish],Tasks[[#This Row],[_Row]]+1):INDEX(Tasks[_ShownCalcFinish],Tasks[[#This Row],[_Row]]+Tasks[[#This Row],[_Descendants]])),Tasks[[#This Row],[_ShownCalcFinish]]))</f>
        <v/>
      </c>
      <c r="DN16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5" s="38" t="n">
        <f aca="false">IF(AND(Tasks[[#This Row],[_IsLeaf]]=1,Tasks[[#This Row],[_LeafTotalWork]]&gt;0),NETWORKDAYS.INTL(ProjectStart,Tasks[[#This Row],[_ShownFcstStart]],WorkWeek,Holidays),0)</f>
        <v>0</v>
      </c>
      <c r="EA165" s="38" t="n">
        <f aca="false">IF(AND(Tasks[[#This Row],[_IsLeaf]]=1,Tasks[[#This Row],[_LeafTotalWork]]&gt;0),MAX(Tasks[[#This Row],[_StartWorkday]],NETWORKDAYS.INTL(ProjectStart,Tasks[[#This Row],[_ShownFcstFinish]],WorkWeek,Holidays)),0)</f>
        <v>0</v>
      </c>
      <c r="EB165" s="38" t="n">
        <f aca="false">IF(AND(Tasks[[#This Row],[_IsLeaf]]=1,Tasks[[#This Row],[_LeafTotalWork]]&gt;0),Tasks[[#This Row],[_LeafWork]]/(Tasks[[#This Row],[_FinishWorkday]]-Tasks[[#This Row],[_StartWorkday]]+1),0)</f>
        <v>0</v>
      </c>
      <c r="EC165" s="38" t="n">
        <f aca="false">Tasks[[#This Row],[_WorkPerWorkday]]*(Tasks[[#This Row],[_StartWorkday]]-1)</f>
        <v>-0</v>
      </c>
      <c r="ED165" s="38" t="n">
        <f aca="false">IF(Tasks[[#This Row],[_IsLeaf]]=1,MAX(N(Tasks[[#This Row],[Duration]]),0.1),0)</f>
        <v>0</v>
      </c>
      <c r="EE165" s="38" t="n">
        <f aca="false">Tasks[[#This Row],[_WeightDur]]*Tasks[[#This Row],[_LeafProgress]]</f>
        <v>0</v>
      </c>
      <c r="EF16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5" s="38" t="str">
        <f aca="false">IF(AND(Tasks[[#This Row],[_IsLeaf]]=1,N(Tasks[[#This Row],[Duration]])=0,Tasks[[#This Row],[_LeafProgress]]&lt;1),Tasks[[#This Row],[_ShownFcstFinish]]+Tasks[[#This Row],[_Row]]/100000,"")</f>
        <v/>
      </c>
      <c r="EH16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5" s="38" t="n">
        <f aca="false">IF(NOT(Tasks[[#This Row],[_IsLeaf]]=1),0,IF(Tasks[[#This Row],[Baseline Cost]]="",Tasks[[#This Row],[_LeafTotalCost]],N(Tasks[[#This Row],[Baseline Cost]])))</f>
        <v>0</v>
      </c>
      <c r="EJ165" s="38" t="n">
        <f aca="false">Tasks[[#This Row],[_LeafBudget]]*Tasks[[#This Row],[_PlannedPct]]</f>
        <v>0</v>
      </c>
      <c r="EK165" s="38" t="n">
        <f aca="false">Tasks[[#This Row],[_LeafBudget]]*Tasks[[#This Row],[_LeafProgress]]</f>
        <v>0</v>
      </c>
      <c r="EL165" s="38" t="n">
        <f aca="false">IF(NOT(Tasks[[#This Row],[_IsLeaf]]=1),0,IF(Tasks[[#This Row],[Actual Cost]]="",Tasks[[#This Row],[_LeafTotalCost]]*Tasks[[#This Row],[_LeafProgress]],N(Tasks[[#This Row],[Actual Cost]])))</f>
        <v>0</v>
      </c>
      <c r="EM165" s="38" t="str">
        <f aca="false">IF(Tasks[[#This Row],[Task Name]]="","",LEFT(Tasks[[#This Row],[WBS]],FIND(".",Tasks[[#This Row],[WBS]]&amp;".")-1))</f>
        <v/>
      </c>
      <c r="EN165" s="38" t="str">
        <f aca="false">IF(AND(Tasks[[#This Row],[Task Name]]&lt;&gt;"",Tasks[[#This Row],[_Level]]=1),Tasks[[#This Row],[_Row]],"")</f>
        <v/>
      </c>
      <c r="EO165" s="38" t="str">
        <f aca="false">IF(AND(Tasks[[#This Row],[_IsLeaf]]=1,N(Tasks[[#This Row],[Duration]])=0),Tasks[[#This Row],[Planned Finish]]+Tasks[[#This Row],[_Row]]/100000,"")</f>
        <v/>
      </c>
      <c r="EP165" s="38" t="str">
        <f aca="false">IF(AND(Tasks[[#This Row],[_IsLeaf]]=1,Tasks[[#This Row],[_LeafProgress]]&lt;1,OR(N(Tasks[[#This Row],[Finish Var]])&gt;0,Tasks[[#This Row],[Status]]="Late Start")),MAX(0,Tasks[[#This Row],[Finish Var]])+1-Tasks[[#This Row],[_Row]]/1000000,"")</f>
        <v/>
      </c>
      <c r="EQ165" s="38" t="str">
        <f aca="false">IF(AND(Tasks[[#This Row],[_IsLeaf]]=1,N(Tasks[[#This Row],[Actual Start]])=0,Tasks[[#This Row],[_ShownFcstStart]]&gt;=StatusDate,Tasks[[#This Row],[_ShownFcstStart]]&lt;=LookaheadEnd),Tasks[[#This Row],[_ShownFcstStart]]+Tasks[[#This Row],[_Row]]/100000,"")</f>
        <v/>
      </c>
      <c r="ER165" s="38" t="str">
        <f aca="false">IF(AND(Tasks[[#This Row],[_IsLeaf]]=1,Tasks[[#This Row],[_LeafProgress]]&lt;1,Tasks[[#This Row],[_ShownFcstFinish]]&gt;=StatusDate,Tasks[[#This Row],[_ShownFcstFinish]]&lt;=LookaheadEnd),Tasks[[#This Row],[_ShownFcstFinish]]+Tasks[[#This Row],[_Row]]/100000,"")</f>
        <v/>
      </c>
      <c r="ES165" s="38" t="str">
        <f aca="false">IF(Tasks[[#This Row],[_LeafCritical]],Tasks[[#This Row],[_ShownFcstStart]]+Tasks[[#This Row],[_Row]]/100000,"")</f>
        <v/>
      </c>
      <c r="ET165" s="38" t="n">
        <f aca="false">Tasks[[#This Row],[_LeafWork]]*Tasks[[#This Row],[_LeafProgress]]</f>
        <v>0</v>
      </c>
      <c r="EU165" s="115" t="str">
        <f aca="false">IF(AND(Tasks[[#This Row],[_IsLeaf]]=1,Tasks[[#This Row],[_LeafProgress]]&gt;=1),IF(N(Tasks[[#This Row],[Actual Finish]])&gt;0,Tasks[[#This Row],[Actual Finish]],Tasks[[#This Row],[_ShownFcstFinish]]),"")</f>
        <v/>
      </c>
      <c r="EV165" s="38" t="n">
        <f aca="false">IF(Tasks[[#This Row],[_IsLeaf]]=1,N(Tasks[[#This Row],[Story Points]]),0)</f>
        <v>0</v>
      </c>
      <c r="EW165" s="38" t="str">
        <f aca="false">IF(AND(Tasks[[#This Row],[_IsLeaf]]=1,CurrentSprint&lt;&gt;"",Tasks[[#This Row],[Sprint]]=CurrentSprint),Tasks[[#This Row],[_Row]],"")</f>
        <v/>
      </c>
    </row>
    <row r="166" customFormat="false" ht="15" hidden="false" customHeight="false" outlineLevel="0" collapsed="false">
      <c r="A166" s="51" t="str">
        <f aca="false">IF(Tasks[[#This Row],[Task Name]]="","",COUNTA(Tasks[[#Headers],[Task Name]]:Tasks[[#This Row],[Task Name]])-1)</f>
        <v/>
      </c>
      <c r="B166" s="52" t="n">
        <v>161</v>
      </c>
      <c r="C16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52"/>
      <c r="E166" s="53"/>
      <c r="F166" s="52"/>
      <c r="G166" s="52"/>
      <c r="H166" s="52"/>
      <c r="I166" s="52"/>
      <c r="J166" s="52"/>
      <c r="K166" s="52"/>
      <c r="L166" s="52"/>
      <c r="M166" s="52"/>
      <c r="N166" s="52"/>
      <c r="O166" s="52"/>
      <c r="P166" s="52"/>
      <c r="Q166" s="52"/>
      <c r="R166" s="52"/>
      <c r="S166" s="53"/>
      <c r="T166" s="102"/>
      <c r="U166" s="102"/>
      <c r="V166" s="7"/>
      <c r="W166" s="7"/>
      <c r="X166" s="53"/>
      <c r="Y166" s="31" t="str">
        <f aca="false">IF(Tasks[[#This Row],[Task Name]]="","",IF(Tasks[[#This Row],[_IsSummary]],MIN(INDEX(Tasks[_ShownFcstStart],Tasks[[#This Row],[_Row]]+1):INDEX(Tasks[_ShownFcstStart],Tasks[[#This Row],[_Row]]+Tasks[[#This Row],[_Descendants]])),Tasks[[#This Row],[_ShownFcstStart]]))</f>
        <v/>
      </c>
      <c r="Z166" s="31" t="str">
        <f aca="false">IF(Tasks[[#This Row],[Task Name]]="","",IF(Tasks[[#This Row],[_IsSummary]],MAX(INDEX(Tasks[_ShownFcstFinish],Tasks[[#This Row],[_Row]]+1):INDEX(Tasks[_ShownFcstFinish],Tasks[[#This Row],[_Row]]+Tasks[[#This Row],[_Descendants]])),Tasks[[#This Row],[_ShownFcstFinish]]))</f>
        <v/>
      </c>
      <c r="AA166" s="51" t="str">
        <f aca="false">IF(Tasks[[#This Row],[Task Name]]="","",IF(Tasks[[#This Row],[Progress]]&gt;=1,"Complete",IF(OR(N(Tasks[[#This Row],[Actual Start]])&gt;0,Tasks[[#This Row],[Progress]]&gt;0),IF(Tasks[[#This Row],[Finish Var]]&gt;0,"Behind","In Progress"),IF(Tasks[[#This Row],[Planned Start]]&lt;StatusDate,"Late Start","Not Started"))))</f>
        <v/>
      </c>
      <c r="AB166" s="51" t="str">
        <f aca="false">IF(Tasks[[#This Row],[Task Name]]="","",IF(IF(Tasks[[#This Row],[_IsSummary]],COUNTIF(INDEX(Tasks[_LeafCritical],Tasks[[#This Row],[_Row]]+1):INDEX(Tasks[_LeafCritical],Tasks[[#This Row],[_Row]]+Tasks[[#This Row],[_Descendants]]),TRUE())&gt;0,Tasks[[#This Row],[_LeafCritical]]),"Yes",""))</f>
        <v/>
      </c>
      <c r="AC16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6" s="51" t="str">
        <f aca="false">IF(Tasks[[#This Row],[Task Name]]="","",IF(Tasks[[#This Row],[_Level]]&lt;=OutlineShowLevel,"Yes","No"))</f>
        <v/>
      </c>
      <c r="AE166" s="7"/>
      <c r="AF166" s="52"/>
      <c r="AG166" s="53"/>
      <c r="AH166" s="7"/>
      <c r="AI16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6" s="31" t="str">
        <f aca="false">IF(Tasks[[#This Row],[Task Name]]="","",IF(N(Tasks[[#This Row],[Baseline Start]])&gt;0,Tasks[[#This Row],[Baseline Start]],Tasks[[#This Row],[_CalcStart]]))</f>
        <v/>
      </c>
      <c r="AK166" s="31" t="str">
        <f aca="false">IF(Tasks[[#This Row],[Task Name]]="","",IF(N(Tasks[[#This Row],[Baseline Finish]])&gt;0,Tasks[[#This Row],[Baseline Finish]],Tasks[[#This Row],[_CalcFinish]]))</f>
        <v/>
      </c>
      <c r="AL16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6" s="31" t="str">
        <f aca="false">IF(Tasks[[#This Row],[Task Name]]="","",IF(Tasks[[#This Row],[_IsSummary]],MIN(INDEX(Tasks[_LeafLateStart],Tasks[[#This Row],[_Row]]+1):INDEX(Tasks[_LeafLateStart],Tasks[[#This Row],[_Row]]+Tasks[[#This Row],[_Descendants]])),Tasks[[#This Row],[_LeafLateStart]]))</f>
        <v/>
      </c>
      <c r="AN166" s="31" t="str">
        <f aca="false">IF(Tasks[[#This Row],[Task Name]]="","",IF(Tasks[[#This Row],[_IsSummary]],MAX(INDEX(Tasks[_LeafLateFinish],Tasks[[#This Row],[_Row]]+1):INDEX(Tasks[_LeafLateFinish],Tasks[[#This Row],[_Row]]+Tasks[[#This Row],[_Descendants]])),Tasks[[#This Row],[_LeafLateFinish]]))</f>
        <v/>
      </c>
      <c r="AO166" s="51" t="str">
        <f aca="false">IF(Tasks[[#This Row],[Task Name]]="","",IF(Tasks[[#This Row],[_IsSummary]],MIN(INDEX(Tasks[_LeafTotalSlack],Tasks[[#This Row],[_Row]]+1):INDEX(Tasks[_LeafTotalSlack],Tasks[[#This Row],[_Row]]+Tasks[[#This Row],[_Descendants]])),Tasks[[#This Row],[_LeafTotalSlack]]))</f>
        <v/>
      </c>
      <c r="AP16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6" s="110" t="str">
        <f aca="false">IF(Tasks[[#This Row],[Task Name]]="","",IF(Tasks[[#This Row],[_IsSummary]],SUM(INDEX(Tasks[_LeafTotalWork],Tasks[[#This Row],[_Row]]+1):INDEX(Tasks[_LeafTotalWork],Tasks[[#This Row],[_Row]]+Tasks[[#This Row],[_Descendants]])),Tasks[[#This Row],[_LeafTotalWork]]))</f>
        <v/>
      </c>
      <c r="AV16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6" s="111" t="str">
        <f aca="false">IF(Tasks[[#This Row],[Task Name]]="","",IF(Tasks[[#This Row],[_IsSummary]],SUM(INDEX(Tasks[_LeafTotalCost],Tasks[[#This Row],[_Row]]+1):INDEX(Tasks[_LeafTotalCost],Tasks[[#This Row],[_Row]]+Tasks[[#This Row],[_Descendants]])),Tasks[[#This Row],[_LeafTotalCost]]))</f>
        <v/>
      </c>
      <c r="AY166" s="112"/>
      <c r="AZ16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6" s="52"/>
      <c r="BB166" s="98"/>
      <c r="BC166" s="51" t="str">
        <f aca="false">IF(OR(Tasks[[#This Row],[Task Name]]="",Tasks[[#This Row],[Baseline Duration]]=""),"",Tasks[[#This Row],[BL Source Duration]]-N(Tasks[[#This Row],[Baseline Duration]]))</f>
        <v/>
      </c>
      <c r="BD166" s="110" t="str">
        <f aca="false">IF(OR(Tasks[[#This Row],[Task Name]]="",Tasks[[#This Row],[Baseline Work]]=""),"",Tasks[[#This Row],[Work]]-N(Tasks[[#This Row],[Baseline Work]]))</f>
        <v/>
      </c>
      <c r="BE166" s="111" t="str">
        <f aca="false">IF(OR(Tasks[[#This Row],[Task Name]]="",Tasks[[#This Row],[Baseline Cost]]=""),"",Tasks[[#This Row],[Cost]]-N(Tasks[[#This Row],[Baseline Cost]]))</f>
        <v/>
      </c>
      <c r="BF166" s="31" t="str">
        <f aca="false">IF(Tasks[[#This Row],[Task Name]]="","",Tasks[[#This Row],[Forecast Start]])</f>
        <v/>
      </c>
      <c r="BG166" s="31" t="str">
        <f aca="false">IF(Tasks[[#This Row],[Task Name]]="","",Tasks[[#This Row],[Forecast Finish]])</f>
        <v/>
      </c>
      <c r="BH166" s="51" t="str">
        <f aca="false">IF(Tasks[[#This Row],[Task Name]]="","",IF(Tasks[[#This Row],[_IsSummary]],NETWORKDAYS.INTL(Tasks[[#This Row],[Forecast Start]],Tasks[[#This Row],[Forecast Finish]],WorkWeek,Holidays),N(Tasks[[#This Row],[Duration]])))</f>
        <v/>
      </c>
      <c r="BI166" s="110" t="str">
        <f aca="false">IF(Tasks[[#This Row],[Task Name]]="","",Tasks[[#This Row],[Work]])</f>
        <v/>
      </c>
      <c r="BJ166" s="111" t="str">
        <f aca="false">IF(Tasks[[#This Row],[Task Name]]="","",Tasks[[#This Row],[Cost]])</f>
        <v/>
      </c>
      <c r="BK166" s="7"/>
      <c r="BL166" s="7"/>
      <c r="BM166" s="52"/>
      <c r="BN166" s="113"/>
      <c r="BO166" s="112"/>
      <c r="BP166" s="111" t="str">
        <f aca="false">IF(Tasks[[#This Row],[Task Name]]="","",IF(Tasks[[#This Row],[_IsSummary]],SUM(INDEX(Tasks[_LeafEV],Tasks[[#This Row],[_Row]]+1):INDEX(Tasks[_LeafEV],Tasks[[#This Row],[_Row]]+Tasks[[#This Row],[_Descendants]])),Tasks[[#This Row],[_LeafEV]]))</f>
        <v/>
      </c>
      <c r="BQ166" s="111" t="str">
        <f aca="false">IF(Tasks[[#This Row],[Task Name]]="","",IF(Tasks[[#This Row],[_IsSummary]],SUM(INDEX(Tasks[_LeafBudget],Tasks[[#This Row],[_Row]]+1):INDEX(Tasks[_LeafBudget],Tasks[[#This Row],[_Row]]+Tasks[[#This Row],[_Descendants]])),Tasks[[#This Row],[_LeafBudget]]))</f>
        <v/>
      </c>
      <c r="BR166" s="111" t="str">
        <f aca="false">IF(Tasks[[#This Row],[Task Name]]="","",IF(Tasks[[#This Row],[_IsSummary]],SUM(INDEX(Tasks[_LeafPV],Tasks[[#This Row],[_Row]]+1):INDEX(Tasks[_LeafPV],Tasks[[#This Row],[_Row]]+Tasks[[#This Row],[_Descendants]])),Tasks[[#This Row],[_LeafPV]]))</f>
        <v/>
      </c>
      <c r="BS166" s="111" t="str">
        <f aca="false">IF(Tasks[[#This Row],[Task Name]]="","",IF(Tasks[[#This Row],[_IsSummary]],SUM(INDEX(Tasks[_LeafAC],Tasks[[#This Row],[_Row]]+1):INDEX(Tasks[_LeafAC],Tasks[[#This Row],[_Row]]+Tasks[[#This Row],[_Descendants]])),Tasks[[#This Row],[_LeafAC]]))</f>
        <v/>
      </c>
      <c r="BT166" s="38" t="str">
        <f aca="false">IF(Tasks[[#This Row],[Task Name]]="","",MAX(1,N(Tasks[[#This Row],[Level]])))</f>
        <v/>
      </c>
      <c r="BU166" s="38" t="n">
        <f aca="false">ROW()-ROW(Tasks[[#Headers],[ID]])</f>
        <v>161</v>
      </c>
      <c r="BV166" s="38" t="n">
        <f aca="false">IF(OR(Tasks[[#This Row],[Task Name]]="",Tasks[[#This Row],[_Level]]&lt;=1),0,IFERROR(LOOKUP(2,1/(Tasks[[#Headers],[_Level]]:Tasks[[#This Row],[_Level]]=Tasks[[#This Row],[_Level]]-1),ROW(Tasks[[#Headers],[_Level]]:Tasks[[#This Row],[_Level]])),0))</f>
        <v>0</v>
      </c>
      <c r="BW166" s="38" t="n">
        <f aca="false">IFERROR(N(INDEX(Tasks[_Level],Tasks[[#This Row],[_Row]]+1)),0)</f>
        <v>0</v>
      </c>
      <c r="BX166" s="114" t="b">
        <f aca="false">AND(Tasks[[#This Row],[Task Name]]&lt;&gt;"",Tasks[[#This Row],[_NextLevel]]&gt;Tasks[[#This Row],[_Level]])</f>
        <v>0</v>
      </c>
      <c r="BY166" s="38" t="n">
        <f aca="false">IF(Tasks[[#This Row],[_IsSummary]],COUNTIF(Tasks[WBS],Tasks[[#This Row],[WBS]]&amp;".*"),0)</f>
        <v>0</v>
      </c>
      <c r="BZ166" s="38" t="n">
        <f aca="false">IF(AND(Tasks[[#This Row],[Task Name]]&lt;&gt;"",NOT(Tasks[[#This Row],[_IsSummary]])),1,0)</f>
        <v>0</v>
      </c>
      <c r="CA166" s="38" t="n">
        <f aca="false">IF(N(Tasks[[#This Row],[Pred1 UID]])=0,0,IFERROR(MATCH(Tasks[[#This Row],[Pred1 UID]],Tasks[UID],0),-1))</f>
        <v>0</v>
      </c>
      <c r="CB166" s="38" t="n">
        <f aca="false">IF(N(Tasks[[#This Row],[Pred2 UID]])=0,0,IFERROR(MATCH(Tasks[[#This Row],[Pred2 UID]],Tasks[UID],0),-1))</f>
        <v>0</v>
      </c>
      <c r="CC166" s="38" t="n">
        <f aca="false">IF(N(Tasks[[#This Row],[Pred3 UID]])=0,0,IFERROR(MATCH(Tasks[[#This Row],[Pred3 UID]],Tasks[UID],0),-1))</f>
        <v>0</v>
      </c>
      <c r="CD166" s="38" t="n">
        <f aca="false">IF(N(Tasks[[#This Row],[Pred4 UID]])=0,0,IFERROR(MATCH(Tasks[[#This Row],[Pred4 UID]],Tasks[UID],0),-1))</f>
        <v>0</v>
      </c>
      <c r="CE16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6" s="115" t="n">
        <f aca="false">IF(OR(Tasks[[#This Row],[_ConstraintCode]]=2,Tasks[[#This Row],[_ConstraintCode]]=3,Tasks[[#This Row],[_ConstraintCode]]=4,Tasks[[#This Row],[_ConstraintCode]]=6),Tasks[[#This Row],[_ConstraintStart]],0)</f>
        <v>0</v>
      </c>
      <c r="CH166" s="115" t="n">
        <f aca="false">IF(OR(Tasks[[#This Row],[_ConstraintCode]]=2,Tasks[[#This Row],[_ConstraintCode]]=3,Tasks[[#This Row],[_ConstraintCode]]=5,Tasks[[#This Row],[_ConstraintCode]]=7),Tasks[[#This Row],[_ConstraintStart]],2958465)</f>
        <v>2958465</v>
      </c>
      <c r="CI16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6" s="115" t="str">
        <f aca="false">IF(NOT(Tasks[[#This Row],[_IsLeaf]]=1),"",IF(N(Tasks[[#This Row],[Duration]])&lt;=0,Tasks[[#This Row],[_LeafCalcStart]],WORKDAY.INTL(Tasks[[#This Row],[_LeafCalcStart]],Tasks[[#This Row],[Duration]]-1,WorkWeek,Holidays)))</f>
        <v/>
      </c>
      <c r="CK16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6" s="38" t="n">
        <f aca="false">IF(NOT(Tasks[[#This Row],[_IsLeaf]]=1),0,IF(N(Tasks[[#This Row],[Actual Finish]])&gt;0,1,MIN(1,N(Tasks[[#This Row],[% Complete]]))))</f>
        <v>0</v>
      </c>
      <c r="CN166" s="38" t="n">
        <f aca="false">IF(OR(NOT(Tasks[[#This Row],[_IsLeaf]]=1),Tasks[[#This Row],[Resource]]=""),0,N(Tasks[[#This Row],[Duration]])*HoursPerDay*IF(Tasks[[#This Row],[Units]]="",DefaultUnits,Tasks[[#This Row],[Units]]))</f>
        <v>0</v>
      </c>
      <c r="CO166" s="38" t="n">
        <f aca="false">IF(Tasks[[#This Row],[_LeafWork]]=0,0,Tasks[[#This Row],[_LeafWork]]*IFERROR(INDEX(res_Rate,MATCH(Tasks[[#This Row],[Resource]],res_Name,0)),0))</f>
        <v>0</v>
      </c>
      <c r="CP166" s="38" t="n">
        <f aca="false">Tasks[[#This Row],[_LeafWork]]+IF(Tasks[[#This Row],[_IsLeaf]]=1,SUMIFS(asg_Work,asg_TaskUID,Tasks[[#This Row],[UID]],asg_Valid,1),0)</f>
        <v>0</v>
      </c>
      <c r="CQ166" s="38" t="n">
        <f aca="false">Tasks[[#This Row],[_LeafCost]]+IF(Tasks[[#This Row],[_IsLeaf]]=1,SUMIFS(asg_Cost,asg_TaskUID,Tasks[[#This Row],[UID]],asg_Valid,1),0)</f>
        <v>0</v>
      </c>
      <c r="CR166" s="38" t="n">
        <f aca="false">IF(Tasks[[#This Row],[_LeafTotalCost]]=0,Tasks[[#This Row],[_LeafAC]],Tasks[[#This Row],[_LeafAC]]*Tasks[[#This Row],[_LeafCost]]/Tasks[[#This Row],[_LeafTotalCost]])</f>
        <v>0</v>
      </c>
      <c r="CS16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6" s="38" t="n">
        <f aca="false">IF(NOT(Tasks[[#This Row],[_IsLeaf]]=1),0,MAX(_xlfn.MAXIFS(Tasks[_Row],Tasks[Pred1 UID],Tasks[[#This Row],[UID]]),_xlfn.MAXIFS(Tasks[_Row],Tasks[Pred2 UID],Tasks[[#This Row],[UID]]),_xlfn.MAXIFS(Tasks[_Row],Tasks[Pred3 UID],Tasks[[#This Row],[UID]]),_xlfn.MAXIFS(Tasks[_Row],Tasks[Pred4 UID],Tasks[[#This Row],[UID]])))</f>
        <v>0</v>
      </c>
      <c r="DB16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6" s="115" t="str">
        <f aca="false">IF(NOT(Tasks[[#This Row],[_IsLeaf]]=1),"",IF(N(Tasks[[#This Row],[Duration]])&lt;=0,Tasks[[#This Row],[_LeafLateFinish]],WORKDAY.INTL(Tasks[[#This Row],[_LeafLateFinish]],-(Tasks[[#This Row],[Duration]]-1),WorkWeek,Holidays)))</f>
        <v/>
      </c>
      <c r="DE16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6" s="114" t="b">
        <f aca="false">AND(Tasks[[#This Row],[_IsLeaf]]=1,Tasks[[#This Row],[_LeafProgress]]&lt;1,N(Tasks[[#This Row],[_LeafTotalSlack]])&lt;=CriticalSlackDays)</f>
        <v>0</v>
      </c>
      <c r="DG166" s="38" t="n">
        <f aca="false">IF(AND(Tasks[[#This Row],[_IsLeaf]]=1,Tasks[[#This Row],[_ConstraintCode]]=1,Tasks[[#This Row],[Mode]]&lt;&gt;"Manual",N(Tasks[[#This Row],[Actual Start]])=0),MAX(0,N(Tasks[[#This Row],[Free Slack]])),0)</f>
        <v>0</v>
      </c>
      <c r="DH166" s="115" t="str">
        <f aca="false">IF(NOT(Tasks[[#This Row],[_IsLeaf]]=1),"",IF(Tasks[[#This Row],[_AlapShift]]=0,Tasks[[#This Row],[_LeafCalcStart]],WORKDAY.INTL(Tasks[[#This Row],[_LeafCalcStart]],Tasks[[#This Row],[_AlapShift]],WorkWeek,Holidays)))</f>
        <v/>
      </c>
      <c r="DI166" s="115" t="str">
        <f aca="false">IF(NOT(Tasks[[#This Row],[_IsLeaf]]=1),"",IF(Tasks[[#This Row],[_AlapShift]]=0,Tasks[[#This Row],[_LeafCalcFinish]],WORKDAY.INTL(Tasks[[#This Row],[_LeafCalcFinish]],Tasks[[#This Row],[_AlapShift]],WorkWeek,Holidays)))</f>
        <v/>
      </c>
      <c r="DJ166" s="115" t="str">
        <f aca="false">IF(NOT(Tasks[[#This Row],[_IsLeaf]]=1),"",IF(Tasks[[#This Row],[_AlapShift]]=0,Tasks[[#This Row],[_LeafFcstStart]],WORKDAY.INTL(Tasks[[#This Row],[_LeafFcstStart]],Tasks[[#This Row],[_AlapShift]],WorkWeek,Holidays)))</f>
        <v/>
      </c>
      <c r="DK166" s="115" t="str">
        <f aca="false">IF(NOT(Tasks[[#This Row],[_IsLeaf]]=1),"",IF(Tasks[[#This Row],[_AlapShift]]=0,Tasks[[#This Row],[_LeafFcstFinish]],WORKDAY.INTL(Tasks[[#This Row],[_LeafFcstFinish]],Tasks[[#This Row],[_AlapShift]],WorkWeek,Holidays)))</f>
        <v/>
      </c>
      <c r="DL166" s="115" t="str">
        <f aca="false">IF(Tasks[[#This Row],[Task Name]]="","",IF(Tasks[[#This Row],[_IsSummary]],MIN(INDEX(Tasks[_ShownCalcStart],Tasks[[#This Row],[_Row]]+1):INDEX(Tasks[_ShownCalcStart],Tasks[[#This Row],[_Row]]+Tasks[[#This Row],[_Descendants]])),Tasks[[#This Row],[_ShownCalcStart]]))</f>
        <v/>
      </c>
      <c r="DM166" s="115" t="str">
        <f aca="false">IF(Tasks[[#This Row],[Task Name]]="","",IF(Tasks[[#This Row],[_IsSummary]],MAX(INDEX(Tasks[_ShownCalcFinish],Tasks[[#This Row],[_Row]]+1):INDEX(Tasks[_ShownCalcFinish],Tasks[[#This Row],[_Row]]+Tasks[[#This Row],[_Descendants]])),Tasks[[#This Row],[_ShownCalcFinish]]))</f>
        <v/>
      </c>
      <c r="DN16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6" s="38" t="n">
        <f aca="false">IF(AND(Tasks[[#This Row],[_IsLeaf]]=1,Tasks[[#This Row],[_LeafTotalWork]]&gt;0),NETWORKDAYS.INTL(ProjectStart,Tasks[[#This Row],[_ShownFcstStart]],WorkWeek,Holidays),0)</f>
        <v>0</v>
      </c>
      <c r="EA166" s="38" t="n">
        <f aca="false">IF(AND(Tasks[[#This Row],[_IsLeaf]]=1,Tasks[[#This Row],[_LeafTotalWork]]&gt;0),MAX(Tasks[[#This Row],[_StartWorkday]],NETWORKDAYS.INTL(ProjectStart,Tasks[[#This Row],[_ShownFcstFinish]],WorkWeek,Holidays)),0)</f>
        <v>0</v>
      </c>
      <c r="EB166" s="38" t="n">
        <f aca="false">IF(AND(Tasks[[#This Row],[_IsLeaf]]=1,Tasks[[#This Row],[_LeafTotalWork]]&gt;0),Tasks[[#This Row],[_LeafWork]]/(Tasks[[#This Row],[_FinishWorkday]]-Tasks[[#This Row],[_StartWorkday]]+1),0)</f>
        <v>0</v>
      </c>
      <c r="EC166" s="38" t="n">
        <f aca="false">Tasks[[#This Row],[_WorkPerWorkday]]*(Tasks[[#This Row],[_StartWorkday]]-1)</f>
        <v>-0</v>
      </c>
      <c r="ED166" s="38" t="n">
        <f aca="false">IF(Tasks[[#This Row],[_IsLeaf]]=1,MAX(N(Tasks[[#This Row],[Duration]]),0.1),0)</f>
        <v>0</v>
      </c>
      <c r="EE166" s="38" t="n">
        <f aca="false">Tasks[[#This Row],[_WeightDur]]*Tasks[[#This Row],[_LeafProgress]]</f>
        <v>0</v>
      </c>
      <c r="EF16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6" s="38" t="str">
        <f aca="false">IF(AND(Tasks[[#This Row],[_IsLeaf]]=1,N(Tasks[[#This Row],[Duration]])=0,Tasks[[#This Row],[_LeafProgress]]&lt;1),Tasks[[#This Row],[_ShownFcstFinish]]+Tasks[[#This Row],[_Row]]/100000,"")</f>
        <v/>
      </c>
      <c r="EH16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6" s="38" t="n">
        <f aca="false">IF(NOT(Tasks[[#This Row],[_IsLeaf]]=1),0,IF(Tasks[[#This Row],[Baseline Cost]]="",Tasks[[#This Row],[_LeafTotalCost]],N(Tasks[[#This Row],[Baseline Cost]])))</f>
        <v>0</v>
      </c>
      <c r="EJ166" s="38" t="n">
        <f aca="false">Tasks[[#This Row],[_LeafBudget]]*Tasks[[#This Row],[_PlannedPct]]</f>
        <v>0</v>
      </c>
      <c r="EK166" s="38" t="n">
        <f aca="false">Tasks[[#This Row],[_LeafBudget]]*Tasks[[#This Row],[_LeafProgress]]</f>
        <v>0</v>
      </c>
      <c r="EL166" s="38" t="n">
        <f aca="false">IF(NOT(Tasks[[#This Row],[_IsLeaf]]=1),0,IF(Tasks[[#This Row],[Actual Cost]]="",Tasks[[#This Row],[_LeafTotalCost]]*Tasks[[#This Row],[_LeafProgress]],N(Tasks[[#This Row],[Actual Cost]])))</f>
        <v>0</v>
      </c>
      <c r="EM166" s="38" t="str">
        <f aca="false">IF(Tasks[[#This Row],[Task Name]]="","",LEFT(Tasks[[#This Row],[WBS]],FIND(".",Tasks[[#This Row],[WBS]]&amp;".")-1))</f>
        <v/>
      </c>
      <c r="EN166" s="38" t="str">
        <f aca="false">IF(AND(Tasks[[#This Row],[Task Name]]&lt;&gt;"",Tasks[[#This Row],[_Level]]=1),Tasks[[#This Row],[_Row]],"")</f>
        <v/>
      </c>
      <c r="EO166" s="38" t="str">
        <f aca="false">IF(AND(Tasks[[#This Row],[_IsLeaf]]=1,N(Tasks[[#This Row],[Duration]])=0),Tasks[[#This Row],[Planned Finish]]+Tasks[[#This Row],[_Row]]/100000,"")</f>
        <v/>
      </c>
      <c r="EP166" s="38" t="str">
        <f aca="false">IF(AND(Tasks[[#This Row],[_IsLeaf]]=1,Tasks[[#This Row],[_LeafProgress]]&lt;1,OR(N(Tasks[[#This Row],[Finish Var]])&gt;0,Tasks[[#This Row],[Status]]="Late Start")),MAX(0,Tasks[[#This Row],[Finish Var]])+1-Tasks[[#This Row],[_Row]]/1000000,"")</f>
        <v/>
      </c>
      <c r="EQ166" s="38" t="str">
        <f aca="false">IF(AND(Tasks[[#This Row],[_IsLeaf]]=1,N(Tasks[[#This Row],[Actual Start]])=0,Tasks[[#This Row],[_ShownFcstStart]]&gt;=StatusDate,Tasks[[#This Row],[_ShownFcstStart]]&lt;=LookaheadEnd),Tasks[[#This Row],[_ShownFcstStart]]+Tasks[[#This Row],[_Row]]/100000,"")</f>
        <v/>
      </c>
      <c r="ER166" s="38" t="str">
        <f aca="false">IF(AND(Tasks[[#This Row],[_IsLeaf]]=1,Tasks[[#This Row],[_LeafProgress]]&lt;1,Tasks[[#This Row],[_ShownFcstFinish]]&gt;=StatusDate,Tasks[[#This Row],[_ShownFcstFinish]]&lt;=LookaheadEnd),Tasks[[#This Row],[_ShownFcstFinish]]+Tasks[[#This Row],[_Row]]/100000,"")</f>
        <v/>
      </c>
      <c r="ES166" s="38" t="str">
        <f aca="false">IF(Tasks[[#This Row],[_LeafCritical]],Tasks[[#This Row],[_ShownFcstStart]]+Tasks[[#This Row],[_Row]]/100000,"")</f>
        <v/>
      </c>
      <c r="ET166" s="38" t="n">
        <f aca="false">Tasks[[#This Row],[_LeafWork]]*Tasks[[#This Row],[_LeafProgress]]</f>
        <v>0</v>
      </c>
      <c r="EU166" s="115" t="str">
        <f aca="false">IF(AND(Tasks[[#This Row],[_IsLeaf]]=1,Tasks[[#This Row],[_LeafProgress]]&gt;=1),IF(N(Tasks[[#This Row],[Actual Finish]])&gt;0,Tasks[[#This Row],[Actual Finish]],Tasks[[#This Row],[_ShownFcstFinish]]),"")</f>
        <v/>
      </c>
      <c r="EV166" s="38" t="n">
        <f aca="false">IF(Tasks[[#This Row],[_IsLeaf]]=1,N(Tasks[[#This Row],[Story Points]]),0)</f>
        <v>0</v>
      </c>
      <c r="EW166" s="38" t="str">
        <f aca="false">IF(AND(Tasks[[#This Row],[_IsLeaf]]=1,CurrentSprint&lt;&gt;"",Tasks[[#This Row],[Sprint]]=CurrentSprint),Tasks[[#This Row],[_Row]],"")</f>
        <v/>
      </c>
    </row>
    <row r="167" customFormat="false" ht="15" hidden="false" customHeight="false" outlineLevel="0" collapsed="false">
      <c r="A167" s="51" t="str">
        <f aca="false">IF(Tasks[[#This Row],[Task Name]]="","",COUNTA(Tasks[[#Headers],[Task Name]]:Tasks[[#This Row],[Task Name]])-1)</f>
        <v/>
      </c>
      <c r="B167" s="52" t="n">
        <v>162</v>
      </c>
      <c r="C16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52"/>
      <c r="E167" s="53"/>
      <c r="F167" s="52"/>
      <c r="G167" s="52"/>
      <c r="H167" s="52"/>
      <c r="I167" s="52"/>
      <c r="J167" s="52"/>
      <c r="K167" s="52"/>
      <c r="L167" s="52"/>
      <c r="M167" s="52"/>
      <c r="N167" s="52"/>
      <c r="O167" s="52"/>
      <c r="P167" s="52"/>
      <c r="Q167" s="52"/>
      <c r="R167" s="52"/>
      <c r="S167" s="53"/>
      <c r="T167" s="102"/>
      <c r="U167" s="102"/>
      <c r="V167" s="7"/>
      <c r="W167" s="7"/>
      <c r="X167" s="53"/>
      <c r="Y167" s="31" t="str">
        <f aca="false">IF(Tasks[[#This Row],[Task Name]]="","",IF(Tasks[[#This Row],[_IsSummary]],MIN(INDEX(Tasks[_ShownFcstStart],Tasks[[#This Row],[_Row]]+1):INDEX(Tasks[_ShownFcstStart],Tasks[[#This Row],[_Row]]+Tasks[[#This Row],[_Descendants]])),Tasks[[#This Row],[_ShownFcstStart]]))</f>
        <v/>
      </c>
      <c r="Z167" s="31" t="str">
        <f aca="false">IF(Tasks[[#This Row],[Task Name]]="","",IF(Tasks[[#This Row],[_IsSummary]],MAX(INDEX(Tasks[_ShownFcstFinish],Tasks[[#This Row],[_Row]]+1):INDEX(Tasks[_ShownFcstFinish],Tasks[[#This Row],[_Row]]+Tasks[[#This Row],[_Descendants]])),Tasks[[#This Row],[_ShownFcstFinish]]))</f>
        <v/>
      </c>
      <c r="AA167" s="51" t="str">
        <f aca="false">IF(Tasks[[#This Row],[Task Name]]="","",IF(Tasks[[#This Row],[Progress]]&gt;=1,"Complete",IF(OR(N(Tasks[[#This Row],[Actual Start]])&gt;0,Tasks[[#This Row],[Progress]]&gt;0),IF(Tasks[[#This Row],[Finish Var]]&gt;0,"Behind","In Progress"),IF(Tasks[[#This Row],[Planned Start]]&lt;StatusDate,"Late Start","Not Started"))))</f>
        <v/>
      </c>
      <c r="AB167" s="51" t="str">
        <f aca="false">IF(Tasks[[#This Row],[Task Name]]="","",IF(IF(Tasks[[#This Row],[_IsSummary]],COUNTIF(INDEX(Tasks[_LeafCritical],Tasks[[#This Row],[_Row]]+1):INDEX(Tasks[_LeafCritical],Tasks[[#This Row],[_Row]]+Tasks[[#This Row],[_Descendants]]),TRUE())&gt;0,Tasks[[#This Row],[_LeafCritical]]),"Yes",""))</f>
        <v/>
      </c>
      <c r="AC16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7" s="51" t="str">
        <f aca="false">IF(Tasks[[#This Row],[Task Name]]="","",IF(Tasks[[#This Row],[_Level]]&lt;=OutlineShowLevel,"Yes","No"))</f>
        <v/>
      </c>
      <c r="AE167" s="7"/>
      <c r="AF167" s="52"/>
      <c r="AG167" s="53"/>
      <c r="AH167" s="7"/>
      <c r="AI16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7" s="31" t="str">
        <f aca="false">IF(Tasks[[#This Row],[Task Name]]="","",IF(N(Tasks[[#This Row],[Baseline Start]])&gt;0,Tasks[[#This Row],[Baseline Start]],Tasks[[#This Row],[_CalcStart]]))</f>
        <v/>
      </c>
      <c r="AK167" s="31" t="str">
        <f aca="false">IF(Tasks[[#This Row],[Task Name]]="","",IF(N(Tasks[[#This Row],[Baseline Finish]])&gt;0,Tasks[[#This Row],[Baseline Finish]],Tasks[[#This Row],[_CalcFinish]]))</f>
        <v/>
      </c>
      <c r="AL16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7" s="31" t="str">
        <f aca="false">IF(Tasks[[#This Row],[Task Name]]="","",IF(Tasks[[#This Row],[_IsSummary]],MIN(INDEX(Tasks[_LeafLateStart],Tasks[[#This Row],[_Row]]+1):INDEX(Tasks[_LeafLateStart],Tasks[[#This Row],[_Row]]+Tasks[[#This Row],[_Descendants]])),Tasks[[#This Row],[_LeafLateStart]]))</f>
        <v/>
      </c>
      <c r="AN167" s="31" t="str">
        <f aca="false">IF(Tasks[[#This Row],[Task Name]]="","",IF(Tasks[[#This Row],[_IsSummary]],MAX(INDEX(Tasks[_LeafLateFinish],Tasks[[#This Row],[_Row]]+1):INDEX(Tasks[_LeafLateFinish],Tasks[[#This Row],[_Row]]+Tasks[[#This Row],[_Descendants]])),Tasks[[#This Row],[_LeafLateFinish]]))</f>
        <v/>
      </c>
      <c r="AO167" s="51" t="str">
        <f aca="false">IF(Tasks[[#This Row],[Task Name]]="","",IF(Tasks[[#This Row],[_IsSummary]],MIN(INDEX(Tasks[_LeafTotalSlack],Tasks[[#This Row],[_Row]]+1):INDEX(Tasks[_LeafTotalSlack],Tasks[[#This Row],[_Row]]+Tasks[[#This Row],[_Descendants]])),Tasks[[#This Row],[_LeafTotalSlack]]))</f>
        <v/>
      </c>
      <c r="AP16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7" s="110" t="str">
        <f aca="false">IF(Tasks[[#This Row],[Task Name]]="","",IF(Tasks[[#This Row],[_IsSummary]],SUM(INDEX(Tasks[_LeafTotalWork],Tasks[[#This Row],[_Row]]+1):INDEX(Tasks[_LeafTotalWork],Tasks[[#This Row],[_Row]]+Tasks[[#This Row],[_Descendants]])),Tasks[[#This Row],[_LeafTotalWork]]))</f>
        <v/>
      </c>
      <c r="AV16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7" s="111" t="str">
        <f aca="false">IF(Tasks[[#This Row],[Task Name]]="","",IF(Tasks[[#This Row],[_IsSummary]],SUM(INDEX(Tasks[_LeafTotalCost],Tasks[[#This Row],[_Row]]+1):INDEX(Tasks[_LeafTotalCost],Tasks[[#This Row],[_Row]]+Tasks[[#This Row],[_Descendants]])),Tasks[[#This Row],[_LeafTotalCost]]))</f>
        <v/>
      </c>
      <c r="AY167" s="112"/>
      <c r="AZ16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7" s="52"/>
      <c r="BB167" s="98"/>
      <c r="BC167" s="51" t="str">
        <f aca="false">IF(OR(Tasks[[#This Row],[Task Name]]="",Tasks[[#This Row],[Baseline Duration]]=""),"",Tasks[[#This Row],[BL Source Duration]]-N(Tasks[[#This Row],[Baseline Duration]]))</f>
        <v/>
      </c>
      <c r="BD167" s="110" t="str">
        <f aca="false">IF(OR(Tasks[[#This Row],[Task Name]]="",Tasks[[#This Row],[Baseline Work]]=""),"",Tasks[[#This Row],[Work]]-N(Tasks[[#This Row],[Baseline Work]]))</f>
        <v/>
      </c>
      <c r="BE167" s="111" t="str">
        <f aca="false">IF(OR(Tasks[[#This Row],[Task Name]]="",Tasks[[#This Row],[Baseline Cost]]=""),"",Tasks[[#This Row],[Cost]]-N(Tasks[[#This Row],[Baseline Cost]]))</f>
        <v/>
      </c>
      <c r="BF167" s="31" t="str">
        <f aca="false">IF(Tasks[[#This Row],[Task Name]]="","",Tasks[[#This Row],[Forecast Start]])</f>
        <v/>
      </c>
      <c r="BG167" s="31" t="str">
        <f aca="false">IF(Tasks[[#This Row],[Task Name]]="","",Tasks[[#This Row],[Forecast Finish]])</f>
        <v/>
      </c>
      <c r="BH167" s="51" t="str">
        <f aca="false">IF(Tasks[[#This Row],[Task Name]]="","",IF(Tasks[[#This Row],[_IsSummary]],NETWORKDAYS.INTL(Tasks[[#This Row],[Forecast Start]],Tasks[[#This Row],[Forecast Finish]],WorkWeek,Holidays),N(Tasks[[#This Row],[Duration]])))</f>
        <v/>
      </c>
      <c r="BI167" s="110" t="str">
        <f aca="false">IF(Tasks[[#This Row],[Task Name]]="","",Tasks[[#This Row],[Work]])</f>
        <v/>
      </c>
      <c r="BJ167" s="111" t="str">
        <f aca="false">IF(Tasks[[#This Row],[Task Name]]="","",Tasks[[#This Row],[Cost]])</f>
        <v/>
      </c>
      <c r="BK167" s="7"/>
      <c r="BL167" s="7"/>
      <c r="BM167" s="52"/>
      <c r="BN167" s="113"/>
      <c r="BO167" s="112"/>
      <c r="BP167" s="111" t="str">
        <f aca="false">IF(Tasks[[#This Row],[Task Name]]="","",IF(Tasks[[#This Row],[_IsSummary]],SUM(INDEX(Tasks[_LeafEV],Tasks[[#This Row],[_Row]]+1):INDEX(Tasks[_LeafEV],Tasks[[#This Row],[_Row]]+Tasks[[#This Row],[_Descendants]])),Tasks[[#This Row],[_LeafEV]]))</f>
        <v/>
      </c>
      <c r="BQ167" s="111" t="str">
        <f aca="false">IF(Tasks[[#This Row],[Task Name]]="","",IF(Tasks[[#This Row],[_IsSummary]],SUM(INDEX(Tasks[_LeafBudget],Tasks[[#This Row],[_Row]]+1):INDEX(Tasks[_LeafBudget],Tasks[[#This Row],[_Row]]+Tasks[[#This Row],[_Descendants]])),Tasks[[#This Row],[_LeafBudget]]))</f>
        <v/>
      </c>
      <c r="BR167" s="111" t="str">
        <f aca="false">IF(Tasks[[#This Row],[Task Name]]="","",IF(Tasks[[#This Row],[_IsSummary]],SUM(INDEX(Tasks[_LeafPV],Tasks[[#This Row],[_Row]]+1):INDEX(Tasks[_LeafPV],Tasks[[#This Row],[_Row]]+Tasks[[#This Row],[_Descendants]])),Tasks[[#This Row],[_LeafPV]]))</f>
        <v/>
      </c>
      <c r="BS167" s="111" t="str">
        <f aca="false">IF(Tasks[[#This Row],[Task Name]]="","",IF(Tasks[[#This Row],[_IsSummary]],SUM(INDEX(Tasks[_LeafAC],Tasks[[#This Row],[_Row]]+1):INDEX(Tasks[_LeafAC],Tasks[[#This Row],[_Row]]+Tasks[[#This Row],[_Descendants]])),Tasks[[#This Row],[_LeafAC]]))</f>
        <v/>
      </c>
      <c r="BT167" s="38" t="str">
        <f aca="false">IF(Tasks[[#This Row],[Task Name]]="","",MAX(1,N(Tasks[[#This Row],[Level]])))</f>
        <v/>
      </c>
      <c r="BU167" s="38" t="n">
        <f aca="false">ROW()-ROW(Tasks[[#Headers],[ID]])</f>
        <v>162</v>
      </c>
      <c r="BV167" s="38" t="n">
        <f aca="false">IF(OR(Tasks[[#This Row],[Task Name]]="",Tasks[[#This Row],[_Level]]&lt;=1),0,IFERROR(LOOKUP(2,1/(Tasks[[#Headers],[_Level]]:Tasks[[#This Row],[_Level]]=Tasks[[#This Row],[_Level]]-1),ROW(Tasks[[#Headers],[_Level]]:Tasks[[#This Row],[_Level]])),0))</f>
        <v>0</v>
      </c>
      <c r="BW167" s="38" t="n">
        <f aca="false">IFERROR(N(INDEX(Tasks[_Level],Tasks[[#This Row],[_Row]]+1)),0)</f>
        <v>0</v>
      </c>
      <c r="BX167" s="114" t="b">
        <f aca="false">AND(Tasks[[#This Row],[Task Name]]&lt;&gt;"",Tasks[[#This Row],[_NextLevel]]&gt;Tasks[[#This Row],[_Level]])</f>
        <v>0</v>
      </c>
      <c r="BY167" s="38" t="n">
        <f aca="false">IF(Tasks[[#This Row],[_IsSummary]],COUNTIF(Tasks[WBS],Tasks[[#This Row],[WBS]]&amp;".*"),0)</f>
        <v>0</v>
      </c>
      <c r="BZ167" s="38" t="n">
        <f aca="false">IF(AND(Tasks[[#This Row],[Task Name]]&lt;&gt;"",NOT(Tasks[[#This Row],[_IsSummary]])),1,0)</f>
        <v>0</v>
      </c>
      <c r="CA167" s="38" t="n">
        <f aca="false">IF(N(Tasks[[#This Row],[Pred1 UID]])=0,0,IFERROR(MATCH(Tasks[[#This Row],[Pred1 UID]],Tasks[UID],0),-1))</f>
        <v>0</v>
      </c>
      <c r="CB167" s="38" t="n">
        <f aca="false">IF(N(Tasks[[#This Row],[Pred2 UID]])=0,0,IFERROR(MATCH(Tasks[[#This Row],[Pred2 UID]],Tasks[UID],0),-1))</f>
        <v>0</v>
      </c>
      <c r="CC167" s="38" t="n">
        <f aca="false">IF(N(Tasks[[#This Row],[Pred3 UID]])=0,0,IFERROR(MATCH(Tasks[[#This Row],[Pred3 UID]],Tasks[UID],0),-1))</f>
        <v>0</v>
      </c>
      <c r="CD167" s="38" t="n">
        <f aca="false">IF(N(Tasks[[#This Row],[Pred4 UID]])=0,0,IFERROR(MATCH(Tasks[[#This Row],[Pred4 UID]],Tasks[UID],0),-1))</f>
        <v>0</v>
      </c>
      <c r="CE16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7" s="115" t="n">
        <f aca="false">IF(OR(Tasks[[#This Row],[_ConstraintCode]]=2,Tasks[[#This Row],[_ConstraintCode]]=3,Tasks[[#This Row],[_ConstraintCode]]=4,Tasks[[#This Row],[_ConstraintCode]]=6),Tasks[[#This Row],[_ConstraintStart]],0)</f>
        <v>0</v>
      </c>
      <c r="CH167" s="115" t="n">
        <f aca="false">IF(OR(Tasks[[#This Row],[_ConstraintCode]]=2,Tasks[[#This Row],[_ConstraintCode]]=3,Tasks[[#This Row],[_ConstraintCode]]=5,Tasks[[#This Row],[_ConstraintCode]]=7),Tasks[[#This Row],[_ConstraintStart]],2958465)</f>
        <v>2958465</v>
      </c>
      <c r="CI16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7" s="115" t="str">
        <f aca="false">IF(NOT(Tasks[[#This Row],[_IsLeaf]]=1),"",IF(N(Tasks[[#This Row],[Duration]])&lt;=0,Tasks[[#This Row],[_LeafCalcStart]],WORKDAY.INTL(Tasks[[#This Row],[_LeafCalcStart]],Tasks[[#This Row],[Duration]]-1,WorkWeek,Holidays)))</f>
        <v/>
      </c>
      <c r="CK16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7" s="38" t="n">
        <f aca="false">IF(NOT(Tasks[[#This Row],[_IsLeaf]]=1),0,IF(N(Tasks[[#This Row],[Actual Finish]])&gt;0,1,MIN(1,N(Tasks[[#This Row],[% Complete]]))))</f>
        <v>0</v>
      </c>
      <c r="CN167" s="38" t="n">
        <f aca="false">IF(OR(NOT(Tasks[[#This Row],[_IsLeaf]]=1),Tasks[[#This Row],[Resource]]=""),0,N(Tasks[[#This Row],[Duration]])*HoursPerDay*IF(Tasks[[#This Row],[Units]]="",DefaultUnits,Tasks[[#This Row],[Units]]))</f>
        <v>0</v>
      </c>
      <c r="CO167" s="38" t="n">
        <f aca="false">IF(Tasks[[#This Row],[_LeafWork]]=0,0,Tasks[[#This Row],[_LeafWork]]*IFERROR(INDEX(res_Rate,MATCH(Tasks[[#This Row],[Resource]],res_Name,0)),0))</f>
        <v>0</v>
      </c>
      <c r="CP167" s="38" t="n">
        <f aca="false">Tasks[[#This Row],[_LeafWork]]+IF(Tasks[[#This Row],[_IsLeaf]]=1,SUMIFS(asg_Work,asg_TaskUID,Tasks[[#This Row],[UID]],asg_Valid,1),0)</f>
        <v>0</v>
      </c>
      <c r="CQ167" s="38" t="n">
        <f aca="false">Tasks[[#This Row],[_LeafCost]]+IF(Tasks[[#This Row],[_IsLeaf]]=1,SUMIFS(asg_Cost,asg_TaskUID,Tasks[[#This Row],[UID]],asg_Valid,1),0)</f>
        <v>0</v>
      </c>
      <c r="CR167" s="38" t="n">
        <f aca="false">IF(Tasks[[#This Row],[_LeafTotalCost]]=0,Tasks[[#This Row],[_LeafAC]],Tasks[[#This Row],[_LeafAC]]*Tasks[[#This Row],[_LeafCost]]/Tasks[[#This Row],[_LeafTotalCost]])</f>
        <v>0</v>
      </c>
      <c r="CS16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7" s="38" t="n">
        <f aca="false">IF(NOT(Tasks[[#This Row],[_IsLeaf]]=1),0,MAX(_xlfn.MAXIFS(Tasks[_Row],Tasks[Pred1 UID],Tasks[[#This Row],[UID]]),_xlfn.MAXIFS(Tasks[_Row],Tasks[Pred2 UID],Tasks[[#This Row],[UID]]),_xlfn.MAXIFS(Tasks[_Row],Tasks[Pred3 UID],Tasks[[#This Row],[UID]]),_xlfn.MAXIFS(Tasks[_Row],Tasks[Pred4 UID],Tasks[[#This Row],[UID]])))</f>
        <v>0</v>
      </c>
      <c r="DB16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7" s="115" t="str">
        <f aca="false">IF(NOT(Tasks[[#This Row],[_IsLeaf]]=1),"",IF(N(Tasks[[#This Row],[Duration]])&lt;=0,Tasks[[#This Row],[_LeafLateFinish]],WORKDAY.INTL(Tasks[[#This Row],[_LeafLateFinish]],-(Tasks[[#This Row],[Duration]]-1),WorkWeek,Holidays)))</f>
        <v/>
      </c>
      <c r="DE16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7" s="114" t="b">
        <f aca="false">AND(Tasks[[#This Row],[_IsLeaf]]=1,Tasks[[#This Row],[_LeafProgress]]&lt;1,N(Tasks[[#This Row],[_LeafTotalSlack]])&lt;=CriticalSlackDays)</f>
        <v>0</v>
      </c>
      <c r="DG167" s="38" t="n">
        <f aca="false">IF(AND(Tasks[[#This Row],[_IsLeaf]]=1,Tasks[[#This Row],[_ConstraintCode]]=1,Tasks[[#This Row],[Mode]]&lt;&gt;"Manual",N(Tasks[[#This Row],[Actual Start]])=0),MAX(0,N(Tasks[[#This Row],[Free Slack]])),0)</f>
        <v>0</v>
      </c>
      <c r="DH167" s="115" t="str">
        <f aca="false">IF(NOT(Tasks[[#This Row],[_IsLeaf]]=1),"",IF(Tasks[[#This Row],[_AlapShift]]=0,Tasks[[#This Row],[_LeafCalcStart]],WORKDAY.INTL(Tasks[[#This Row],[_LeafCalcStart]],Tasks[[#This Row],[_AlapShift]],WorkWeek,Holidays)))</f>
        <v/>
      </c>
      <c r="DI167" s="115" t="str">
        <f aca="false">IF(NOT(Tasks[[#This Row],[_IsLeaf]]=1),"",IF(Tasks[[#This Row],[_AlapShift]]=0,Tasks[[#This Row],[_LeafCalcFinish]],WORKDAY.INTL(Tasks[[#This Row],[_LeafCalcFinish]],Tasks[[#This Row],[_AlapShift]],WorkWeek,Holidays)))</f>
        <v/>
      </c>
      <c r="DJ167" s="115" t="str">
        <f aca="false">IF(NOT(Tasks[[#This Row],[_IsLeaf]]=1),"",IF(Tasks[[#This Row],[_AlapShift]]=0,Tasks[[#This Row],[_LeafFcstStart]],WORKDAY.INTL(Tasks[[#This Row],[_LeafFcstStart]],Tasks[[#This Row],[_AlapShift]],WorkWeek,Holidays)))</f>
        <v/>
      </c>
      <c r="DK167" s="115" t="str">
        <f aca="false">IF(NOT(Tasks[[#This Row],[_IsLeaf]]=1),"",IF(Tasks[[#This Row],[_AlapShift]]=0,Tasks[[#This Row],[_LeafFcstFinish]],WORKDAY.INTL(Tasks[[#This Row],[_LeafFcstFinish]],Tasks[[#This Row],[_AlapShift]],WorkWeek,Holidays)))</f>
        <v/>
      </c>
      <c r="DL167" s="115" t="str">
        <f aca="false">IF(Tasks[[#This Row],[Task Name]]="","",IF(Tasks[[#This Row],[_IsSummary]],MIN(INDEX(Tasks[_ShownCalcStart],Tasks[[#This Row],[_Row]]+1):INDEX(Tasks[_ShownCalcStart],Tasks[[#This Row],[_Row]]+Tasks[[#This Row],[_Descendants]])),Tasks[[#This Row],[_ShownCalcStart]]))</f>
        <v/>
      </c>
      <c r="DM167" s="115" t="str">
        <f aca="false">IF(Tasks[[#This Row],[Task Name]]="","",IF(Tasks[[#This Row],[_IsSummary]],MAX(INDEX(Tasks[_ShownCalcFinish],Tasks[[#This Row],[_Row]]+1):INDEX(Tasks[_ShownCalcFinish],Tasks[[#This Row],[_Row]]+Tasks[[#This Row],[_Descendants]])),Tasks[[#This Row],[_ShownCalcFinish]]))</f>
        <v/>
      </c>
      <c r="DN16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7" s="38" t="n">
        <f aca="false">IF(AND(Tasks[[#This Row],[_IsLeaf]]=1,Tasks[[#This Row],[_LeafTotalWork]]&gt;0),NETWORKDAYS.INTL(ProjectStart,Tasks[[#This Row],[_ShownFcstStart]],WorkWeek,Holidays),0)</f>
        <v>0</v>
      </c>
      <c r="EA167" s="38" t="n">
        <f aca="false">IF(AND(Tasks[[#This Row],[_IsLeaf]]=1,Tasks[[#This Row],[_LeafTotalWork]]&gt;0),MAX(Tasks[[#This Row],[_StartWorkday]],NETWORKDAYS.INTL(ProjectStart,Tasks[[#This Row],[_ShownFcstFinish]],WorkWeek,Holidays)),0)</f>
        <v>0</v>
      </c>
      <c r="EB167" s="38" t="n">
        <f aca="false">IF(AND(Tasks[[#This Row],[_IsLeaf]]=1,Tasks[[#This Row],[_LeafTotalWork]]&gt;0),Tasks[[#This Row],[_LeafWork]]/(Tasks[[#This Row],[_FinishWorkday]]-Tasks[[#This Row],[_StartWorkday]]+1),0)</f>
        <v>0</v>
      </c>
      <c r="EC167" s="38" t="n">
        <f aca="false">Tasks[[#This Row],[_WorkPerWorkday]]*(Tasks[[#This Row],[_StartWorkday]]-1)</f>
        <v>-0</v>
      </c>
      <c r="ED167" s="38" t="n">
        <f aca="false">IF(Tasks[[#This Row],[_IsLeaf]]=1,MAX(N(Tasks[[#This Row],[Duration]]),0.1),0)</f>
        <v>0</v>
      </c>
      <c r="EE167" s="38" t="n">
        <f aca="false">Tasks[[#This Row],[_WeightDur]]*Tasks[[#This Row],[_LeafProgress]]</f>
        <v>0</v>
      </c>
      <c r="EF16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7" s="38" t="str">
        <f aca="false">IF(AND(Tasks[[#This Row],[_IsLeaf]]=1,N(Tasks[[#This Row],[Duration]])=0,Tasks[[#This Row],[_LeafProgress]]&lt;1),Tasks[[#This Row],[_ShownFcstFinish]]+Tasks[[#This Row],[_Row]]/100000,"")</f>
        <v/>
      </c>
      <c r="EH16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7" s="38" t="n">
        <f aca="false">IF(NOT(Tasks[[#This Row],[_IsLeaf]]=1),0,IF(Tasks[[#This Row],[Baseline Cost]]="",Tasks[[#This Row],[_LeafTotalCost]],N(Tasks[[#This Row],[Baseline Cost]])))</f>
        <v>0</v>
      </c>
      <c r="EJ167" s="38" t="n">
        <f aca="false">Tasks[[#This Row],[_LeafBudget]]*Tasks[[#This Row],[_PlannedPct]]</f>
        <v>0</v>
      </c>
      <c r="EK167" s="38" t="n">
        <f aca="false">Tasks[[#This Row],[_LeafBudget]]*Tasks[[#This Row],[_LeafProgress]]</f>
        <v>0</v>
      </c>
      <c r="EL167" s="38" t="n">
        <f aca="false">IF(NOT(Tasks[[#This Row],[_IsLeaf]]=1),0,IF(Tasks[[#This Row],[Actual Cost]]="",Tasks[[#This Row],[_LeafTotalCost]]*Tasks[[#This Row],[_LeafProgress]],N(Tasks[[#This Row],[Actual Cost]])))</f>
        <v>0</v>
      </c>
      <c r="EM167" s="38" t="str">
        <f aca="false">IF(Tasks[[#This Row],[Task Name]]="","",LEFT(Tasks[[#This Row],[WBS]],FIND(".",Tasks[[#This Row],[WBS]]&amp;".")-1))</f>
        <v/>
      </c>
      <c r="EN167" s="38" t="str">
        <f aca="false">IF(AND(Tasks[[#This Row],[Task Name]]&lt;&gt;"",Tasks[[#This Row],[_Level]]=1),Tasks[[#This Row],[_Row]],"")</f>
        <v/>
      </c>
      <c r="EO167" s="38" t="str">
        <f aca="false">IF(AND(Tasks[[#This Row],[_IsLeaf]]=1,N(Tasks[[#This Row],[Duration]])=0),Tasks[[#This Row],[Planned Finish]]+Tasks[[#This Row],[_Row]]/100000,"")</f>
        <v/>
      </c>
      <c r="EP167" s="38" t="str">
        <f aca="false">IF(AND(Tasks[[#This Row],[_IsLeaf]]=1,Tasks[[#This Row],[_LeafProgress]]&lt;1,OR(N(Tasks[[#This Row],[Finish Var]])&gt;0,Tasks[[#This Row],[Status]]="Late Start")),MAX(0,Tasks[[#This Row],[Finish Var]])+1-Tasks[[#This Row],[_Row]]/1000000,"")</f>
        <v/>
      </c>
      <c r="EQ167" s="38" t="str">
        <f aca="false">IF(AND(Tasks[[#This Row],[_IsLeaf]]=1,N(Tasks[[#This Row],[Actual Start]])=0,Tasks[[#This Row],[_ShownFcstStart]]&gt;=StatusDate,Tasks[[#This Row],[_ShownFcstStart]]&lt;=LookaheadEnd),Tasks[[#This Row],[_ShownFcstStart]]+Tasks[[#This Row],[_Row]]/100000,"")</f>
        <v/>
      </c>
      <c r="ER167" s="38" t="str">
        <f aca="false">IF(AND(Tasks[[#This Row],[_IsLeaf]]=1,Tasks[[#This Row],[_LeafProgress]]&lt;1,Tasks[[#This Row],[_ShownFcstFinish]]&gt;=StatusDate,Tasks[[#This Row],[_ShownFcstFinish]]&lt;=LookaheadEnd),Tasks[[#This Row],[_ShownFcstFinish]]+Tasks[[#This Row],[_Row]]/100000,"")</f>
        <v/>
      </c>
      <c r="ES167" s="38" t="str">
        <f aca="false">IF(Tasks[[#This Row],[_LeafCritical]],Tasks[[#This Row],[_ShownFcstStart]]+Tasks[[#This Row],[_Row]]/100000,"")</f>
        <v/>
      </c>
      <c r="ET167" s="38" t="n">
        <f aca="false">Tasks[[#This Row],[_LeafWork]]*Tasks[[#This Row],[_LeafProgress]]</f>
        <v>0</v>
      </c>
      <c r="EU167" s="115" t="str">
        <f aca="false">IF(AND(Tasks[[#This Row],[_IsLeaf]]=1,Tasks[[#This Row],[_LeafProgress]]&gt;=1),IF(N(Tasks[[#This Row],[Actual Finish]])&gt;0,Tasks[[#This Row],[Actual Finish]],Tasks[[#This Row],[_ShownFcstFinish]]),"")</f>
        <v/>
      </c>
      <c r="EV167" s="38" t="n">
        <f aca="false">IF(Tasks[[#This Row],[_IsLeaf]]=1,N(Tasks[[#This Row],[Story Points]]),0)</f>
        <v>0</v>
      </c>
      <c r="EW167" s="38" t="str">
        <f aca="false">IF(AND(Tasks[[#This Row],[_IsLeaf]]=1,CurrentSprint&lt;&gt;"",Tasks[[#This Row],[Sprint]]=CurrentSprint),Tasks[[#This Row],[_Row]],"")</f>
        <v/>
      </c>
    </row>
    <row r="168" customFormat="false" ht="15" hidden="false" customHeight="false" outlineLevel="0" collapsed="false">
      <c r="A168" s="51" t="str">
        <f aca="false">IF(Tasks[[#This Row],[Task Name]]="","",COUNTA(Tasks[[#Headers],[Task Name]]:Tasks[[#This Row],[Task Name]])-1)</f>
        <v/>
      </c>
      <c r="B168" s="52" t="n">
        <v>163</v>
      </c>
      <c r="C16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52"/>
      <c r="E168" s="53"/>
      <c r="F168" s="52"/>
      <c r="G168" s="52"/>
      <c r="H168" s="52"/>
      <c r="I168" s="52"/>
      <c r="J168" s="52"/>
      <c r="K168" s="52"/>
      <c r="L168" s="52"/>
      <c r="M168" s="52"/>
      <c r="N168" s="52"/>
      <c r="O168" s="52"/>
      <c r="P168" s="52"/>
      <c r="Q168" s="52"/>
      <c r="R168" s="52"/>
      <c r="S168" s="53"/>
      <c r="T168" s="102"/>
      <c r="U168" s="102"/>
      <c r="V168" s="7"/>
      <c r="W168" s="7"/>
      <c r="X168" s="53"/>
      <c r="Y168" s="31" t="str">
        <f aca="false">IF(Tasks[[#This Row],[Task Name]]="","",IF(Tasks[[#This Row],[_IsSummary]],MIN(INDEX(Tasks[_ShownFcstStart],Tasks[[#This Row],[_Row]]+1):INDEX(Tasks[_ShownFcstStart],Tasks[[#This Row],[_Row]]+Tasks[[#This Row],[_Descendants]])),Tasks[[#This Row],[_ShownFcstStart]]))</f>
        <v/>
      </c>
      <c r="Z168" s="31" t="str">
        <f aca="false">IF(Tasks[[#This Row],[Task Name]]="","",IF(Tasks[[#This Row],[_IsSummary]],MAX(INDEX(Tasks[_ShownFcstFinish],Tasks[[#This Row],[_Row]]+1):INDEX(Tasks[_ShownFcstFinish],Tasks[[#This Row],[_Row]]+Tasks[[#This Row],[_Descendants]])),Tasks[[#This Row],[_ShownFcstFinish]]))</f>
        <v/>
      </c>
      <c r="AA168" s="51" t="str">
        <f aca="false">IF(Tasks[[#This Row],[Task Name]]="","",IF(Tasks[[#This Row],[Progress]]&gt;=1,"Complete",IF(OR(N(Tasks[[#This Row],[Actual Start]])&gt;0,Tasks[[#This Row],[Progress]]&gt;0),IF(Tasks[[#This Row],[Finish Var]]&gt;0,"Behind","In Progress"),IF(Tasks[[#This Row],[Planned Start]]&lt;StatusDate,"Late Start","Not Started"))))</f>
        <v/>
      </c>
      <c r="AB168" s="51" t="str">
        <f aca="false">IF(Tasks[[#This Row],[Task Name]]="","",IF(IF(Tasks[[#This Row],[_IsSummary]],COUNTIF(INDEX(Tasks[_LeafCritical],Tasks[[#This Row],[_Row]]+1):INDEX(Tasks[_LeafCritical],Tasks[[#This Row],[_Row]]+Tasks[[#This Row],[_Descendants]]),TRUE())&gt;0,Tasks[[#This Row],[_LeafCritical]]),"Yes",""))</f>
        <v/>
      </c>
      <c r="AC16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8" s="51" t="str">
        <f aca="false">IF(Tasks[[#This Row],[Task Name]]="","",IF(Tasks[[#This Row],[_Level]]&lt;=OutlineShowLevel,"Yes","No"))</f>
        <v/>
      </c>
      <c r="AE168" s="7"/>
      <c r="AF168" s="52"/>
      <c r="AG168" s="53"/>
      <c r="AH168" s="7"/>
      <c r="AI16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8" s="31" t="str">
        <f aca="false">IF(Tasks[[#This Row],[Task Name]]="","",IF(N(Tasks[[#This Row],[Baseline Start]])&gt;0,Tasks[[#This Row],[Baseline Start]],Tasks[[#This Row],[_CalcStart]]))</f>
        <v/>
      </c>
      <c r="AK168" s="31" t="str">
        <f aca="false">IF(Tasks[[#This Row],[Task Name]]="","",IF(N(Tasks[[#This Row],[Baseline Finish]])&gt;0,Tasks[[#This Row],[Baseline Finish]],Tasks[[#This Row],[_CalcFinish]]))</f>
        <v/>
      </c>
      <c r="AL16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8" s="31" t="str">
        <f aca="false">IF(Tasks[[#This Row],[Task Name]]="","",IF(Tasks[[#This Row],[_IsSummary]],MIN(INDEX(Tasks[_LeafLateStart],Tasks[[#This Row],[_Row]]+1):INDEX(Tasks[_LeafLateStart],Tasks[[#This Row],[_Row]]+Tasks[[#This Row],[_Descendants]])),Tasks[[#This Row],[_LeafLateStart]]))</f>
        <v/>
      </c>
      <c r="AN168" s="31" t="str">
        <f aca="false">IF(Tasks[[#This Row],[Task Name]]="","",IF(Tasks[[#This Row],[_IsSummary]],MAX(INDEX(Tasks[_LeafLateFinish],Tasks[[#This Row],[_Row]]+1):INDEX(Tasks[_LeafLateFinish],Tasks[[#This Row],[_Row]]+Tasks[[#This Row],[_Descendants]])),Tasks[[#This Row],[_LeafLateFinish]]))</f>
        <v/>
      </c>
      <c r="AO168" s="51" t="str">
        <f aca="false">IF(Tasks[[#This Row],[Task Name]]="","",IF(Tasks[[#This Row],[_IsSummary]],MIN(INDEX(Tasks[_LeafTotalSlack],Tasks[[#This Row],[_Row]]+1):INDEX(Tasks[_LeafTotalSlack],Tasks[[#This Row],[_Row]]+Tasks[[#This Row],[_Descendants]])),Tasks[[#This Row],[_LeafTotalSlack]]))</f>
        <v/>
      </c>
      <c r="AP16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8" s="110" t="str">
        <f aca="false">IF(Tasks[[#This Row],[Task Name]]="","",IF(Tasks[[#This Row],[_IsSummary]],SUM(INDEX(Tasks[_LeafTotalWork],Tasks[[#This Row],[_Row]]+1):INDEX(Tasks[_LeafTotalWork],Tasks[[#This Row],[_Row]]+Tasks[[#This Row],[_Descendants]])),Tasks[[#This Row],[_LeafTotalWork]]))</f>
        <v/>
      </c>
      <c r="AV16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8" s="111" t="str">
        <f aca="false">IF(Tasks[[#This Row],[Task Name]]="","",IF(Tasks[[#This Row],[_IsSummary]],SUM(INDEX(Tasks[_LeafTotalCost],Tasks[[#This Row],[_Row]]+1):INDEX(Tasks[_LeafTotalCost],Tasks[[#This Row],[_Row]]+Tasks[[#This Row],[_Descendants]])),Tasks[[#This Row],[_LeafTotalCost]]))</f>
        <v/>
      </c>
      <c r="AY168" s="112"/>
      <c r="AZ16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8" s="52"/>
      <c r="BB168" s="98"/>
      <c r="BC168" s="51" t="str">
        <f aca="false">IF(OR(Tasks[[#This Row],[Task Name]]="",Tasks[[#This Row],[Baseline Duration]]=""),"",Tasks[[#This Row],[BL Source Duration]]-N(Tasks[[#This Row],[Baseline Duration]]))</f>
        <v/>
      </c>
      <c r="BD168" s="110" t="str">
        <f aca="false">IF(OR(Tasks[[#This Row],[Task Name]]="",Tasks[[#This Row],[Baseline Work]]=""),"",Tasks[[#This Row],[Work]]-N(Tasks[[#This Row],[Baseline Work]]))</f>
        <v/>
      </c>
      <c r="BE168" s="111" t="str">
        <f aca="false">IF(OR(Tasks[[#This Row],[Task Name]]="",Tasks[[#This Row],[Baseline Cost]]=""),"",Tasks[[#This Row],[Cost]]-N(Tasks[[#This Row],[Baseline Cost]]))</f>
        <v/>
      </c>
      <c r="BF168" s="31" t="str">
        <f aca="false">IF(Tasks[[#This Row],[Task Name]]="","",Tasks[[#This Row],[Forecast Start]])</f>
        <v/>
      </c>
      <c r="BG168" s="31" t="str">
        <f aca="false">IF(Tasks[[#This Row],[Task Name]]="","",Tasks[[#This Row],[Forecast Finish]])</f>
        <v/>
      </c>
      <c r="BH168" s="51" t="str">
        <f aca="false">IF(Tasks[[#This Row],[Task Name]]="","",IF(Tasks[[#This Row],[_IsSummary]],NETWORKDAYS.INTL(Tasks[[#This Row],[Forecast Start]],Tasks[[#This Row],[Forecast Finish]],WorkWeek,Holidays),N(Tasks[[#This Row],[Duration]])))</f>
        <v/>
      </c>
      <c r="BI168" s="110" t="str">
        <f aca="false">IF(Tasks[[#This Row],[Task Name]]="","",Tasks[[#This Row],[Work]])</f>
        <v/>
      </c>
      <c r="BJ168" s="111" t="str">
        <f aca="false">IF(Tasks[[#This Row],[Task Name]]="","",Tasks[[#This Row],[Cost]])</f>
        <v/>
      </c>
      <c r="BK168" s="7"/>
      <c r="BL168" s="7"/>
      <c r="BM168" s="52"/>
      <c r="BN168" s="113"/>
      <c r="BO168" s="112"/>
      <c r="BP168" s="111" t="str">
        <f aca="false">IF(Tasks[[#This Row],[Task Name]]="","",IF(Tasks[[#This Row],[_IsSummary]],SUM(INDEX(Tasks[_LeafEV],Tasks[[#This Row],[_Row]]+1):INDEX(Tasks[_LeafEV],Tasks[[#This Row],[_Row]]+Tasks[[#This Row],[_Descendants]])),Tasks[[#This Row],[_LeafEV]]))</f>
        <v/>
      </c>
      <c r="BQ168" s="111" t="str">
        <f aca="false">IF(Tasks[[#This Row],[Task Name]]="","",IF(Tasks[[#This Row],[_IsSummary]],SUM(INDEX(Tasks[_LeafBudget],Tasks[[#This Row],[_Row]]+1):INDEX(Tasks[_LeafBudget],Tasks[[#This Row],[_Row]]+Tasks[[#This Row],[_Descendants]])),Tasks[[#This Row],[_LeafBudget]]))</f>
        <v/>
      </c>
      <c r="BR168" s="111" t="str">
        <f aca="false">IF(Tasks[[#This Row],[Task Name]]="","",IF(Tasks[[#This Row],[_IsSummary]],SUM(INDEX(Tasks[_LeafPV],Tasks[[#This Row],[_Row]]+1):INDEX(Tasks[_LeafPV],Tasks[[#This Row],[_Row]]+Tasks[[#This Row],[_Descendants]])),Tasks[[#This Row],[_LeafPV]]))</f>
        <v/>
      </c>
      <c r="BS168" s="111" t="str">
        <f aca="false">IF(Tasks[[#This Row],[Task Name]]="","",IF(Tasks[[#This Row],[_IsSummary]],SUM(INDEX(Tasks[_LeafAC],Tasks[[#This Row],[_Row]]+1):INDEX(Tasks[_LeafAC],Tasks[[#This Row],[_Row]]+Tasks[[#This Row],[_Descendants]])),Tasks[[#This Row],[_LeafAC]]))</f>
        <v/>
      </c>
      <c r="BT168" s="38" t="str">
        <f aca="false">IF(Tasks[[#This Row],[Task Name]]="","",MAX(1,N(Tasks[[#This Row],[Level]])))</f>
        <v/>
      </c>
      <c r="BU168" s="38" t="n">
        <f aca="false">ROW()-ROW(Tasks[[#Headers],[ID]])</f>
        <v>163</v>
      </c>
      <c r="BV168" s="38" t="n">
        <f aca="false">IF(OR(Tasks[[#This Row],[Task Name]]="",Tasks[[#This Row],[_Level]]&lt;=1),0,IFERROR(LOOKUP(2,1/(Tasks[[#Headers],[_Level]]:Tasks[[#This Row],[_Level]]=Tasks[[#This Row],[_Level]]-1),ROW(Tasks[[#Headers],[_Level]]:Tasks[[#This Row],[_Level]])),0))</f>
        <v>0</v>
      </c>
      <c r="BW168" s="38" t="n">
        <f aca="false">IFERROR(N(INDEX(Tasks[_Level],Tasks[[#This Row],[_Row]]+1)),0)</f>
        <v>0</v>
      </c>
      <c r="BX168" s="114" t="b">
        <f aca="false">AND(Tasks[[#This Row],[Task Name]]&lt;&gt;"",Tasks[[#This Row],[_NextLevel]]&gt;Tasks[[#This Row],[_Level]])</f>
        <v>0</v>
      </c>
      <c r="BY168" s="38" t="n">
        <f aca="false">IF(Tasks[[#This Row],[_IsSummary]],COUNTIF(Tasks[WBS],Tasks[[#This Row],[WBS]]&amp;".*"),0)</f>
        <v>0</v>
      </c>
      <c r="BZ168" s="38" t="n">
        <f aca="false">IF(AND(Tasks[[#This Row],[Task Name]]&lt;&gt;"",NOT(Tasks[[#This Row],[_IsSummary]])),1,0)</f>
        <v>0</v>
      </c>
      <c r="CA168" s="38" t="n">
        <f aca="false">IF(N(Tasks[[#This Row],[Pred1 UID]])=0,0,IFERROR(MATCH(Tasks[[#This Row],[Pred1 UID]],Tasks[UID],0),-1))</f>
        <v>0</v>
      </c>
      <c r="CB168" s="38" t="n">
        <f aca="false">IF(N(Tasks[[#This Row],[Pred2 UID]])=0,0,IFERROR(MATCH(Tasks[[#This Row],[Pred2 UID]],Tasks[UID],0),-1))</f>
        <v>0</v>
      </c>
      <c r="CC168" s="38" t="n">
        <f aca="false">IF(N(Tasks[[#This Row],[Pred3 UID]])=0,0,IFERROR(MATCH(Tasks[[#This Row],[Pred3 UID]],Tasks[UID],0),-1))</f>
        <v>0</v>
      </c>
      <c r="CD168" s="38" t="n">
        <f aca="false">IF(N(Tasks[[#This Row],[Pred4 UID]])=0,0,IFERROR(MATCH(Tasks[[#This Row],[Pred4 UID]],Tasks[UID],0),-1))</f>
        <v>0</v>
      </c>
      <c r="CE16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8" s="115" t="n">
        <f aca="false">IF(OR(Tasks[[#This Row],[_ConstraintCode]]=2,Tasks[[#This Row],[_ConstraintCode]]=3,Tasks[[#This Row],[_ConstraintCode]]=4,Tasks[[#This Row],[_ConstraintCode]]=6),Tasks[[#This Row],[_ConstraintStart]],0)</f>
        <v>0</v>
      </c>
      <c r="CH168" s="115" t="n">
        <f aca="false">IF(OR(Tasks[[#This Row],[_ConstraintCode]]=2,Tasks[[#This Row],[_ConstraintCode]]=3,Tasks[[#This Row],[_ConstraintCode]]=5,Tasks[[#This Row],[_ConstraintCode]]=7),Tasks[[#This Row],[_ConstraintStart]],2958465)</f>
        <v>2958465</v>
      </c>
      <c r="CI16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8" s="115" t="str">
        <f aca="false">IF(NOT(Tasks[[#This Row],[_IsLeaf]]=1),"",IF(N(Tasks[[#This Row],[Duration]])&lt;=0,Tasks[[#This Row],[_LeafCalcStart]],WORKDAY.INTL(Tasks[[#This Row],[_LeafCalcStart]],Tasks[[#This Row],[Duration]]-1,WorkWeek,Holidays)))</f>
        <v/>
      </c>
      <c r="CK16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8" s="38" t="n">
        <f aca="false">IF(NOT(Tasks[[#This Row],[_IsLeaf]]=1),0,IF(N(Tasks[[#This Row],[Actual Finish]])&gt;0,1,MIN(1,N(Tasks[[#This Row],[% Complete]]))))</f>
        <v>0</v>
      </c>
      <c r="CN168" s="38" t="n">
        <f aca="false">IF(OR(NOT(Tasks[[#This Row],[_IsLeaf]]=1),Tasks[[#This Row],[Resource]]=""),0,N(Tasks[[#This Row],[Duration]])*HoursPerDay*IF(Tasks[[#This Row],[Units]]="",DefaultUnits,Tasks[[#This Row],[Units]]))</f>
        <v>0</v>
      </c>
      <c r="CO168" s="38" t="n">
        <f aca="false">IF(Tasks[[#This Row],[_LeafWork]]=0,0,Tasks[[#This Row],[_LeafWork]]*IFERROR(INDEX(res_Rate,MATCH(Tasks[[#This Row],[Resource]],res_Name,0)),0))</f>
        <v>0</v>
      </c>
      <c r="CP168" s="38" t="n">
        <f aca="false">Tasks[[#This Row],[_LeafWork]]+IF(Tasks[[#This Row],[_IsLeaf]]=1,SUMIFS(asg_Work,asg_TaskUID,Tasks[[#This Row],[UID]],asg_Valid,1),0)</f>
        <v>0</v>
      </c>
      <c r="CQ168" s="38" t="n">
        <f aca="false">Tasks[[#This Row],[_LeafCost]]+IF(Tasks[[#This Row],[_IsLeaf]]=1,SUMIFS(asg_Cost,asg_TaskUID,Tasks[[#This Row],[UID]],asg_Valid,1),0)</f>
        <v>0</v>
      </c>
      <c r="CR168" s="38" t="n">
        <f aca="false">IF(Tasks[[#This Row],[_LeafTotalCost]]=0,Tasks[[#This Row],[_LeafAC]],Tasks[[#This Row],[_LeafAC]]*Tasks[[#This Row],[_LeafCost]]/Tasks[[#This Row],[_LeafTotalCost]])</f>
        <v>0</v>
      </c>
      <c r="CS16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8" s="38" t="n">
        <f aca="false">IF(NOT(Tasks[[#This Row],[_IsLeaf]]=1),0,MAX(_xlfn.MAXIFS(Tasks[_Row],Tasks[Pred1 UID],Tasks[[#This Row],[UID]]),_xlfn.MAXIFS(Tasks[_Row],Tasks[Pred2 UID],Tasks[[#This Row],[UID]]),_xlfn.MAXIFS(Tasks[_Row],Tasks[Pred3 UID],Tasks[[#This Row],[UID]]),_xlfn.MAXIFS(Tasks[_Row],Tasks[Pred4 UID],Tasks[[#This Row],[UID]])))</f>
        <v>0</v>
      </c>
      <c r="DB16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8" s="115" t="str">
        <f aca="false">IF(NOT(Tasks[[#This Row],[_IsLeaf]]=1),"",IF(N(Tasks[[#This Row],[Duration]])&lt;=0,Tasks[[#This Row],[_LeafLateFinish]],WORKDAY.INTL(Tasks[[#This Row],[_LeafLateFinish]],-(Tasks[[#This Row],[Duration]]-1),WorkWeek,Holidays)))</f>
        <v/>
      </c>
      <c r="DE16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8" s="114" t="b">
        <f aca="false">AND(Tasks[[#This Row],[_IsLeaf]]=1,Tasks[[#This Row],[_LeafProgress]]&lt;1,N(Tasks[[#This Row],[_LeafTotalSlack]])&lt;=CriticalSlackDays)</f>
        <v>0</v>
      </c>
      <c r="DG168" s="38" t="n">
        <f aca="false">IF(AND(Tasks[[#This Row],[_IsLeaf]]=1,Tasks[[#This Row],[_ConstraintCode]]=1,Tasks[[#This Row],[Mode]]&lt;&gt;"Manual",N(Tasks[[#This Row],[Actual Start]])=0),MAX(0,N(Tasks[[#This Row],[Free Slack]])),0)</f>
        <v>0</v>
      </c>
      <c r="DH168" s="115" t="str">
        <f aca="false">IF(NOT(Tasks[[#This Row],[_IsLeaf]]=1),"",IF(Tasks[[#This Row],[_AlapShift]]=0,Tasks[[#This Row],[_LeafCalcStart]],WORKDAY.INTL(Tasks[[#This Row],[_LeafCalcStart]],Tasks[[#This Row],[_AlapShift]],WorkWeek,Holidays)))</f>
        <v/>
      </c>
      <c r="DI168" s="115" t="str">
        <f aca="false">IF(NOT(Tasks[[#This Row],[_IsLeaf]]=1),"",IF(Tasks[[#This Row],[_AlapShift]]=0,Tasks[[#This Row],[_LeafCalcFinish]],WORKDAY.INTL(Tasks[[#This Row],[_LeafCalcFinish]],Tasks[[#This Row],[_AlapShift]],WorkWeek,Holidays)))</f>
        <v/>
      </c>
      <c r="DJ168" s="115" t="str">
        <f aca="false">IF(NOT(Tasks[[#This Row],[_IsLeaf]]=1),"",IF(Tasks[[#This Row],[_AlapShift]]=0,Tasks[[#This Row],[_LeafFcstStart]],WORKDAY.INTL(Tasks[[#This Row],[_LeafFcstStart]],Tasks[[#This Row],[_AlapShift]],WorkWeek,Holidays)))</f>
        <v/>
      </c>
      <c r="DK168" s="115" t="str">
        <f aca="false">IF(NOT(Tasks[[#This Row],[_IsLeaf]]=1),"",IF(Tasks[[#This Row],[_AlapShift]]=0,Tasks[[#This Row],[_LeafFcstFinish]],WORKDAY.INTL(Tasks[[#This Row],[_LeafFcstFinish]],Tasks[[#This Row],[_AlapShift]],WorkWeek,Holidays)))</f>
        <v/>
      </c>
      <c r="DL168" s="115" t="str">
        <f aca="false">IF(Tasks[[#This Row],[Task Name]]="","",IF(Tasks[[#This Row],[_IsSummary]],MIN(INDEX(Tasks[_ShownCalcStart],Tasks[[#This Row],[_Row]]+1):INDEX(Tasks[_ShownCalcStart],Tasks[[#This Row],[_Row]]+Tasks[[#This Row],[_Descendants]])),Tasks[[#This Row],[_ShownCalcStart]]))</f>
        <v/>
      </c>
      <c r="DM168" s="115" t="str">
        <f aca="false">IF(Tasks[[#This Row],[Task Name]]="","",IF(Tasks[[#This Row],[_IsSummary]],MAX(INDEX(Tasks[_ShownCalcFinish],Tasks[[#This Row],[_Row]]+1):INDEX(Tasks[_ShownCalcFinish],Tasks[[#This Row],[_Row]]+Tasks[[#This Row],[_Descendants]])),Tasks[[#This Row],[_ShownCalcFinish]]))</f>
        <v/>
      </c>
      <c r="DN16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8" s="38" t="n">
        <f aca="false">IF(AND(Tasks[[#This Row],[_IsLeaf]]=1,Tasks[[#This Row],[_LeafTotalWork]]&gt;0),NETWORKDAYS.INTL(ProjectStart,Tasks[[#This Row],[_ShownFcstStart]],WorkWeek,Holidays),0)</f>
        <v>0</v>
      </c>
      <c r="EA168" s="38" t="n">
        <f aca="false">IF(AND(Tasks[[#This Row],[_IsLeaf]]=1,Tasks[[#This Row],[_LeafTotalWork]]&gt;0),MAX(Tasks[[#This Row],[_StartWorkday]],NETWORKDAYS.INTL(ProjectStart,Tasks[[#This Row],[_ShownFcstFinish]],WorkWeek,Holidays)),0)</f>
        <v>0</v>
      </c>
      <c r="EB168" s="38" t="n">
        <f aca="false">IF(AND(Tasks[[#This Row],[_IsLeaf]]=1,Tasks[[#This Row],[_LeafTotalWork]]&gt;0),Tasks[[#This Row],[_LeafWork]]/(Tasks[[#This Row],[_FinishWorkday]]-Tasks[[#This Row],[_StartWorkday]]+1),0)</f>
        <v>0</v>
      </c>
      <c r="EC168" s="38" t="n">
        <f aca="false">Tasks[[#This Row],[_WorkPerWorkday]]*(Tasks[[#This Row],[_StartWorkday]]-1)</f>
        <v>-0</v>
      </c>
      <c r="ED168" s="38" t="n">
        <f aca="false">IF(Tasks[[#This Row],[_IsLeaf]]=1,MAX(N(Tasks[[#This Row],[Duration]]),0.1),0)</f>
        <v>0</v>
      </c>
      <c r="EE168" s="38" t="n">
        <f aca="false">Tasks[[#This Row],[_WeightDur]]*Tasks[[#This Row],[_LeafProgress]]</f>
        <v>0</v>
      </c>
      <c r="EF16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8" s="38" t="str">
        <f aca="false">IF(AND(Tasks[[#This Row],[_IsLeaf]]=1,N(Tasks[[#This Row],[Duration]])=0,Tasks[[#This Row],[_LeafProgress]]&lt;1),Tasks[[#This Row],[_ShownFcstFinish]]+Tasks[[#This Row],[_Row]]/100000,"")</f>
        <v/>
      </c>
      <c r="EH16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8" s="38" t="n">
        <f aca="false">IF(NOT(Tasks[[#This Row],[_IsLeaf]]=1),0,IF(Tasks[[#This Row],[Baseline Cost]]="",Tasks[[#This Row],[_LeafTotalCost]],N(Tasks[[#This Row],[Baseline Cost]])))</f>
        <v>0</v>
      </c>
      <c r="EJ168" s="38" t="n">
        <f aca="false">Tasks[[#This Row],[_LeafBudget]]*Tasks[[#This Row],[_PlannedPct]]</f>
        <v>0</v>
      </c>
      <c r="EK168" s="38" t="n">
        <f aca="false">Tasks[[#This Row],[_LeafBudget]]*Tasks[[#This Row],[_LeafProgress]]</f>
        <v>0</v>
      </c>
      <c r="EL168" s="38" t="n">
        <f aca="false">IF(NOT(Tasks[[#This Row],[_IsLeaf]]=1),0,IF(Tasks[[#This Row],[Actual Cost]]="",Tasks[[#This Row],[_LeafTotalCost]]*Tasks[[#This Row],[_LeafProgress]],N(Tasks[[#This Row],[Actual Cost]])))</f>
        <v>0</v>
      </c>
      <c r="EM168" s="38" t="str">
        <f aca="false">IF(Tasks[[#This Row],[Task Name]]="","",LEFT(Tasks[[#This Row],[WBS]],FIND(".",Tasks[[#This Row],[WBS]]&amp;".")-1))</f>
        <v/>
      </c>
      <c r="EN168" s="38" t="str">
        <f aca="false">IF(AND(Tasks[[#This Row],[Task Name]]&lt;&gt;"",Tasks[[#This Row],[_Level]]=1),Tasks[[#This Row],[_Row]],"")</f>
        <v/>
      </c>
      <c r="EO168" s="38" t="str">
        <f aca="false">IF(AND(Tasks[[#This Row],[_IsLeaf]]=1,N(Tasks[[#This Row],[Duration]])=0),Tasks[[#This Row],[Planned Finish]]+Tasks[[#This Row],[_Row]]/100000,"")</f>
        <v/>
      </c>
      <c r="EP168" s="38" t="str">
        <f aca="false">IF(AND(Tasks[[#This Row],[_IsLeaf]]=1,Tasks[[#This Row],[_LeafProgress]]&lt;1,OR(N(Tasks[[#This Row],[Finish Var]])&gt;0,Tasks[[#This Row],[Status]]="Late Start")),MAX(0,Tasks[[#This Row],[Finish Var]])+1-Tasks[[#This Row],[_Row]]/1000000,"")</f>
        <v/>
      </c>
      <c r="EQ168" s="38" t="str">
        <f aca="false">IF(AND(Tasks[[#This Row],[_IsLeaf]]=1,N(Tasks[[#This Row],[Actual Start]])=0,Tasks[[#This Row],[_ShownFcstStart]]&gt;=StatusDate,Tasks[[#This Row],[_ShownFcstStart]]&lt;=LookaheadEnd),Tasks[[#This Row],[_ShownFcstStart]]+Tasks[[#This Row],[_Row]]/100000,"")</f>
        <v/>
      </c>
      <c r="ER168" s="38" t="str">
        <f aca="false">IF(AND(Tasks[[#This Row],[_IsLeaf]]=1,Tasks[[#This Row],[_LeafProgress]]&lt;1,Tasks[[#This Row],[_ShownFcstFinish]]&gt;=StatusDate,Tasks[[#This Row],[_ShownFcstFinish]]&lt;=LookaheadEnd),Tasks[[#This Row],[_ShownFcstFinish]]+Tasks[[#This Row],[_Row]]/100000,"")</f>
        <v/>
      </c>
      <c r="ES168" s="38" t="str">
        <f aca="false">IF(Tasks[[#This Row],[_LeafCritical]],Tasks[[#This Row],[_ShownFcstStart]]+Tasks[[#This Row],[_Row]]/100000,"")</f>
        <v/>
      </c>
      <c r="ET168" s="38" t="n">
        <f aca="false">Tasks[[#This Row],[_LeafWork]]*Tasks[[#This Row],[_LeafProgress]]</f>
        <v>0</v>
      </c>
      <c r="EU168" s="115" t="str">
        <f aca="false">IF(AND(Tasks[[#This Row],[_IsLeaf]]=1,Tasks[[#This Row],[_LeafProgress]]&gt;=1),IF(N(Tasks[[#This Row],[Actual Finish]])&gt;0,Tasks[[#This Row],[Actual Finish]],Tasks[[#This Row],[_ShownFcstFinish]]),"")</f>
        <v/>
      </c>
      <c r="EV168" s="38" t="n">
        <f aca="false">IF(Tasks[[#This Row],[_IsLeaf]]=1,N(Tasks[[#This Row],[Story Points]]),0)</f>
        <v>0</v>
      </c>
      <c r="EW168" s="38" t="str">
        <f aca="false">IF(AND(Tasks[[#This Row],[_IsLeaf]]=1,CurrentSprint&lt;&gt;"",Tasks[[#This Row],[Sprint]]=CurrentSprint),Tasks[[#This Row],[_Row]],"")</f>
        <v/>
      </c>
    </row>
    <row r="169" customFormat="false" ht="15" hidden="false" customHeight="false" outlineLevel="0" collapsed="false">
      <c r="A169" s="51" t="str">
        <f aca="false">IF(Tasks[[#This Row],[Task Name]]="","",COUNTA(Tasks[[#Headers],[Task Name]]:Tasks[[#This Row],[Task Name]])-1)</f>
        <v/>
      </c>
      <c r="B169" s="52" t="n">
        <v>164</v>
      </c>
      <c r="C16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52"/>
      <c r="E169" s="53"/>
      <c r="F169" s="52"/>
      <c r="G169" s="52"/>
      <c r="H169" s="52"/>
      <c r="I169" s="52"/>
      <c r="J169" s="52"/>
      <c r="K169" s="52"/>
      <c r="L169" s="52"/>
      <c r="M169" s="52"/>
      <c r="N169" s="52"/>
      <c r="O169" s="52"/>
      <c r="P169" s="52"/>
      <c r="Q169" s="52"/>
      <c r="R169" s="52"/>
      <c r="S169" s="53"/>
      <c r="T169" s="102"/>
      <c r="U169" s="102"/>
      <c r="V169" s="7"/>
      <c r="W169" s="7"/>
      <c r="X169" s="53"/>
      <c r="Y169" s="31" t="str">
        <f aca="false">IF(Tasks[[#This Row],[Task Name]]="","",IF(Tasks[[#This Row],[_IsSummary]],MIN(INDEX(Tasks[_ShownFcstStart],Tasks[[#This Row],[_Row]]+1):INDEX(Tasks[_ShownFcstStart],Tasks[[#This Row],[_Row]]+Tasks[[#This Row],[_Descendants]])),Tasks[[#This Row],[_ShownFcstStart]]))</f>
        <v/>
      </c>
      <c r="Z169" s="31" t="str">
        <f aca="false">IF(Tasks[[#This Row],[Task Name]]="","",IF(Tasks[[#This Row],[_IsSummary]],MAX(INDEX(Tasks[_ShownFcstFinish],Tasks[[#This Row],[_Row]]+1):INDEX(Tasks[_ShownFcstFinish],Tasks[[#This Row],[_Row]]+Tasks[[#This Row],[_Descendants]])),Tasks[[#This Row],[_ShownFcstFinish]]))</f>
        <v/>
      </c>
      <c r="AA169" s="51" t="str">
        <f aca="false">IF(Tasks[[#This Row],[Task Name]]="","",IF(Tasks[[#This Row],[Progress]]&gt;=1,"Complete",IF(OR(N(Tasks[[#This Row],[Actual Start]])&gt;0,Tasks[[#This Row],[Progress]]&gt;0),IF(Tasks[[#This Row],[Finish Var]]&gt;0,"Behind","In Progress"),IF(Tasks[[#This Row],[Planned Start]]&lt;StatusDate,"Late Start","Not Started"))))</f>
        <v/>
      </c>
      <c r="AB169" s="51" t="str">
        <f aca="false">IF(Tasks[[#This Row],[Task Name]]="","",IF(IF(Tasks[[#This Row],[_IsSummary]],COUNTIF(INDEX(Tasks[_LeafCritical],Tasks[[#This Row],[_Row]]+1):INDEX(Tasks[_LeafCritical],Tasks[[#This Row],[_Row]]+Tasks[[#This Row],[_Descendants]]),TRUE())&gt;0,Tasks[[#This Row],[_LeafCritical]]),"Yes",""))</f>
        <v/>
      </c>
      <c r="AC16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9" s="51" t="str">
        <f aca="false">IF(Tasks[[#This Row],[Task Name]]="","",IF(Tasks[[#This Row],[_Level]]&lt;=OutlineShowLevel,"Yes","No"))</f>
        <v/>
      </c>
      <c r="AE169" s="7"/>
      <c r="AF169" s="52"/>
      <c r="AG169" s="53"/>
      <c r="AH169" s="7"/>
      <c r="AI16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9" s="31" t="str">
        <f aca="false">IF(Tasks[[#This Row],[Task Name]]="","",IF(N(Tasks[[#This Row],[Baseline Start]])&gt;0,Tasks[[#This Row],[Baseline Start]],Tasks[[#This Row],[_CalcStart]]))</f>
        <v/>
      </c>
      <c r="AK169" s="31" t="str">
        <f aca="false">IF(Tasks[[#This Row],[Task Name]]="","",IF(N(Tasks[[#This Row],[Baseline Finish]])&gt;0,Tasks[[#This Row],[Baseline Finish]],Tasks[[#This Row],[_CalcFinish]]))</f>
        <v/>
      </c>
      <c r="AL16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9" s="31" t="str">
        <f aca="false">IF(Tasks[[#This Row],[Task Name]]="","",IF(Tasks[[#This Row],[_IsSummary]],MIN(INDEX(Tasks[_LeafLateStart],Tasks[[#This Row],[_Row]]+1):INDEX(Tasks[_LeafLateStart],Tasks[[#This Row],[_Row]]+Tasks[[#This Row],[_Descendants]])),Tasks[[#This Row],[_LeafLateStart]]))</f>
        <v/>
      </c>
      <c r="AN169" s="31" t="str">
        <f aca="false">IF(Tasks[[#This Row],[Task Name]]="","",IF(Tasks[[#This Row],[_IsSummary]],MAX(INDEX(Tasks[_LeafLateFinish],Tasks[[#This Row],[_Row]]+1):INDEX(Tasks[_LeafLateFinish],Tasks[[#This Row],[_Row]]+Tasks[[#This Row],[_Descendants]])),Tasks[[#This Row],[_LeafLateFinish]]))</f>
        <v/>
      </c>
      <c r="AO169" s="51" t="str">
        <f aca="false">IF(Tasks[[#This Row],[Task Name]]="","",IF(Tasks[[#This Row],[_IsSummary]],MIN(INDEX(Tasks[_LeafTotalSlack],Tasks[[#This Row],[_Row]]+1):INDEX(Tasks[_LeafTotalSlack],Tasks[[#This Row],[_Row]]+Tasks[[#This Row],[_Descendants]])),Tasks[[#This Row],[_LeafTotalSlack]]))</f>
        <v/>
      </c>
      <c r="AP16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9" s="110" t="str">
        <f aca="false">IF(Tasks[[#This Row],[Task Name]]="","",IF(Tasks[[#This Row],[_IsSummary]],SUM(INDEX(Tasks[_LeafTotalWork],Tasks[[#This Row],[_Row]]+1):INDEX(Tasks[_LeafTotalWork],Tasks[[#This Row],[_Row]]+Tasks[[#This Row],[_Descendants]])),Tasks[[#This Row],[_LeafTotalWork]]))</f>
        <v/>
      </c>
      <c r="AV16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9" s="111" t="str">
        <f aca="false">IF(Tasks[[#This Row],[Task Name]]="","",IF(Tasks[[#This Row],[_IsSummary]],SUM(INDEX(Tasks[_LeafTotalCost],Tasks[[#This Row],[_Row]]+1):INDEX(Tasks[_LeafTotalCost],Tasks[[#This Row],[_Row]]+Tasks[[#This Row],[_Descendants]])),Tasks[[#This Row],[_LeafTotalCost]]))</f>
        <v/>
      </c>
      <c r="AY169" s="112"/>
      <c r="AZ16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9" s="52"/>
      <c r="BB169" s="98"/>
      <c r="BC169" s="51" t="str">
        <f aca="false">IF(OR(Tasks[[#This Row],[Task Name]]="",Tasks[[#This Row],[Baseline Duration]]=""),"",Tasks[[#This Row],[BL Source Duration]]-N(Tasks[[#This Row],[Baseline Duration]]))</f>
        <v/>
      </c>
      <c r="BD169" s="110" t="str">
        <f aca="false">IF(OR(Tasks[[#This Row],[Task Name]]="",Tasks[[#This Row],[Baseline Work]]=""),"",Tasks[[#This Row],[Work]]-N(Tasks[[#This Row],[Baseline Work]]))</f>
        <v/>
      </c>
      <c r="BE169" s="111" t="str">
        <f aca="false">IF(OR(Tasks[[#This Row],[Task Name]]="",Tasks[[#This Row],[Baseline Cost]]=""),"",Tasks[[#This Row],[Cost]]-N(Tasks[[#This Row],[Baseline Cost]]))</f>
        <v/>
      </c>
      <c r="BF169" s="31" t="str">
        <f aca="false">IF(Tasks[[#This Row],[Task Name]]="","",Tasks[[#This Row],[Forecast Start]])</f>
        <v/>
      </c>
      <c r="BG169" s="31" t="str">
        <f aca="false">IF(Tasks[[#This Row],[Task Name]]="","",Tasks[[#This Row],[Forecast Finish]])</f>
        <v/>
      </c>
      <c r="BH169" s="51" t="str">
        <f aca="false">IF(Tasks[[#This Row],[Task Name]]="","",IF(Tasks[[#This Row],[_IsSummary]],NETWORKDAYS.INTL(Tasks[[#This Row],[Forecast Start]],Tasks[[#This Row],[Forecast Finish]],WorkWeek,Holidays),N(Tasks[[#This Row],[Duration]])))</f>
        <v/>
      </c>
      <c r="BI169" s="110" t="str">
        <f aca="false">IF(Tasks[[#This Row],[Task Name]]="","",Tasks[[#This Row],[Work]])</f>
        <v/>
      </c>
      <c r="BJ169" s="111" t="str">
        <f aca="false">IF(Tasks[[#This Row],[Task Name]]="","",Tasks[[#This Row],[Cost]])</f>
        <v/>
      </c>
      <c r="BK169" s="7"/>
      <c r="BL169" s="7"/>
      <c r="BM169" s="52"/>
      <c r="BN169" s="113"/>
      <c r="BO169" s="112"/>
      <c r="BP169" s="111" t="str">
        <f aca="false">IF(Tasks[[#This Row],[Task Name]]="","",IF(Tasks[[#This Row],[_IsSummary]],SUM(INDEX(Tasks[_LeafEV],Tasks[[#This Row],[_Row]]+1):INDEX(Tasks[_LeafEV],Tasks[[#This Row],[_Row]]+Tasks[[#This Row],[_Descendants]])),Tasks[[#This Row],[_LeafEV]]))</f>
        <v/>
      </c>
      <c r="BQ169" s="111" t="str">
        <f aca="false">IF(Tasks[[#This Row],[Task Name]]="","",IF(Tasks[[#This Row],[_IsSummary]],SUM(INDEX(Tasks[_LeafBudget],Tasks[[#This Row],[_Row]]+1):INDEX(Tasks[_LeafBudget],Tasks[[#This Row],[_Row]]+Tasks[[#This Row],[_Descendants]])),Tasks[[#This Row],[_LeafBudget]]))</f>
        <v/>
      </c>
      <c r="BR169" s="111" t="str">
        <f aca="false">IF(Tasks[[#This Row],[Task Name]]="","",IF(Tasks[[#This Row],[_IsSummary]],SUM(INDEX(Tasks[_LeafPV],Tasks[[#This Row],[_Row]]+1):INDEX(Tasks[_LeafPV],Tasks[[#This Row],[_Row]]+Tasks[[#This Row],[_Descendants]])),Tasks[[#This Row],[_LeafPV]]))</f>
        <v/>
      </c>
      <c r="BS169" s="111" t="str">
        <f aca="false">IF(Tasks[[#This Row],[Task Name]]="","",IF(Tasks[[#This Row],[_IsSummary]],SUM(INDEX(Tasks[_LeafAC],Tasks[[#This Row],[_Row]]+1):INDEX(Tasks[_LeafAC],Tasks[[#This Row],[_Row]]+Tasks[[#This Row],[_Descendants]])),Tasks[[#This Row],[_LeafAC]]))</f>
        <v/>
      </c>
      <c r="BT169" s="38" t="str">
        <f aca="false">IF(Tasks[[#This Row],[Task Name]]="","",MAX(1,N(Tasks[[#This Row],[Level]])))</f>
        <v/>
      </c>
      <c r="BU169" s="38" t="n">
        <f aca="false">ROW()-ROW(Tasks[[#Headers],[ID]])</f>
        <v>164</v>
      </c>
      <c r="BV169" s="38" t="n">
        <f aca="false">IF(OR(Tasks[[#This Row],[Task Name]]="",Tasks[[#This Row],[_Level]]&lt;=1),0,IFERROR(LOOKUP(2,1/(Tasks[[#Headers],[_Level]]:Tasks[[#This Row],[_Level]]=Tasks[[#This Row],[_Level]]-1),ROW(Tasks[[#Headers],[_Level]]:Tasks[[#This Row],[_Level]])),0))</f>
        <v>0</v>
      </c>
      <c r="BW169" s="38" t="n">
        <f aca="false">IFERROR(N(INDEX(Tasks[_Level],Tasks[[#This Row],[_Row]]+1)),0)</f>
        <v>0</v>
      </c>
      <c r="BX169" s="114" t="b">
        <f aca="false">AND(Tasks[[#This Row],[Task Name]]&lt;&gt;"",Tasks[[#This Row],[_NextLevel]]&gt;Tasks[[#This Row],[_Level]])</f>
        <v>0</v>
      </c>
      <c r="BY169" s="38" t="n">
        <f aca="false">IF(Tasks[[#This Row],[_IsSummary]],COUNTIF(Tasks[WBS],Tasks[[#This Row],[WBS]]&amp;".*"),0)</f>
        <v>0</v>
      </c>
      <c r="BZ169" s="38" t="n">
        <f aca="false">IF(AND(Tasks[[#This Row],[Task Name]]&lt;&gt;"",NOT(Tasks[[#This Row],[_IsSummary]])),1,0)</f>
        <v>0</v>
      </c>
      <c r="CA169" s="38" t="n">
        <f aca="false">IF(N(Tasks[[#This Row],[Pred1 UID]])=0,0,IFERROR(MATCH(Tasks[[#This Row],[Pred1 UID]],Tasks[UID],0),-1))</f>
        <v>0</v>
      </c>
      <c r="CB169" s="38" t="n">
        <f aca="false">IF(N(Tasks[[#This Row],[Pred2 UID]])=0,0,IFERROR(MATCH(Tasks[[#This Row],[Pred2 UID]],Tasks[UID],0),-1))</f>
        <v>0</v>
      </c>
      <c r="CC169" s="38" t="n">
        <f aca="false">IF(N(Tasks[[#This Row],[Pred3 UID]])=0,0,IFERROR(MATCH(Tasks[[#This Row],[Pred3 UID]],Tasks[UID],0),-1))</f>
        <v>0</v>
      </c>
      <c r="CD169" s="38" t="n">
        <f aca="false">IF(N(Tasks[[#This Row],[Pred4 UID]])=0,0,IFERROR(MATCH(Tasks[[#This Row],[Pred4 UID]],Tasks[UID],0),-1))</f>
        <v>0</v>
      </c>
      <c r="CE16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9" s="115" t="n">
        <f aca="false">IF(OR(Tasks[[#This Row],[_ConstraintCode]]=2,Tasks[[#This Row],[_ConstraintCode]]=3,Tasks[[#This Row],[_ConstraintCode]]=4,Tasks[[#This Row],[_ConstraintCode]]=6),Tasks[[#This Row],[_ConstraintStart]],0)</f>
        <v>0</v>
      </c>
      <c r="CH169" s="115" t="n">
        <f aca="false">IF(OR(Tasks[[#This Row],[_ConstraintCode]]=2,Tasks[[#This Row],[_ConstraintCode]]=3,Tasks[[#This Row],[_ConstraintCode]]=5,Tasks[[#This Row],[_ConstraintCode]]=7),Tasks[[#This Row],[_ConstraintStart]],2958465)</f>
        <v>2958465</v>
      </c>
      <c r="CI16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9" s="115" t="str">
        <f aca="false">IF(NOT(Tasks[[#This Row],[_IsLeaf]]=1),"",IF(N(Tasks[[#This Row],[Duration]])&lt;=0,Tasks[[#This Row],[_LeafCalcStart]],WORKDAY.INTL(Tasks[[#This Row],[_LeafCalcStart]],Tasks[[#This Row],[Duration]]-1,WorkWeek,Holidays)))</f>
        <v/>
      </c>
      <c r="CK16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9" s="38" t="n">
        <f aca="false">IF(NOT(Tasks[[#This Row],[_IsLeaf]]=1),0,IF(N(Tasks[[#This Row],[Actual Finish]])&gt;0,1,MIN(1,N(Tasks[[#This Row],[% Complete]]))))</f>
        <v>0</v>
      </c>
      <c r="CN169" s="38" t="n">
        <f aca="false">IF(OR(NOT(Tasks[[#This Row],[_IsLeaf]]=1),Tasks[[#This Row],[Resource]]=""),0,N(Tasks[[#This Row],[Duration]])*HoursPerDay*IF(Tasks[[#This Row],[Units]]="",DefaultUnits,Tasks[[#This Row],[Units]]))</f>
        <v>0</v>
      </c>
      <c r="CO169" s="38" t="n">
        <f aca="false">IF(Tasks[[#This Row],[_LeafWork]]=0,0,Tasks[[#This Row],[_LeafWork]]*IFERROR(INDEX(res_Rate,MATCH(Tasks[[#This Row],[Resource]],res_Name,0)),0))</f>
        <v>0</v>
      </c>
      <c r="CP169" s="38" t="n">
        <f aca="false">Tasks[[#This Row],[_LeafWork]]+IF(Tasks[[#This Row],[_IsLeaf]]=1,SUMIFS(asg_Work,asg_TaskUID,Tasks[[#This Row],[UID]],asg_Valid,1),0)</f>
        <v>0</v>
      </c>
      <c r="CQ169" s="38" t="n">
        <f aca="false">Tasks[[#This Row],[_LeafCost]]+IF(Tasks[[#This Row],[_IsLeaf]]=1,SUMIFS(asg_Cost,asg_TaskUID,Tasks[[#This Row],[UID]],asg_Valid,1),0)</f>
        <v>0</v>
      </c>
      <c r="CR169" s="38" t="n">
        <f aca="false">IF(Tasks[[#This Row],[_LeafTotalCost]]=0,Tasks[[#This Row],[_LeafAC]],Tasks[[#This Row],[_LeafAC]]*Tasks[[#This Row],[_LeafCost]]/Tasks[[#This Row],[_LeafTotalCost]])</f>
        <v>0</v>
      </c>
      <c r="CS16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9" s="38" t="n">
        <f aca="false">IF(NOT(Tasks[[#This Row],[_IsLeaf]]=1),0,MAX(_xlfn.MAXIFS(Tasks[_Row],Tasks[Pred1 UID],Tasks[[#This Row],[UID]]),_xlfn.MAXIFS(Tasks[_Row],Tasks[Pred2 UID],Tasks[[#This Row],[UID]]),_xlfn.MAXIFS(Tasks[_Row],Tasks[Pred3 UID],Tasks[[#This Row],[UID]]),_xlfn.MAXIFS(Tasks[_Row],Tasks[Pred4 UID],Tasks[[#This Row],[UID]])))</f>
        <v>0</v>
      </c>
      <c r="DB16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9" s="115" t="str">
        <f aca="false">IF(NOT(Tasks[[#This Row],[_IsLeaf]]=1),"",IF(N(Tasks[[#This Row],[Duration]])&lt;=0,Tasks[[#This Row],[_LeafLateFinish]],WORKDAY.INTL(Tasks[[#This Row],[_LeafLateFinish]],-(Tasks[[#This Row],[Duration]]-1),WorkWeek,Holidays)))</f>
        <v/>
      </c>
      <c r="DE16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9" s="114" t="b">
        <f aca="false">AND(Tasks[[#This Row],[_IsLeaf]]=1,Tasks[[#This Row],[_LeafProgress]]&lt;1,N(Tasks[[#This Row],[_LeafTotalSlack]])&lt;=CriticalSlackDays)</f>
        <v>0</v>
      </c>
      <c r="DG169" s="38" t="n">
        <f aca="false">IF(AND(Tasks[[#This Row],[_IsLeaf]]=1,Tasks[[#This Row],[_ConstraintCode]]=1,Tasks[[#This Row],[Mode]]&lt;&gt;"Manual",N(Tasks[[#This Row],[Actual Start]])=0),MAX(0,N(Tasks[[#This Row],[Free Slack]])),0)</f>
        <v>0</v>
      </c>
      <c r="DH169" s="115" t="str">
        <f aca="false">IF(NOT(Tasks[[#This Row],[_IsLeaf]]=1),"",IF(Tasks[[#This Row],[_AlapShift]]=0,Tasks[[#This Row],[_LeafCalcStart]],WORKDAY.INTL(Tasks[[#This Row],[_LeafCalcStart]],Tasks[[#This Row],[_AlapShift]],WorkWeek,Holidays)))</f>
        <v/>
      </c>
      <c r="DI169" s="115" t="str">
        <f aca="false">IF(NOT(Tasks[[#This Row],[_IsLeaf]]=1),"",IF(Tasks[[#This Row],[_AlapShift]]=0,Tasks[[#This Row],[_LeafCalcFinish]],WORKDAY.INTL(Tasks[[#This Row],[_LeafCalcFinish]],Tasks[[#This Row],[_AlapShift]],WorkWeek,Holidays)))</f>
        <v/>
      </c>
      <c r="DJ169" s="115" t="str">
        <f aca="false">IF(NOT(Tasks[[#This Row],[_IsLeaf]]=1),"",IF(Tasks[[#This Row],[_AlapShift]]=0,Tasks[[#This Row],[_LeafFcstStart]],WORKDAY.INTL(Tasks[[#This Row],[_LeafFcstStart]],Tasks[[#This Row],[_AlapShift]],WorkWeek,Holidays)))</f>
        <v/>
      </c>
      <c r="DK169" s="115" t="str">
        <f aca="false">IF(NOT(Tasks[[#This Row],[_IsLeaf]]=1),"",IF(Tasks[[#This Row],[_AlapShift]]=0,Tasks[[#This Row],[_LeafFcstFinish]],WORKDAY.INTL(Tasks[[#This Row],[_LeafFcstFinish]],Tasks[[#This Row],[_AlapShift]],WorkWeek,Holidays)))</f>
        <v/>
      </c>
      <c r="DL169" s="115" t="str">
        <f aca="false">IF(Tasks[[#This Row],[Task Name]]="","",IF(Tasks[[#This Row],[_IsSummary]],MIN(INDEX(Tasks[_ShownCalcStart],Tasks[[#This Row],[_Row]]+1):INDEX(Tasks[_ShownCalcStart],Tasks[[#This Row],[_Row]]+Tasks[[#This Row],[_Descendants]])),Tasks[[#This Row],[_ShownCalcStart]]))</f>
        <v/>
      </c>
      <c r="DM169" s="115" t="str">
        <f aca="false">IF(Tasks[[#This Row],[Task Name]]="","",IF(Tasks[[#This Row],[_IsSummary]],MAX(INDEX(Tasks[_ShownCalcFinish],Tasks[[#This Row],[_Row]]+1):INDEX(Tasks[_ShownCalcFinish],Tasks[[#This Row],[_Row]]+Tasks[[#This Row],[_Descendants]])),Tasks[[#This Row],[_ShownCalcFinish]]))</f>
        <v/>
      </c>
      <c r="DN16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9" s="38" t="n">
        <f aca="false">IF(AND(Tasks[[#This Row],[_IsLeaf]]=1,Tasks[[#This Row],[_LeafTotalWork]]&gt;0),NETWORKDAYS.INTL(ProjectStart,Tasks[[#This Row],[_ShownFcstStart]],WorkWeek,Holidays),0)</f>
        <v>0</v>
      </c>
      <c r="EA169" s="38" t="n">
        <f aca="false">IF(AND(Tasks[[#This Row],[_IsLeaf]]=1,Tasks[[#This Row],[_LeafTotalWork]]&gt;0),MAX(Tasks[[#This Row],[_StartWorkday]],NETWORKDAYS.INTL(ProjectStart,Tasks[[#This Row],[_ShownFcstFinish]],WorkWeek,Holidays)),0)</f>
        <v>0</v>
      </c>
      <c r="EB169" s="38" t="n">
        <f aca="false">IF(AND(Tasks[[#This Row],[_IsLeaf]]=1,Tasks[[#This Row],[_LeafTotalWork]]&gt;0),Tasks[[#This Row],[_LeafWork]]/(Tasks[[#This Row],[_FinishWorkday]]-Tasks[[#This Row],[_StartWorkday]]+1),0)</f>
        <v>0</v>
      </c>
      <c r="EC169" s="38" t="n">
        <f aca="false">Tasks[[#This Row],[_WorkPerWorkday]]*(Tasks[[#This Row],[_StartWorkday]]-1)</f>
        <v>-0</v>
      </c>
      <c r="ED169" s="38" t="n">
        <f aca="false">IF(Tasks[[#This Row],[_IsLeaf]]=1,MAX(N(Tasks[[#This Row],[Duration]]),0.1),0)</f>
        <v>0</v>
      </c>
      <c r="EE169" s="38" t="n">
        <f aca="false">Tasks[[#This Row],[_WeightDur]]*Tasks[[#This Row],[_LeafProgress]]</f>
        <v>0</v>
      </c>
      <c r="EF16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9" s="38" t="str">
        <f aca="false">IF(AND(Tasks[[#This Row],[_IsLeaf]]=1,N(Tasks[[#This Row],[Duration]])=0,Tasks[[#This Row],[_LeafProgress]]&lt;1),Tasks[[#This Row],[_ShownFcstFinish]]+Tasks[[#This Row],[_Row]]/100000,"")</f>
        <v/>
      </c>
      <c r="EH16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9" s="38" t="n">
        <f aca="false">IF(NOT(Tasks[[#This Row],[_IsLeaf]]=1),0,IF(Tasks[[#This Row],[Baseline Cost]]="",Tasks[[#This Row],[_LeafTotalCost]],N(Tasks[[#This Row],[Baseline Cost]])))</f>
        <v>0</v>
      </c>
      <c r="EJ169" s="38" t="n">
        <f aca="false">Tasks[[#This Row],[_LeafBudget]]*Tasks[[#This Row],[_PlannedPct]]</f>
        <v>0</v>
      </c>
      <c r="EK169" s="38" t="n">
        <f aca="false">Tasks[[#This Row],[_LeafBudget]]*Tasks[[#This Row],[_LeafProgress]]</f>
        <v>0</v>
      </c>
      <c r="EL169" s="38" t="n">
        <f aca="false">IF(NOT(Tasks[[#This Row],[_IsLeaf]]=1),0,IF(Tasks[[#This Row],[Actual Cost]]="",Tasks[[#This Row],[_LeafTotalCost]]*Tasks[[#This Row],[_LeafProgress]],N(Tasks[[#This Row],[Actual Cost]])))</f>
        <v>0</v>
      </c>
      <c r="EM169" s="38" t="str">
        <f aca="false">IF(Tasks[[#This Row],[Task Name]]="","",LEFT(Tasks[[#This Row],[WBS]],FIND(".",Tasks[[#This Row],[WBS]]&amp;".")-1))</f>
        <v/>
      </c>
      <c r="EN169" s="38" t="str">
        <f aca="false">IF(AND(Tasks[[#This Row],[Task Name]]&lt;&gt;"",Tasks[[#This Row],[_Level]]=1),Tasks[[#This Row],[_Row]],"")</f>
        <v/>
      </c>
      <c r="EO169" s="38" t="str">
        <f aca="false">IF(AND(Tasks[[#This Row],[_IsLeaf]]=1,N(Tasks[[#This Row],[Duration]])=0),Tasks[[#This Row],[Planned Finish]]+Tasks[[#This Row],[_Row]]/100000,"")</f>
        <v/>
      </c>
      <c r="EP169" s="38" t="str">
        <f aca="false">IF(AND(Tasks[[#This Row],[_IsLeaf]]=1,Tasks[[#This Row],[_LeafProgress]]&lt;1,OR(N(Tasks[[#This Row],[Finish Var]])&gt;0,Tasks[[#This Row],[Status]]="Late Start")),MAX(0,Tasks[[#This Row],[Finish Var]])+1-Tasks[[#This Row],[_Row]]/1000000,"")</f>
        <v/>
      </c>
      <c r="EQ169" s="38" t="str">
        <f aca="false">IF(AND(Tasks[[#This Row],[_IsLeaf]]=1,N(Tasks[[#This Row],[Actual Start]])=0,Tasks[[#This Row],[_ShownFcstStart]]&gt;=StatusDate,Tasks[[#This Row],[_ShownFcstStart]]&lt;=LookaheadEnd),Tasks[[#This Row],[_ShownFcstStart]]+Tasks[[#This Row],[_Row]]/100000,"")</f>
        <v/>
      </c>
      <c r="ER169" s="38" t="str">
        <f aca="false">IF(AND(Tasks[[#This Row],[_IsLeaf]]=1,Tasks[[#This Row],[_LeafProgress]]&lt;1,Tasks[[#This Row],[_ShownFcstFinish]]&gt;=StatusDate,Tasks[[#This Row],[_ShownFcstFinish]]&lt;=LookaheadEnd),Tasks[[#This Row],[_ShownFcstFinish]]+Tasks[[#This Row],[_Row]]/100000,"")</f>
        <v/>
      </c>
      <c r="ES169" s="38" t="str">
        <f aca="false">IF(Tasks[[#This Row],[_LeafCritical]],Tasks[[#This Row],[_ShownFcstStart]]+Tasks[[#This Row],[_Row]]/100000,"")</f>
        <v/>
      </c>
      <c r="ET169" s="38" t="n">
        <f aca="false">Tasks[[#This Row],[_LeafWork]]*Tasks[[#This Row],[_LeafProgress]]</f>
        <v>0</v>
      </c>
      <c r="EU169" s="115" t="str">
        <f aca="false">IF(AND(Tasks[[#This Row],[_IsLeaf]]=1,Tasks[[#This Row],[_LeafProgress]]&gt;=1),IF(N(Tasks[[#This Row],[Actual Finish]])&gt;0,Tasks[[#This Row],[Actual Finish]],Tasks[[#This Row],[_ShownFcstFinish]]),"")</f>
        <v/>
      </c>
      <c r="EV169" s="38" t="n">
        <f aca="false">IF(Tasks[[#This Row],[_IsLeaf]]=1,N(Tasks[[#This Row],[Story Points]]),0)</f>
        <v>0</v>
      </c>
      <c r="EW169" s="38" t="str">
        <f aca="false">IF(AND(Tasks[[#This Row],[_IsLeaf]]=1,CurrentSprint&lt;&gt;"",Tasks[[#This Row],[Sprint]]=CurrentSprint),Tasks[[#This Row],[_Row]],"")</f>
        <v/>
      </c>
    </row>
    <row r="170" customFormat="false" ht="15" hidden="false" customHeight="false" outlineLevel="0" collapsed="false">
      <c r="A170" s="51" t="str">
        <f aca="false">IF(Tasks[[#This Row],[Task Name]]="","",COUNTA(Tasks[[#Headers],[Task Name]]:Tasks[[#This Row],[Task Name]])-1)</f>
        <v/>
      </c>
      <c r="B170" s="52" t="n">
        <v>165</v>
      </c>
      <c r="C17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52"/>
      <c r="E170" s="53"/>
      <c r="F170" s="52"/>
      <c r="G170" s="52"/>
      <c r="H170" s="52"/>
      <c r="I170" s="52"/>
      <c r="J170" s="52"/>
      <c r="K170" s="52"/>
      <c r="L170" s="52"/>
      <c r="M170" s="52"/>
      <c r="N170" s="52"/>
      <c r="O170" s="52"/>
      <c r="P170" s="52"/>
      <c r="Q170" s="52"/>
      <c r="R170" s="52"/>
      <c r="S170" s="53"/>
      <c r="T170" s="102"/>
      <c r="U170" s="102"/>
      <c r="V170" s="7"/>
      <c r="W170" s="7"/>
      <c r="X170" s="53"/>
      <c r="Y170" s="31" t="str">
        <f aca="false">IF(Tasks[[#This Row],[Task Name]]="","",IF(Tasks[[#This Row],[_IsSummary]],MIN(INDEX(Tasks[_ShownFcstStart],Tasks[[#This Row],[_Row]]+1):INDEX(Tasks[_ShownFcstStart],Tasks[[#This Row],[_Row]]+Tasks[[#This Row],[_Descendants]])),Tasks[[#This Row],[_ShownFcstStart]]))</f>
        <v/>
      </c>
      <c r="Z170" s="31" t="str">
        <f aca="false">IF(Tasks[[#This Row],[Task Name]]="","",IF(Tasks[[#This Row],[_IsSummary]],MAX(INDEX(Tasks[_ShownFcstFinish],Tasks[[#This Row],[_Row]]+1):INDEX(Tasks[_ShownFcstFinish],Tasks[[#This Row],[_Row]]+Tasks[[#This Row],[_Descendants]])),Tasks[[#This Row],[_ShownFcstFinish]]))</f>
        <v/>
      </c>
      <c r="AA170" s="51" t="str">
        <f aca="false">IF(Tasks[[#This Row],[Task Name]]="","",IF(Tasks[[#This Row],[Progress]]&gt;=1,"Complete",IF(OR(N(Tasks[[#This Row],[Actual Start]])&gt;0,Tasks[[#This Row],[Progress]]&gt;0),IF(Tasks[[#This Row],[Finish Var]]&gt;0,"Behind","In Progress"),IF(Tasks[[#This Row],[Planned Start]]&lt;StatusDate,"Late Start","Not Started"))))</f>
        <v/>
      </c>
      <c r="AB170" s="51" t="str">
        <f aca="false">IF(Tasks[[#This Row],[Task Name]]="","",IF(IF(Tasks[[#This Row],[_IsSummary]],COUNTIF(INDEX(Tasks[_LeafCritical],Tasks[[#This Row],[_Row]]+1):INDEX(Tasks[_LeafCritical],Tasks[[#This Row],[_Row]]+Tasks[[#This Row],[_Descendants]]),TRUE())&gt;0,Tasks[[#This Row],[_LeafCritical]]),"Yes",""))</f>
        <v/>
      </c>
      <c r="AC17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0" s="51" t="str">
        <f aca="false">IF(Tasks[[#This Row],[Task Name]]="","",IF(Tasks[[#This Row],[_Level]]&lt;=OutlineShowLevel,"Yes","No"))</f>
        <v/>
      </c>
      <c r="AE170" s="7"/>
      <c r="AF170" s="52"/>
      <c r="AG170" s="53"/>
      <c r="AH170" s="7"/>
      <c r="AI17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0" s="31" t="str">
        <f aca="false">IF(Tasks[[#This Row],[Task Name]]="","",IF(N(Tasks[[#This Row],[Baseline Start]])&gt;0,Tasks[[#This Row],[Baseline Start]],Tasks[[#This Row],[_CalcStart]]))</f>
        <v/>
      </c>
      <c r="AK170" s="31" t="str">
        <f aca="false">IF(Tasks[[#This Row],[Task Name]]="","",IF(N(Tasks[[#This Row],[Baseline Finish]])&gt;0,Tasks[[#This Row],[Baseline Finish]],Tasks[[#This Row],[_CalcFinish]]))</f>
        <v/>
      </c>
      <c r="AL17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0" s="31" t="str">
        <f aca="false">IF(Tasks[[#This Row],[Task Name]]="","",IF(Tasks[[#This Row],[_IsSummary]],MIN(INDEX(Tasks[_LeafLateStart],Tasks[[#This Row],[_Row]]+1):INDEX(Tasks[_LeafLateStart],Tasks[[#This Row],[_Row]]+Tasks[[#This Row],[_Descendants]])),Tasks[[#This Row],[_LeafLateStart]]))</f>
        <v/>
      </c>
      <c r="AN170" s="31" t="str">
        <f aca="false">IF(Tasks[[#This Row],[Task Name]]="","",IF(Tasks[[#This Row],[_IsSummary]],MAX(INDEX(Tasks[_LeafLateFinish],Tasks[[#This Row],[_Row]]+1):INDEX(Tasks[_LeafLateFinish],Tasks[[#This Row],[_Row]]+Tasks[[#This Row],[_Descendants]])),Tasks[[#This Row],[_LeafLateFinish]]))</f>
        <v/>
      </c>
      <c r="AO170" s="51" t="str">
        <f aca="false">IF(Tasks[[#This Row],[Task Name]]="","",IF(Tasks[[#This Row],[_IsSummary]],MIN(INDEX(Tasks[_LeafTotalSlack],Tasks[[#This Row],[_Row]]+1):INDEX(Tasks[_LeafTotalSlack],Tasks[[#This Row],[_Row]]+Tasks[[#This Row],[_Descendants]])),Tasks[[#This Row],[_LeafTotalSlack]]))</f>
        <v/>
      </c>
      <c r="AP17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0" s="110" t="str">
        <f aca="false">IF(Tasks[[#This Row],[Task Name]]="","",IF(Tasks[[#This Row],[_IsSummary]],SUM(INDEX(Tasks[_LeafTotalWork],Tasks[[#This Row],[_Row]]+1):INDEX(Tasks[_LeafTotalWork],Tasks[[#This Row],[_Row]]+Tasks[[#This Row],[_Descendants]])),Tasks[[#This Row],[_LeafTotalWork]]))</f>
        <v/>
      </c>
      <c r="AV17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0" s="111" t="str">
        <f aca="false">IF(Tasks[[#This Row],[Task Name]]="","",IF(Tasks[[#This Row],[_IsSummary]],SUM(INDEX(Tasks[_LeafTotalCost],Tasks[[#This Row],[_Row]]+1):INDEX(Tasks[_LeafTotalCost],Tasks[[#This Row],[_Row]]+Tasks[[#This Row],[_Descendants]])),Tasks[[#This Row],[_LeafTotalCost]]))</f>
        <v/>
      </c>
      <c r="AY170" s="112"/>
      <c r="AZ17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0" s="52"/>
      <c r="BB170" s="98"/>
      <c r="BC170" s="51" t="str">
        <f aca="false">IF(OR(Tasks[[#This Row],[Task Name]]="",Tasks[[#This Row],[Baseline Duration]]=""),"",Tasks[[#This Row],[BL Source Duration]]-N(Tasks[[#This Row],[Baseline Duration]]))</f>
        <v/>
      </c>
      <c r="BD170" s="110" t="str">
        <f aca="false">IF(OR(Tasks[[#This Row],[Task Name]]="",Tasks[[#This Row],[Baseline Work]]=""),"",Tasks[[#This Row],[Work]]-N(Tasks[[#This Row],[Baseline Work]]))</f>
        <v/>
      </c>
      <c r="BE170" s="111" t="str">
        <f aca="false">IF(OR(Tasks[[#This Row],[Task Name]]="",Tasks[[#This Row],[Baseline Cost]]=""),"",Tasks[[#This Row],[Cost]]-N(Tasks[[#This Row],[Baseline Cost]]))</f>
        <v/>
      </c>
      <c r="BF170" s="31" t="str">
        <f aca="false">IF(Tasks[[#This Row],[Task Name]]="","",Tasks[[#This Row],[Forecast Start]])</f>
        <v/>
      </c>
      <c r="BG170" s="31" t="str">
        <f aca="false">IF(Tasks[[#This Row],[Task Name]]="","",Tasks[[#This Row],[Forecast Finish]])</f>
        <v/>
      </c>
      <c r="BH170" s="51" t="str">
        <f aca="false">IF(Tasks[[#This Row],[Task Name]]="","",IF(Tasks[[#This Row],[_IsSummary]],NETWORKDAYS.INTL(Tasks[[#This Row],[Forecast Start]],Tasks[[#This Row],[Forecast Finish]],WorkWeek,Holidays),N(Tasks[[#This Row],[Duration]])))</f>
        <v/>
      </c>
      <c r="BI170" s="110" t="str">
        <f aca="false">IF(Tasks[[#This Row],[Task Name]]="","",Tasks[[#This Row],[Work]])</f>
        <v/>
      </c>
      <c r="BJ170" s="111" t="str">
        <f aca="false">IF(Tasks[[#This Row],[Task Name]]="","",Tasks[[#This Row],[Cost]])</f>
        <v/>
      </c>
      <c r="BK170" s="7"/>
      <c r="BL170" s="7"/>
      <c r="BM170" s="52"/>
      <c r="BN170" s="113"/>
      <c r="BO170" s="112"/>
      <c r="BP170" s="111" t="str">
        <f aca="false">IF(Tasks[[#This Row],[Task Name]]="","",IF(Tasks[[#This Row],[_IsSummary]],SUM(INDEX(Tasks[_LeafEV],Tasks[[#This Row],[_Row]]+1):INDEX(Tasks[_LeafEV],Tasks[[#This Row],[_Row]]+Tasks[[#This Row],[_Descendants]])),Tasks[[#This Row],[_LeafEV]]))</f>
        <v/>
      </c>
      <c r="BQ170" s="111" t="str">
        <f aca="false">IF(Tasks[[#This Row],[Task Name]]="","",IF(Tasks[[#This Row],[_IsSummary]],SUM(INDEX(Tasks[_LeafBudget],Tasks[[#This Row],[_Row]]+1):INDEX(Tasks[_LeafBudget],Tasks[[#This Row],[_Row]]+Tasks[[#This Row],[_Descendants]])),Tasks[[#This Row],[_LeafBudget]]))</f>
        <v/>
      </c>
      <c r="BR170" s="111" t="str">
        <f aca="false">IF(Tasks[[#This Row],[Task Name]]="","",IF(Tasks[[#This Row],[_IsSummary]],SUM(INDEX(Tasks[_LeafPV],Tasks[[#This Row],[_Row]]+1):INDEX(Tasks[_LeafPV],Tasks[[#This Row],[_Row]]+Tasks[[#This Row],[_Descendants]])),Tasks[[#This Row],[_LeafPV]]))</f>
        <v/>
      </c>
      <c r="BS170" s="111" t="str">
        <f aca="false">IF(Tasks[[#This Row],[Task Name]]="","",IF(Tasks[[#This Row],[_IsSummary]],SUM(INDEX(Tasks[_LeafAC],Tasks[[#This Row],[_Row]]+1):INDEX(Tasks[_LeafAC],Tasks[[#This Row],[_Row]]+Tasks[[#This Row],[_Descendants]])),Tasks[[#This Row],[_LeafAC]]))</f>
        <v/>
      </c>
      <c r="BT170" s="38" t="str">
        <f aca="false">IF(Tasks[[#This Row],[Task Name]]="","",MAX(1,N(Tasks[[#This Row],[Level]])))</f>
        <v/>
      </c>
      <c r="BU170" s="38" t="n">
        <f aca="false">ROW()-ROW(Tasks[[#Headers],[ID]])</f>
        <v>165</v>
      </c>
      <c r="BV170" s="38" t="n">
        <f aca="false">IF(OR(Tasks[[#This Row],[Task Name]]="",Tasks[[#This Row],[_Level]]&lt;=1),0,IFERROR(LOOKUP(2,1/(Tasks[[#Headers],[_Level]]:Tasks[[#This Row],[_Level]]=Tasks[[#This Row],[_Level]]-1),ROW(Tasks[[#Headers],[_Level]]:Tasks[[#This Row],[_Level]])),0))</f>
        <v>0</v>
      </c>
      <c r="BW170" s="38" t="n">
        <f aca="false">IFERROR(N(INDEX(Tasks[_Level],Tasks[[#This Row],[_Row]]+1)),0)</f>
        <v>0</v>
      </c>
      <c r="BX170" s="114" t="b">
        <f aca="false">AND(Tasks[[#This Row],[Task Name]]&lt;&gt;"",Tasks[[#This Row],[_NextLevel]]&gt;Tasks[[#This Row],[_Level]])</f>
        <v>0</v>
      </c>
      <c r="BY170" s="38" t="n">
        <f aca="false">IF(Tasks[[#This Row],[_IsSummary]],COUNTIF(Tasks[WBS],Tasks[[#This Row],[WBS]]&amp;".*"),0)</f>
        <v>0</v>
      </c>
      <c r="BZ170" s="38" t="n">
        <f aca="false">IF(AND(Tasks[[#This Row],[Task Name]]&lt;&gt;"",NOT(Tasks[[#This Row],[_IsSummary]])),1,0)</f>
        <v>0</v>
      </c>
      <c r="CA170" s="38" t="n">
        <f aca="false">IF(N(Tasks[[#This Row],[Pred1 UID]])=0,0,IFERROR(MATCH(Tasks[[#This Row],[Pred1 UID]],Tasks[UID],0),-1))</f>
        <v>0</v>
      </c>
      <c r="CB170" s="38" t="n">
        <f aca="false">IF(N(Tasks[[#This Row],[Pred2 UID]])=0,0,IFERROR(MATCH(Tasks[[#This Row],[Pred2 UID]],Tasks[UID],0),-1))</f>
        <v>0</v>
      </c>
      <c r="CC170" s="38" t="n">
        <f aca="false">IF(N(Tasks[[#This Row],[Pred3 UID]])=0,0,IFERROR(MATCH(Tasks[[#This Row],[Pred3 UID]],Tasks[UID],0),-1))</f>
        <v>0</v>
      </c>
      <c r="CD170" s="38" t="n">
        <f aca="false">IF(N(Tasks[[#This Row],[Pred4 UID]])=0,0,IFERROR(MATCH(Tasks[[#This Row],[Pred4 UID]],Tasks[UID],0),-1))</f>
        <v>0</v>
      </c>
      <c r="CE17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0" s="115" t="n">
        <f aca="false">IF(OR(Tasks[[#This Row],[_ConstraintCode]]=2,Tasks[[#This Row],[_ConstraintCode]]=3,Tasks[[#This Row],[_ConstraintCode]]=4,Tasks[[#This Row],[_ConstraintCode]]=6),Tasks[[#This Row],[_ConstraintStart]],0)</f>
        <v>0</v>
      </c>
      <c r="CH170" s="115" t="n">
        <f aca="false">IF(OR(Tasks[[#This Row],[_ConstraintCode]]=2,Tasks[[#This Row],[_ConstraintCode]]=3,Tasks[[#This Row],[_ConstraintCode]]=5,Tasks[[#This Row],[_ConstraintCode]]=7),Tasks[[#This Row],[_ConstraintStart]],2958465)</f>
        <v>2958465</v>
      </c>
      <c r="CI17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0" s="115" t="str">
        <f aca="false">IF(NOT(Tasks[[#This Row],[_IsLeaf]]=1),"",IF(N(Tasks[[#This Row],[Duration]])&lt;=0,Tasks[[#This Row],[_LeafCalcStart]],WORKDAY.INTL(Tasks[[#This Row],[_LeafCalcStart]],Tasks[[#This Row],[Duration]]-1,WorkWeek,Holidays)))</f>
        <v/>
      </c>
      <c r="CK17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0" s="38" t="n">
        <f aca="false">IF(NOT(Tasks[[#This Row],[_IsLeaf]]=1),0,IF(N(Tasks[[#This Row],[Actual Finish]])&gt;0,1,MIN(1,N(Tasks[[#This Row],[% Complete]]))))</f>
        <v>0</v>
      </c>
      <c r="CN170" s="38" t="n">
        <f aca="false">IF(OR(NOT(Tasks[[#This Row],[_IsLeaf]]=1),Tasks[[#This Row],[Resource]]=""),0,N(Tasks[[#This Row],[Duration]])*HoursPerDay*IF(Tasks[[#This Row],[Units]]="",DefaultUnits,Tasks[[#This Row],[Units]]))</f>
        <v>0</v>
      </c>
      <c r="CO170" s="38" t="n">
        <f aca="false">IF(Tasks[[#This Row],[_LeafWork]]=0,0,Tasks[[#This Row],[_LeafWork]]*IFERROR(INDEX(res_Rate,MATCH(Tasks[[#This Row],[Resource]],res_Name,0)),0))</f>
        <v>0</v>
      </c>
      <c r="CP170" s="38" t="n">
        <f aca="false">Tasks[[#This Row],[_LeafWork]]+IF(Tasks[[#This Row],[_IsLeaf]]=1,SUMIFS(asg_Work,asg_TaskUID,Tasks[[#This Row],[UID]],asg_Valid,1),0)</f>
        <v>0</v>
      </c>
      <c r="CQ170" s="38" t="n">
        <f aca="false">Tasks[[#This Row],[_LeafCost]]+IF(Tasks[[#This Row],[_IsLeaf]]=1,SUMIFS(asg_Cost,asg_TaskUID,Tasks[[#This Row],[UID]],asg_Valid,1),0)</f>
        <v>0</v>
      </c>
      <c r="CR170" s="38" t="n">
        <f aca="false">IF(Tasks[[#This Row],[_LeafTotalCost]]=0,Tasks[[#This Row],[_LeafAC]],Tasks[[#This Row],[_LeafAC]]*Tasks[[#This Row],[_LeafCost]]/Tasks[[#This Row],[_LeafTotalCost]])</f>
        <v>0</v>
      </c>
      <c r="CS17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0" s="38" t="n">
        <f aca="false">IF(NOT(Tasks[[#This Row],[_IsLeaf]]=1),0,MAX(_xlfn.MAXIFS(Tasks[_Row],Tasks[Pred1 UID],Tasks[[#This Row],[UID]]),_xlfn.MAXIFS(Tasks[_Row],Tasks[Pred2 UID],Tasks[[#This Row],[UID]]),_xlfn.MAXIFS(Tasks[_Row],Tasks[Pred3 UID],Tasks[[#This Row],[UID]]),_xlfn.MAXIFS(Tasks[_Row],Tasks[Pred4 UID],Tasks[[#This Row],[UID]])))</f>
        <v>0</v>
      </c>
      <c r="DB17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0" s="115" t="str">
        <f aca="false">IF(NOT(Tasks[[#This Row],[_IsLeaf]]=1),"",IF(N(Tasks[[#This Row],[Duration]])&lt;=0,Tasks[[#This Row],[_LeafLateFinish]],WORKDAY.INTL(Tasks[[#This Row],[_LeafLateFinish]],-(Tasks[[#This Row],[Duration]]-1),WorkWeek,Holidays)))</f>
        <v/>
      </c>
      <c r="DE17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0" s="114" t="b">
        <f aca="false">AND(Tasks[[#This Row],[_IsLeaf]]=1,Tasks[[#This Row],[_LeafProgress]]&lt;1,N(Tasks[[#This Row],[_LeafTotalSlack]])&lt;=CriticalSlackDays)</f>
        <v>0</v>
      </c>
      <c r="DG170" s="38" t="n">
        <f aca="false">IF(AND(Tasks[[#This Row],[_IsLeaf]]=1,Tasks[[#This Row],[_ConstraintCode]]=1,Tasks[[#This Row],[Mode]]&lt;&gt;"Manual",N(Tasks[[#This Row],[Actual Start]])=0),MAX(0,N(Tasks[[#This Row],[Free Slack]])),0)</f>
        <v>0</v>
      </c>
      <c r="DH170" s="115" t="str">
        <f aca="false">IF(NOT(Tasks[[#This Row],[_IsLeaf]]=1),"",IF(Tasks[[#This Row],[_AlapShift]]=0,Tasks[[#This Row],[_LeafCalcStart]],WORKDAY.INTL(Tasks[[#This Row],[_LeafCalcStart]],Tasks[[#This Row],[_AlapShift]],WorkWeek,Holidays)))</f>
        <v/>
      </c>
      <c r="DI170" s="115" t="str">
        <f aca="false">IF(NOT(Tasks[[#This Row],[_IsLeaf]]=1),"",IF(Tasks[[#This Row],[_AlapShift]]=0,Tasks[[#This Row],[_LeafCalcFinish]],WORKDAY.INTL(Tasks[[#This Row],[_LeafCalcFinish]],Tasks[[#This Row],[_AlapShift]],WorkWeek,Holidays)))</f>
        <v/>
      </c>
      <c r="DJ170" s="115" t="str">
        <f aca="false">IF(NOT(Tasks[[#This Row],[_IsLeaf]]=1),"",IF(Tasks[[#This Row],[_AlapShift]]=0,Tasks[[#This Row],[_LeafFcstStart]],WORKDAY.INTL(Tasks[[#This Row],[_LeafFcstStart]],Tasks[[#This Row],[_AlapShift]],WorkWeek,Holidays)))</f>
        <v/>
      </c>
      <c r="DK170" s="115" t="str">
        <f aca="false">IF(NOT(Tasks[[#This Row],[_IsLeaf]]=1),"",IF(Tasks[[#This Row],[_AlapShift]]=0,Tasks[[#This Row],[_LeafFcstFinish]],WORKDAY.INTL(Tasks[[#This Row],[_LeafFcstFinish]],Tasks[[#This Row],[_AlapShift]],WorkWeek,Holidays)))</f>
        <v/>
      </c>
      <c r="DL170" s="115" t="str">
        <f aca="false">IF(Tasks[[#This Row],[Task Name]]="","",IF(Tasks[[#This Row],[_IsSummary]],MIN(INDEX(Tasks[_ShownCalcStart],Tasks[[#This Row],[_Row]]+1):INDEX(Tasks[_ShownCalcStart],Tasks[[#This Row],[_Row]]+Tasks[[#This Row],[_Descendants]])),Tasks[[#This Row],[_ShownCalcStart]]))</f>
        <v/>
      </c>
      <c r="DM170" s="115" t="str">
        <f aca="false">IF(Tasks[[#This Row],[Task Name]]="","",IF(Tasks[[#This Row],[_IsSummary]],MAX(INDEX(Tasks[_ShownCalcFinish],Tasks[[#This Row],[_Row]]+1):INDEX(Tasks[_ShownCalcFinish],Tasks[[#This Row],[_Row]]+Tasks[[#This Row],[_Descendants]])),Tasks[[#This Row],[_ShownCalcFinish]]))</f>
        <v/>
      </c>
      <c r="DN17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0" s="38" t="n">
        <f aca="false">IF(AND(Tasks[[#This Row],[_IsLeaf]]=1,Tasks[[#This Row],[_LeafTotalWork]]&gt;0),NETWORKDAYS.INTL(ProjectStart,Tasks[[#This Row],[_ShownFcstStart]],WorkWeek,Holidays),0)</f>
        <v>0</v>
      </c>
      <c r="EA170" s="38" t="n">
        <f aca="false">IF(AND(Tasks[[#This Row],[_IsLeaf]]=1,Tasks[[#This Row],[_LeafTotalWork]]&gt;0),MAX(Tasks[[#This Row],[_StartWorkday]],NETWORKDAYS.INTL(ProjectStart,Tasks[[#This Row],[_ShownFcstFinish]],WorkWeek,Holidays)),0)</f>
        <v>0</v>
      </c>
      <c r="EB170" s="38" t="n">
        <f aca="false">IF(AND(Tasks[[#This Row],[_IsLeaf]]=1,Tasks[[#This Row],[_LeafTotalWork]]&gt;0),Tasks[[#This Row],[_LeafWork]]/(Tasks[[#This Row],[_FinishWorkday]]-Tasks[[#This Row],[_StartWorkday]]+1),0)</f>
        <v>0</v>
      </c>
      <c r="EC170" s="38" t="n">
        <f aca="false">Tasks[[#This Row],[_WorkPerWorkday]]*(Tasks[[#This Row],[_StartWorkday]]-1)</f>
        <v>-0</v>
      </c>
      <c r="ED170" s="38" t="n">
        <f aca="false">IF(Tasks[[#This Row],[_IsLeaf]]=1,MAX(N(Tasks[[#This Row],[Duration]]),0.1),0)</f>
        <v>0</v>
      </c>
      <c r="EE170" s="38" t="n">
        <f aca="false">Tasks[[#This Row],[_WeightDur]]*Tasks[[#This Row],[_LeafProgress]]</f>
        <v>0</v>
      </c>
      <c r="EF17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0" s="38" t="str">
        <f aca="false">IF(AND(Tasks[[#This Row],[_IsLeaf]]=1,N(Tasks[[#This Row],[Duration]])=0,Tasks[[#This Row],[_LeafProgress]]&lt;1),Tasks[[#This Row],[_ShownFcstFinish]]+Tasks[[#This Row],[_Row]]/100000,"")</f>
        <v/>
      </c>
      <c r="EH17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0" s="38" t="n">
        <f aca="false">IF(NOT(Tasks[[#This Row],[_IsLeaf]]=1),0,IF(Tasks[[#This Row],[Baseline Cost]]="",Tasks[[#This Row],[_LeafTotalCost]],N(Tasks[[#This Row],[Baseline Cost]])))</f>
        <v>0</v>
      </c>
      <c r="EJ170" s="38" t="n">
        <f aca="false">Tasks[[#This Row],[_LeafBudget]]*Tasks[[#This Row],[_PlannedPct]]</f>
        <v>0</v>
      </c>
      <c r="EK170" s="38" t="n">
        <f aca="false">Tasks[[#This Row],[_LeafBudget]]*Tasks[[#This Row],[_LeafProgress]]</f>
        <v>0</v>
      </c>
      <c r="EL170" s="38" t="n">
        <f aca="false">IF(NOT(Tasks[[#This Row],[_IsLeaf]]=1),0,IF(Tasks[[#This Row],[Actual Cost]]="",Tasks[[#This Row],[_LeafTotalCost]]*Tasks[[#This Row],[_LeafProgress]],N(Tasks[[#This Row],[Actual Cost]])))</f>
        <v>0</v>
      </c>
      <c r="EM170" s="38" t="str">
        <f aca="false">IF(Tasks[[#This Row],[Task Name]]="","",LEFT(Tasks[[#This Row],[WBS]],FIND(".",Tasks[[#This Row],[WBS]]&amp;".")-1))</f>
        <v/>
      </c>
      <c r="EN170" s="38" t="str">
        <f aca="false">IF(AND(Tasks[[#This Row],[Task Name]]&lt;&gt;"",Tasks[[#This Row],[_Level]]=1),Tasks[[#This Row],[_Row]],"")</f>
        <v/>
      </c>
      <c r="EO170" s="38" t="str">
        <f aca="false">IF(AND(Tasks[[#This Row],[_IsLeaf]]=1,N(Tasks[[#This Row],[Duration]])=0),Tasks[[#This Row],[Planned Finish]]+Tasks[[#This Row],[_Row]]/100000,"")</f>
        <v/>
      </c>
      <c r="EP170" s="38" t="str">
        <f aca="false">IF(AND(Tasks[[#This Row],[_IsLeaf]]=1,Tasks[[#This Row],[_LeafProgress]]&lt;1,OR(N(Tasks[[#This Row],[Finish Var]])&gt;0,Tasks[[#This Row],[Status]]="Late Start")),MAX(0,Tasks[[#This Row],[Finish Var]])+1-Tasks[[#This Row],[_Row]]/1000000,"")</f>
        <v/>
      </c>
      <c r="EQ170" s="38" t="str">
        <f aca="false">IF(AND(Tasks[[#This Row],[_IsLeaf]]=1,N(Tasks[[#This Row],[Actual Start]])=0,Tasks[[#This Row],[_ShownFcstStart]]&gt;=StatusDate,Tasks[[#This Row],[_ShownFcstStart]]&lt;=LookaheadEnd),Tasks[[#This Row],[_ShownFcstStart]]+Tasks[[#This Row],[_Row]]/100000,"")</f>
        <v/>
      </c>
      <c r="ER170" s="38" t="str">
        <f aca="false">IF(AND(Tasks[[#This Row],[_IsLeaf]]=1,Tasks[[#This Row],[_LeafProgress]]&lt;1,Tasks[[#This Row],[_ShownFcstFinish]]&gt;=StatusDate,Tasks[[#This Row],[_ShownFcstFinish]]&lt;=LookaheadEnd),Tasks[[#This Row],[_ShownFcstFinish]]+Tasks[[#This Row],[_Row]]/100000,"")</f>
        <v/>
      </c>
      <c r="ES170" s="38" t="str">
        <f aca="false">IF(Tasks[[#This Row],[_LeafCritical]],Tasks[[#This Row],[_ShownFcstStart]]+Tasks[[#This Row],[_Row]]/100000,"")</f>
        <v/>
      </c>
      <c r="ET170" s="38" t="n">
        <f aca="false">Tasks[[#This Row],[_LeafWork]]*Tasks[[#This Row],[_LeafProgress]]</f>
        <v>0</v>
      </c>
      <c r="EU170" s="115" t="str">
        <f aca="false">IF(AND(Tasks[[#This Row],[_IsLeaf]]=1,Tasks[[#This Row],[_LeafProgress]]&gt;=1),IF(N(Tasks[[#This Row],[Actual Finish]])&gt;0,Tasks[[#This Row],[Actual Finish]],Tasks[[#This Row],[_ShownFcstFinish]]),"")</f>
        <v/>
      </c>
      <c r="EV170" s="38" t="n">
        <f aca="false">IF(Tasks[[#This Row],[_IsLeaf]]=1,N(Tasks[[#This Row],[Story Points]]),0)</f>
        <v>0</v>
      </c>
      <c r="EW170" s="38" t="str">
        <f aca="false">IF(AND(Tasks[[#This Row],[_IsLeaf]]=1,CurrentSprint&lt;&gt;"",Tasks[[#This Row],[Sprint]]=CurrentSprint),Tasks[[#This Row],[_Row]],"")</f>
        <v/>
      </c>
    </row>
    <row r="171" customFormat="false" ht="15" hidden="false" customHeight="false" outlineLevel="0" collapsed="false">
      <c r="A171" s="51" t="str">
        <f aca="false">IF(Tasks[[#This Row],[Task Name]]="","",COUNTA(Tasks[[#Headers],[Task Name]]:Tasks[[#This Row],[Task Name]])-1)</f>
        <v/>
      </c>
      <c r="B171" s="52" t="n">
        <v>166</v>
      </c>
      <c r="C17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52"/>
      <c r="E171" s="53"/>
      <c r="F171" s="52"/>
      <c r="G171" s="52"/>
      <c r="H171" s="52"/>
      <c r="I171" s="52"/>
      <c r="J171" s="52"/>
      <c r="K171" s="52"/>
      <c r="L171" s="52"/>
      <c r="M171" s="52"/>
      <c r="N171" s="52"/>
      <c r="O171" s="52"/>
      <c r="P171" s="52"/>
      <c r="Q171" s="52"/>
      <c r="R171" s="52"/>
      <c r="S171" s="53"/>
      <c r="T171" s="102"/>
      <c r="U171" s="102"/>
      <c r="V171" s="7"/>
      <c r="W171" s="7"/>
      <c r="X171" s="53"/>
      <c r="Y171" s="31" t="str">
        <f aca="false">IF(Tasks[[#This Row],[Task Name]]="","",IF(Tasks[[#This Row],[_IsSummary]],MIN(INDEX(Tasks[_ShownFcstStart],Tasks[[#This Row],[_Row]]+1):INDEX(Tasks[_ShownFcstStart],Tasks[[#This Row],[_Row]]+Tasks[[#This Row],[_Descendants]])),Tasks[[#This Row],[_ShownFcstStart]]))</f>
        <v/>
      </c>
      <c r="Z171" s="31" t="str">
        <f aca="false">IF(Tasks[[#This Row],[Task Name]]="","",IF(Tasks[[#This Row],[_IsSummary]],MAX(INDEX(Tasks[_ShownFcstFinish],Tasks[[#This Row],[_Row]]+1):INDEX(Tasks[_ShownFcstFinish],Tasks[[#This Row],[_Row]]+Tasks[[#This Row],[_Descendants]])),Tasks[[#This Row],[_ShownFcstFinish]]))</f>
        <v/>
      </c>
      <c r="AA171" s="51" t="str">
        <f aca="false">IF(Tasks[[#This Row],[Task Name]]="","",IF(Tasks[[#This Row],[Progress]]&gt;=1,"Complete",IF(OR(N(Tasks[[#This Row],[Actual Start]])&gt;0,Tasks[[#This Row],[Progress]]&gt;0),IF(Tasks[[#This Row],[Finish Var]]&gt;0,"Behind","In Progress"),IF(Tasks[[#This Row],[Planned Start]]&lt;StatusDate,"Late Start","Not Started"))))</f>
        <v/>
      </c>
      <c r="AB171" s="51" t="str">
        <f aca="false">IF(Tasks[[#This Row],[Task Name]]="","",IF(IF(Tasks[[#This Row],[_IsSummary]],COUNTIF(INDEX(Tasks[_LeafCritical],Tasks[[#This Row],[_Row]]+1):INDEX(Tasks[_LeafCritical],Tasks[[#This Row],[_Row]]+Tasks[[#This Row],[_Descendants]]),TRUE())&gt;0,Tasks[[#This Row],[_LeafCritical]]),"Yes",""))</f>
        <v/>
      </c>
      <c r="AC17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1" s="51" t="str">
        <f aca="false">IF(Tasks[[#This Row],[Task Name]]="","",IF(Tasks[[#This Row],[_Level]]&lt;=OutlineShowLevel,"Yes","No"))</f>
        <v/>
      </c>
      <c r="AE171" s="7"/>
      <c r="AF171" s="52"/>
      <c r="AG171" s="53"/>
      <c r="AH171" s="7"/>
      <c r="AI17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1" s="31" t="str">
        <f aca="false">IF(Tasks[[#This Row],[Task Name]]="","",IF(N(Tasks[[#This Row],[Baseline Start]])&gt;0,Tasks[[#This Row],[Baseline Start]],Tasks[[#This Row],[_CalcStart]]))</f>
        <v/>
      </c>
      <c r="AK171" s="31" t="str">
        <f aca="false">IF(Tasks[[#This Row],[Task Name]]="","",IF(N(Tasks[[#This Row],[Baseline Finish]])&gt;0,Tasks[[#This Row],[Baseline Finish]],Tasks[[#This Row],[_CalcFinish]]))</f>
        <v/>
      </c>
      <c r="AL17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1" s="31" t="str">
        <f aca="false">IF(Tasks[[#This Row],[Task Name]]="","",IF(Tasks[[#This Row],[_IsSummary]],MIN(INDEX(Tasks[_LeafLateStart],Tasks[[#This Row],[_Row]]+1):INDEX(Tasks[_LeafLateStart],Tasks[[#This Row],[_Row]]+Tasks[[#This Row],[_Descendants]])),Tasks[[#This Row],[_LeafLateStart]]))</f>
        <v/>
      </c>
      <c r="AN171" s="31" t="str">
        <f aca="false">IF(Tasks[[#This Row],[Task Name]]="","",IF(Tasks[[#This Row],[_IsSummary]],MAX(INDEX(Tasks[_LeafLateFinish],Tasks[[#This Row],[_Row]]+1):INDEX(Tasks[_LeafLateFinish],Tasks[[#This Row],[_Row]]+Tasks[[#This Row],[_Descendants]])),Tasks[[#This Row],[_LeafLateFinish]]))</f>
        <v/>
      </c>
      <c r="AO171" s="51" t="str">
        <f aca="false">IF(Tasks[[#This Row],[Task Name]]="","",IF(Tasks[[#This Row],[_IsSummary]],MIN(INDEX(Tasks[_LeafTotalSlack],Tasks[[#This Row],[_Row]]+1):INDEX(Tasks[_LeafTotalSlack],Tasks[[#This Row],[_Row]]+Tasks[[#This Row],[_Descendants]])),Tasks[[#This Row],[_LeafTotalSlack]]))</f>
        <v/>
      </c>
      <c r="AP17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1" s="110" t="str">
        <f aca="false">IF(Tasks[[#This Row],[Task Name]]="","",IF(Tasks[[#This Row],[_IsSummary]],SUM(INDEX(Tasks[_LeafTotalWork],Tasks[[#This Row],[_Row]]+1):INDEX(Tasks[_LeafTotalWork],Tasks[[#This Row],[_Row]]+Tasks[[#This Row],[_Descendants]])),Tasks[[#This Row],[_LeafTotalWork]]))</f>
        <v/>
      </c>
      <c r="AV17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1" s="111" t="str">
        <f aca="false">IF(Tasks[[#This Row],[Task Name]]="","",IF(Tasks[[#This Row],[_IsSummary]],SUM(INDEX(Tasks[_LeafTotalCost],Tasks[[#This Row],[_Row]]+1):INDEX(Tasks[_LeafTotalCost],Tasks[[#This Row],[_Row]]+Tasks[[#This Row],[_Descendants]])),Tasks[[#This Row],[_LeafTotalCost]]))</f>
        <v/>
      </c>
      <c r="AY171" s="112"/>
      <c r="AZ17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1" s="52"/>
      <c r="BB171" s="98"/>
      <c r="BC171" s="51" t="str">
        <f aca="false">IF(OR(Tasks[[#This Row],[Task Name]]="",Tasks[[#This Row],[Baseline Duration]]=""),"",Tasks[[#This Row],[BL Source Duration]]-N(Tasks[[#This Row],[Baseline Duration]]))</f>
        <v/>
      </c>
      <c r="BD171" s="110" t="str">
        <f aca="false">IF(OR(Tasks[[#This Row],[Task Name]]="",Tasks[[#This Row],[Baseline Work]]=""),"",Tasks[[#This Row],[Work]]-N(Tasks[[#This Row],[Baseline Work]]))</f>
        <v/>
      </c>
      <c r="BE171" s="111" t="str">
        <f aca="false">IF(OR(Tasks[[#This Row],[Task Name]]="",Tasks[[#This Row],[Baseline Cost]]=""),"",Tasks[[#This Row],[Cost]]-N(Tasks[[#This Row],[Baseline Cost]]))</f>
        <v/>
      </c>
      <c r="BF171" s="31" t="str">
        <f aca="false">IF(Tasks[[#This Row],[Task Name]]="","",Tasks[[#This Row],[Forecast Start]])</f>
        <v/>
      </c>
      <c r="BG171" s="31" t="str">
        <f aca="false">IF(Tasks[[#This Row],[Task Name]]="","",Tasks[[#This Row],[Forecast Finish]])</f>
        <v/>
      </c>
      <c r="BH171" s="51" t="str">
        <f aca="false">IF(Tasks[[#This Row],[Task Name]]="","",IF(Tasks[[#This Row],[_IsSummary]],NETWORKDAYS.INTL(Tasks[[#This Row],[Forecast Start]],Tasks[[#This Row],[Forecast Finish]],WorkWeek,Holidays),N(Tasks[[#This Row],[Duration]])))</f>
        <v/>
      </c>
      <c r="BI171" s="110" t="str">
        <f aca="false">IF(Tasks[[#This Row],[Task Name]]="","",Tasks[[#This Row],[Work]])</f>
        <v/>
      </c>
      <c r="BJ171" s="111" t="str">
        <f aca="false">IF(Tasks[[#This Row],[Task Name]]="","",Tasks[[#This Row],[Cost]])</f>
        <v/>
      </c>
      <c r="BK171" s="7"/>
      <c r="BL171" s="7"/>
      <c r="BM171" s="52"/>
      <c r="BN171" s="113"/>
      <c r="BO171" s="112"/>
      <c r="BP171" s="111" t="str">
        <f aca="false">IF(Tasks[[#This Row],[Task Name]]="","",IF(Tasks[[#This Row],[_IsSummary]],SUM(INDEX(Tasks[_LeafEV],Tasks[[#This Row],[_Row]]+1):INDEX(Tasks[_LeafEV],Tasks[[#This Row],[_Row]]+Tasks[[#This Row],[_Descendants]])),Tasks[[#This Row],[_LeafEV]]))</f>
        <v/>
      </c>
      <c r="BQ171" s="111" t="str">
        <f aca="false">IF(Tasks[[#This Row],[Task Name]]="","",IF(Tasks[[#This Row],[_IsSummary]],SUM(INDEX(Tasks[_LeafBudget],Tasks[[#This Row],[_Row]]+1):INDEX(Tasks[_LeafBudget],Tasks[[#This Row],[_Row]]+Tasks[[#This Row],[_Descendants]])),Tasks[[#This Row],[_LeafBudget]]))</f>
        <v/>
      </c>
      <c r="BR171" s="111" t="str">
        <f aca="false">IF(Tasks[[#This Row],[Task Name]]="","",IF(Tasks[[#This Row],[_IsSummary]],SUM(INDEX(Tasks[_LeafPV],Tasks[[#This Row],[_Row]]+1):INDEX(Tasks[_LeafPV],Tasks[[#This Row],[_Row]]+Tasks[[#This Row],[_Descendants]])),Tasks[[#This Row],[_LeafPV]]))</f>
        <v/>
      </c>
      <c r="BS171" s="111" t="str">
        <f aca="false">IF(Tasks[[#This Row],[Task Name]]="","",IF(Tasks[[#This Row],[_IsSummary]],SUM(INDEX(Tasks[_LeafAC],Tasks[[#This Row],[_Row]]+1):INDEX(Tasks[_LeafAC],Tasks[[#This Row],[_Row]]+Tasks[[#This Row],[_Descendants]])),Tasks[[#This Row],[_LeafAC]]))</f>
        <v/>
      </c>
      <c r="BT171" s="38" t="str">
        <f aca="false">IF(Tasks[[#This Row],[Task Name]]="","",MAX(1,N(Tasks[[#This Row],[Level]])))</f>
        <v/>
      </c>
      <c r="BU171" s="38" t="n">
        <f aca="false">ROW()-ROW(Tasks[[#Headers],[ID]])</f>
        <v>166</v>
      </c>
      <c r="BV171" s="38" t="n">
        <f aca="false">IF(OR(Tasks[[#This Row],[Task Name]]="",Tasks[[#This Row],[_Level]]&lt;=1),0,IFERROR(LOOKUP(2,1/(Tasks[[#Headers],[_Level]]:Tasks[[#This Row],[_Level]]=Tasks[[#This Row],[_Level]]-1),ROW(Tasks[[#Headers],[_Level]]:Tasks[[#This Row],[_Level]])),0))</f>
        <v>0</v>
      </c>
      <c r="BW171" s="38" t="n">
        <f aca="false">IFERROR(N(INDEX(Tasks[_Level],Tasks[[#This Row],[_Row]]+1)),0)</f>
        <v>0</v>
      </c>
      <c r="BX171" s="114" t="b">
        <f aca="false">AND(Tasks[[#This Row],[Task Name]]&lt;&gt;"",Tasks[[#This Row],[_NextLevel]]&gt;Tasks[[#This Row],[_Level]])</f>
        <v>0</v>
      </c>
      <c r="BY171" s="38" t="n">
        <f aca="false">IF(Tasks[[#This Row],[_IsSummary]],COUNTIF(Tasks[WBS],Tasks[[#This Row],[WBS]]&amp;".*"),0)</f>
        <v>0</v>
      </c>
      <c r="BZ171" s="38" t="n">
        <f aca="false">IF(AND(Tasks[[#This Row],[Task Name]]&lt;&gt;"",NOT(Tasks[[#This Row],[_IsSummary]])),1,0)</f>
        <v>0</v>
      </c>
      <c r="CA171" s="38" t="n">
        <f aca="false">IF(N(Tasks[[#This Row],[Pred1 UID]])=0,0,IFERROR(MATCH(Tasks[[#This Row],[Pred1 UID]],Tasks[UID],0),-1))</f>
        <v>0</v>
      </c>
      <c r="CB171" s="38" t="n">
        <f aca="false">IF(N(Tasks[[#This Row],[Pred2 UID]])=0,0,IFERROR(MATCH(Tasks[[#This Row],[Pred2 UID]],Tasks[UID],0),-1))</f>
        <v>0</v>
      </c>
      <c r="CC171" s="38" t="n">
        <f aca="false">IF(N(Tasks[[#This Row],[Pred3 UID]])=0,0,IFERROR(MATCH(Tasks[[#This Row],[Pred3 UID]],Tasks[UID],0),-1))</f>
        <v>0</v>
      </c>
      <c r="CD171" s="38" t="n">
        <f aca="false">IF(N(Tasks[[#This Row],[Pred4 UID]])=0,0,IFERROR(MATCH(Tasks[[#This Row],[Pred4 UID]],Tasks[UID],0),-1))</f>
        <v>0</v>
      </c>
      <c r="CE17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1" s="115" t="n">
        <f aca="false">IF(OR(Tasks[[#This Row],[_ConstraintCode]]=2,Tasks[[#This Row],[_ConstraintCode]]=3,Tasks[[#This Row],[_ConstraintCode]]=4,Tasks[[#This Row],[_ConstraintCode]]=6),Tasks[[#This Row],[_ConstraintStart]],0)</f>
        <v>0</v>
      </c>
      <c r="CH171" s="115" t="n">
        <f aca="false">IF(OR(Tasks[[#This Row],[_ConstraintCode]]=2,Tasks[[#This Row],[_ConstraintCode]]=3,Tasks[[#This Row],[_ConstraintCode]]=5,Tasks[[#This Row],[_ConstraintCode]]=7),Tasks[[#This Row],[_ConstraintStart]],2958465)</f>
        <v>2958465</v>
      </c>
      <c r="CI17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1" s="115" t="str">
        <f aca="false">IF(NOT(Tasks[[#This Row],[_IsLeaf]]=1),"",IF(N(Tasks[[#This Row],[Duration]])&lt;=0,Tasks[[#This Row],[_LeafCalcStart]],WORKDAY.INTL(Tasks[[#This Row],[_LeafCalcStart]],Tasks[[#This Row],[Duration]]-1,WorkWeek,Holidays)))</f>
        <v/>
      </c>
      <c r="CK17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1" s="38" t="n">
        <f aca="false">IF(NOT(Tasks[[#This Row],[_IsLeaf]]=1),0,IF(N(Tasks[[#This Row],[Actual Finish]])&gt;0,1,MIN(1,N(Tasks[[#This Row],[% Complete]]))))</f>
        <v>0</v>
      </c>
      <c r="CN171" s="38" t="n">
        <f aca="false">IF(OR(NOT(Tasks[[#This Row],[_IsLeaf]]=1),Tasks[[#This Row],[Resource]]=""),0,N(Tasks[[#This Row],[Duration]])*HoursPerDay*IF(Tasks[[#This Row],[Units]]="",DefaultUnits,Tasks[[#This Row],[Units]]))</f>
        <v>0</v>
      </c>
      <c r="CO171" s="38" t="n">
        <f aca="false">IF(Tasks[[#This Row],[_LeafWork]]=0,0,Tasks[[#This Row],[_LeafWork]]*IFERROR(INDEX(res_Rate,MATCH(Tasks[[#This Row],[Resource]],res_Name,0)),0))</f>
        <v>0</v>
      </c>
      <c r="CP171" s="38" t="n">
        <f aca="false">Tasks[[#This Row],[_LeafWork]]+IF(Tasks[[#This Row],[_IsLeaf]]=1,SUMIFS(asg_Work,asg_TaskUID,Tasks[[#This Row],[UID]],asg_Valid,1),0)</f>
        <v>0</v>
      </c>
      <c r="CQ171" s="38" t="n">
        <f aca="false">Tasks[[#This Row],[_LeafCost]]+IF(Tasks[[#This Row],[_IsLeaf]]=1,SUMIFS(asg_Cost,asg_TaskUID,Tasks[[#This Row],[UID]],asg_Valid,1),0)</f>
        <v>0</v>
      </c>
      <c r="CR171" s="38" t="n">
        <f aca="false">IF(Tasks[[#This Row],[_LeafTotalCost]]=0,Tasks[[#This Row],[_LeafAC]],Tasks[[#This Row],[_LeafAC]]*Tasks[[#This Row],[_LeafCost]]/Tasks[[#This Row],[_LeafTotalCost]])</f>
        <v>0</v>
      </c>
      <c r="CS17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1" s="38" t="n">
        <f aca="false">IF(NOT(Tasks[[#This Row],[_IsLeaf]]=1),0,MAX(_xlfn.MAXIFS(Tasks[_Row],Tasks[Pred1 UID],Tasks[[#This Row],[UID]]),_xlfn.MAXIFS(Tasks[_Row],Tasks[Pred2 UID],Tasks[[#This Row],[UID]]),_xlfn.MAXIFS(Tasks[_Row],Tasks[Pred3 UID],Tasks[[#This Row],[UID]]),_xlfn.MAXIFS(Tasks[_Row],Tasks[Pred4 UID],Tasks[[#This Row],[UID]])))</f>
        <v>0</v>
      </c>
      <c r="DB17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1" s="115" t="str">
        <f aca="false">IF(NOT(Tasks[[#This Row],[_IsLeaf]]=1),"",IF(N(Tasks[[#This Row],[Duration]])&lt;=0,Tasks[[#This Row],[_LeafLateFinish]],WORKDAY.INTL(Tasks[[#This Row],[_LeafLateFinish]],-(Tasks[[#This Row],[Duration]]-1),WorkWeek,Holidays)))</f>
        <v/>
      </c>
      <c r="DE17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1" s="114" t="b">
        <f aca="false">AND(Tasks[[#This Row],[_IsLeaf]]=1,Tasks[[#This Row],[_LeafProgress]]&lt;1,N(Tasks[[#This Row],[_LeafTotalSlack]])&lt;=CriticalSlackDays)</f>
        <v>0</v>
      </c>
      <c r="DG171" s="38" t="n">
        <f aca="false">IF(AND(Tasks[[#This Row],[_IsLeaf]]=1,Tasks[[#This Row],[_ConstraintCode]]=1,Tasks[[#This Row],[Mode]]&lt;&gt;"Manual",N(Tasks[[#This Row],[Actual Start]])=0),MAX(0,N(Tasks[[#This Row],[Free Slack]])),0)</f>
        <v>0</v>
      </c>
      <c r="DH171" s="115" t="str">
        <f aca="false">IF(NOT(Tasks[[#This Row],[_IsLeaf]]=1),"",IF(Tasks[[#This Row],[_AlapShift]]=0,Tasks[[#This Row],[_LeafCalcStart]],WORKDAY.INTL(Tasks[[#This Row],[_LeafCalcStart]],Tasks[[#This Row],[_AlapShift]],WorkWeek,Holidays)))</f>
        <v/>
      </c>
      <c r="DI171" s="115" t="str">
        <f aca="false">IF(NOT(Tasks[[#This Row],[_IsLeaf]]=1),"",IF(Tasks[[#This Row],[_AlapShift]]=0,Tasks[[#This Row],[_LeafCalcFinish]],WORKDAY.INTL(Tasks[[#This Row],[_LeafCalcFinish]],Tasks[[#This Row],[_AlapShift]],WorkWeek,Holidays)))</f>
        <v/>
      </c>
      <c r="DJ171" s="115" t="str">
        <f aca="false">IF(NOT(Tasks[[#This Row],[_IsLeaf]]=1),"",IF(Tasks[[#This Row],[_AlapShift]]=0,Tasks[[#This Row],[_LeafFcstStart]],WORKDAY.INTL(Tasks[[#This Row],[_LeafFcstStart]],Tasks[[#This Row],[_AlapShift]],WorkWeek,Holidays)))</f>
        <v/>
      </c>
      <c r="DK171" s="115" t="str">
        <f aca="false">IF(NOT(Tasks[[#This Row],[_IsLeaf]]=1),"",IF(Tasks[[#This Row],[_AlapShift]]=0,Tasks[[#This Row],[_LeafFcstFinish]],WORKDAY.INTL(Tasks[[#This Row],[_LeafFcstFinish]],Tasks[[#This Row],[_AlapShift]],WorkWeek,Holidays)))</f>
        <v/>
      </c>
      <c r="DL171" s="115" t="str">
        <f aca="false">IF(Tasks[[#This Row],[Task Name]]="","",IF(Tasks[[#This Row],[_IsSummary]],MIN(INDEX(Tasks[_ShownCalcStart],Tasks[[#This Row],[_Row]]+1):INDEX(Tasks[_ShownCalcStart],Tasks[[#This Row],[_Row]]+Tasks[[#This Row],[_Descendants]])),Tasks[[#This Row],[_ShownCalcStart]]))</f>
        <v/>
      </c>
      <c r="DM171" s="115" t="str">
        <f aca="false">IF(Tasks[[#This Row],[Task Name]]="","",IF(Tasks[[#This Row],[_IsSummary]],MAX(INDEX(Tasks[_ShownCalcFinish],Tasks[[#This Row],[_Row]]+1):INDEX(Tasks[_ShownCalcFinish],Tasks[[#This Row],[_Row]]+Tasks[[#This Row],[_Descendants]])),Tasks[[#This Row],[_ShownCalcFinish]]))</f>
        <v/>
      </c>
      <c r="DN17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1" s="38" t="n">
        <f aca="false">IF(AND(Tasks[[#This Row],[_IsLeaf]]=1,Tasks[[#This Row],[_LeafTotalWork]]&gt;0),NETWORKDAYS.INTL(ProjectStart,Tasks[[#This Row],[_ShownFcstStart]],WorkWeek,Holidays),0)</f>
        <v>0</v>
      </c>
      <c r="EA171" s="38" t="n">
        <f aca="false">IF(AND(Tasks[[#This Row],[_IsLeaf]]=1,Tasks[[#This Row],[_LeafTotalWork]]&gt;0),MAX(Tasks[[#This Row],[_StartWorkday]],NETWORKDAYS.INTL(ProjectStart,Tasks[[#This Row],[_ShownFcstFinish]],WorkWeek,Holidays)),0)</f>
        <v>0</v>
      </c>
      <c r="EB171" s="38" t="n">
        <f aca="false">IF(AND(Tasks[[#This Row],[_IsLeaf]]=1,Tasks[[#This Row],[_LeafTotalWork]]&gt;0),Tasks[[#This Row],[_LeafWork]]/(Tasks[[#This Row],[_FinishWorkday]]-Tasks[[#This Row],[_StartWorkday]]+1),0)</f>
        <v>0</v>
      </c>
      <c r="EC171" s="38" t="n">
        <f aca="false">Tasks[[#This Row],[_WorkPerWorkday]]*(Tasks[[#This Row],[_StartWorkday]]-1)</f>
        <v>-0</v>
      </c>
      <c r="ED171" s="38" t="n">
        <f aca="false">IF(Tasks[[#This Row],[_IsLeaf]]=1,MAX(N(Tasks[[#This Row],[Duration]]),0.1),0)</f>
        <v>0</v>
      </c>
      <c r="EE171" s="38" t="n">
        <f aca="false">Tasks[[#This Row],[_WeightDur]]*Tasks[[#This Row],[_LeafProgress]]</f>
        <v>0</v>
      </c>
      <c r="EF17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1" s="38" t="str">
        <f aca="false">IF(AND(Tasks[[#This Row],[_IsLeaf]]=1,N(Tasks[[#This Row],[Duration]])=0,Tasks[[#This Row],[_LeafProgress]]&lt;1),Tasks[[#This Row],[_ShownFcstFinish]]+Tasks[[#This Row],[_Row]]/100000,"")</f>
        <v/>
      </c>
      <c r="EH17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1" s="38" t="n">
        <f aca="false">IF(NOT(Tasks[[#This Row],[_IsLeaf]]=1),0,IF(Tasks[[#This Row],[Baseline Cost]]="",Tasks[[#This Row],[_LeafTotalCost]],N(Tasks[[#This Row],[Baseline Cost]])))</f>
        <v>0</v>
      </c>
      <c r="EJ171" s="38" t="n">
        <f aca="false">Tasks[[#This Row],[_LeafBudget]]*Tasks[[#This Row],[_PlannedPct]]</f>
        <v>0</v>
      </c>
      <c r="EK171" s="38" t="n">
        <f aca="false">Tasks[[#This Row],[_LeafBudget]]*Tasks[[#This Row],[_LeafProgress]]</f>
        <v>0</v>
      </c>
      <c r="EL171" s="38" t="n">
        <f aca="false">IF(NOT(Tasks[[#This Row],[_IsLeaf]]=1),0,IF(Tasks[[#This Row],[Actual Cost]]="",Tasks[[#This Row],[_LeafTotalCost]]*Tasks[[#This Row],[_LeafProgress]],N(Tasks[[#This Row],[Actual Cost]])))</f>
        <v>0</v>
      </c>
      <c r="EM171" s="38" t="str">
        <f aca="false">IF(Tasks[[#This Row],[Task Name]]="","",LEFT(Tasks[[#This Row],[WBS]],FIND(".",Tasks[[#This Row],[WBS]]&amp;".")-1))</f>
        <v/>
      </c>
      <c r="EN171" s="38" t="str">
        <f aca="false">IF(AND(Tasks[[#This Row],[Task Name]]&lt;&gt;"",Tasks[[#This Row],[_Level]]=1),Tasks[[#This Row],[_Row]],"")</f>
        <v/>
      </c>
      <c r="EO171" s="38" t="str">
        <f aca="false">IF(AND(Tasks[[#This Row],[_IsLeaf]]=1,N(Tasks[[#This Row],[Duration]])=0),Tasks[[#This Row],[Planned Finish]]+Tasks[[#This Row],[_Row]]/100000,"")</f>
        <v/>
      </c>
      <c r="EP171" s="38" t="str">
        <f aca="false">IF(AND(Tasks[[#This Row],[_IsLeaf]]=1,Tasks[[#This Row],[_LeafProgress]]&lt;1,OR(N(Tasks[[#This Row],[Finish Var]])&gt;0,Tasks[[#This Row],[Status]]="Late Start")),MAX(0,Tasks[[#This Row],[Finish Var]])+1-Tasks[[#This Row],[_Row]]/1000000,"")</f>
        <v/>
      </c>
      <c r="EQ171" s="38" t="str">
        <f aca="false">IF(AND(Tasks[[#This Row],[_IsLeaf]]=1,N(Tasks[[#This Row],[Actual Start]])=0,Tasks[[#This Row],[_ShownFcstStart]]&gt;=StatusDate,Tasks[[#This Row],[_ShownFcstStart]]&lt;=LookaheadEnd),Tasks[[#This Row],[_ShownFcstStart]]+Tasks[[#This Row],[_Row]]/100000,"")</f>
        <v/>
      </c>
      <c r="ER171" s="38" t="str">
        <f aca="false">IF(AND(Tasks[[#This Row],[_IsLeaf]]=1,Tasks[[#This Row],[_LeafProgress]]&lt;1,Tasks[[#This Row],[_ShownFcstFinish]]&gt;=StatusDate,Tasks[[#This Row],[_ShownFcstFinish]]&lt;=LookaheadEnd),Tasks[[#This Row],[_ShownFcstFinish]]+Tasks[[#This Row],[_Row]]/100000,"")</f>
        <v/>
      </c>
      <c r="ES171" s="38" t="str">
        <f aca="false">IF(Tasks[[#This Row],[_LeafCritical]],Tasks[[#This Row],[_ShownFcstStart]]+Tasks[[#This Row],[_Row]]/100000,"")</f>
        <v/>
      </c>
      <c r="ET171" s="38" t="n">
        <f aca="false">Tasks[[#This Row],[_LeafWork]]*Tasks[[#This Row],[_LeafProgress]]</f>
        <v>0</v>
      </c>
      <c r="EU171" s="115" t="str">
        <f aca="false">IF(AND(Tasks[[#This Row],[_IsLeaf]]=1,Tasks[[#This Row],[_LeafProgress]]&gt;=1),IF(N(Tasks[[#This Row],[Actual Finish]])&gt;0,Tasks[[#This Row],[Actual Finish]],Tasks[[#This Row],[_ShownFcstFinish]]),"")</f>
        <v/>
      </c>
      <c r="EV171" s="38" t="n">
        <f aca="false">IF(Tasks[[#This Row],[_IsLeaf]]=1,N(Tasks[[#This Row],[Story Points]]),0)</f>
        <v>0</v>
      </c>
      <c r="EW171" s="38" t="str">
        <f aca="false">IF(AND(Tasks[[#This Row],[_IsLeaf]]=1,CurrentSprint&lt;&gt;"",Tasks[[#This Row],[Sprint]]=CurrentSprint),Tasks[[#This Row],[_Row]],"")</f>
        <v/>
      </c>
    </row>
    <row r="172" customFormat="false" ht="15" hidden="false" customHeight="false" outlineLevel="0" collapsed="false">
      <c r="A172" s="51" t="str">
        <f aca="false">IF(Tasks[[#This Row],[Task Name]]="","",COUNTA(Tasks[[#Headers],[Task Name]]:Tasks[[#This Row],[Task Name]])-1)</f>
        <v/>
      </c>
      <c r="B172" s="52" t="n">
        <v>167</v>
      </c>
      <c r="C17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52"/>
      <c r="E172" s="53"/>
      <c r="F172" s="52"/>
      <c r="G172" s="52"/>
      <c r="H172" s="52"/>
      <c r="I172" s="52"/>
      <c r="J172" s="52"/>
      <c r="K172" s="52"/>
      <c r="L172" s="52"/>
      <c r="M172" s="52"/>
      <c r="N172" s="52"/>
      <c r="O172" s="52"/>
      <c r="P172" s="52"/>
      <c r="Q172" s="52"/>
      <c r="R172" s="52"/>
      <c r="S172" s="53"/>
      <c r="T172" s="102"/>
      <c r="U172" s="102"/>
      <c r="V172" s="7"/>
      <c r="W172" s="7"/>
      <c r="X172" s="53"/>
      <c r="Y172" s="31" t="str">
        <f aca="false">IF(Tasks[[#This Row],[Task Name]]="","",IF(Tasks[[#This Row],[_IsSummary]],MIN(INDEX(Tasks[_ShownFcstStart],Tasks[[#This Row],[_Row]]+1):INDEX(Tasks[_ShownFcstStart],Tasks[[#This Row],[_Row]]+Tasks[[#This Row],[_Descendants]])),Tasks[[#This Row],[_ShownFcstStart]]))</f>
        <v/>
      </c>
      <c r="Z172" s="31" t="str">
        <f aca="false">IF(Tasks[[#This Row],[Task Name]]="","",IF(Tasks[[#This Row],[_IsSummary]],MAX(INDEX(Tasks[_ShownFcstFinish],Tasks[[#This Row],[_Row]]+1):INDEX(Tasks[_ShownFcstFinish],Tasks[[#This Row],[_Row]]+Tasks[[#This Row],[_Descendants]])),Tasks[[#This Row],[_ShownFcstFinish]]))</f>
        <v/>
      </c>
      <c r="AA172" s="51" t="str">
        <f aca="false">IF(Tasks[[#This Row],[Task Name]]="","",IF(Tasks[[#This Row],[Progress]]&gt;=1,"Complete",IF(OR(N(Tasks[[#This Row],[Actual Start]])&gt;0,Tasks[[#This Row],[Progress]]&gt;0),IF(Tasks[[#This Row],[Finish Var]]&gt;0,"Behind","In Progress"),IF(Tasks[[#This Row],[Planned Start]]&lt;StatusDate,"Late Start","Not Started"))))</f>
        <v/>
      </c>
      <c r="AB172" s="51" t="str">
        <f aca="false">IF(Tasks[[#This Row],[Task Name]]="","",IF(IF(Tasks[[#This Row],[_IsSummary]],COUNTIF(INDEX(Tasks[_LeafCritical],Tasks[[#This Row],[_Row]]+1):INDEX(Tasks[_LeafCritical],Tasks[[#This Row],[_Row]]+Tasks[[#This Row],[_Descendants]]),TRUE())&gt;0,Tasks[[#This Row],[_LeafCritical]]),"Yes",""))</f>
        <v/>
      </c>
      <c r="AC17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2" s="51" t="str">
        <f aca="false">IF(Tasks[[#This Row],[Task Name]]="","",IF(Tasks[[#This Row],[_Level]]&lt;=OutlineShowLevel,"Yes","No"))</f>
        <v/>
      </c>
      <c r="AE172" s="7"/>
      <c r="AF172" s="52"/>
      <c r="AG172" s="53"/>
      <c r="AH172" s="7"/>
      <c r="AI17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2" s="31" t="str">
        <f aca="false">IF(Tasks[[#This Row],[Task Name]]="","",IF(N(Tasks[[#This Row],[Baseline Start]])&gt;0,Tasks[[#This Row],[Baseline Start]],Tasks[[#This Row],[_CalcStart]]))</f>
        <v/>
      </c>
      <c r="AK172" s="31" t="str">
        <f aca="false">IF(Tasks[[#This Row],[Task Name]]="","",IF(N(Tasks[[#This Row],[Baseline Finish]])&gt;0,Tasks[[#This Row],[Baseline Finish]],Tasks[[#This Row],[_CalcFinish]]))</f>
        <v/>
      </c>
      <c r="AL17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2" s="31" t="str">
        <f aca="false">IF(Tasks[[#This Row],[Task Name]]="","",IF(Tasks[[#This Row],[_IsSummary]],MIN(INDEX(Tasks[_LeafLateStart],Tasks[[#This Row],[_Row]]+1):INDEX(Tasks[_LeafLateStart],Tasks[[#This Row],[_Row]]+Tasks[[#This Row],[_Descendants]])),Tasks[[#This Row],[_LeafLateStart]]))</f>
        <v/>
      </c>
      <c r="AN172" s="31" t="str">
        <f aca="false">IF(Tasks[[#This Row],[Task Name]]="","",IF(Tasks[[#This Row],[_IsSummary]],MAX(INDEX(Tasks[_LeafLateFinish],Tasks[[#This Row],[_Row]]+1):INDEX(Tasks[_LeafLateFinish],Tasks[[#This Row],[_Row]]+Tasks[[#This Row],[_Descendants]])),Tasks[[#This Row],[_LeafLateFinish]]))</f>
        <v/>
      </c>
      <c r="AO172" s="51" t="str">
        <f aca="false">IF(Tasks[[#This Row],[Task Name]]="","",IF(Tasks[[#This Row],[_IsSummary]],MIN(INDEX(Tasks[_LeafTotalSlack],Tasks[[#This Row],[_Row]]+1):INDEX(Tasks[_LeafTotalSlack],Tasks[[#This Row],[_Row]]+Tasks[[#This Row],[_Descendants]])),Tasks[[#This Row],[_LeafTotalSlack]]))</f>
        <v/>
      </c>
      <c r="AP17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2" s="110" t="str">
        <f aca="false">IF(Tasks[[#This Row],[Task Name]]="","",IF(Tasks[[#This Row],[_IsSummary]],SUM(INDEX(Tasks[_LeafTotalWork],Tasks[[#This Row],[_Row]]+1):INDEX(Tasks[_LeafTotalWork],Tasks[[#This Row],[_Row]]+Tasks[[#This Row],[_Descendants]])),Tasks[[#This Row],[_LeafTotalWork]]))</f>
        <v/>
      </c>
      <c r="AV17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2" s="111" t="str">
        <f aca="false">IF(Tasks[[#This Row],[Task Name]]="","",IF(Tasks[[#This Row],[_IsSummary]],SUM(INDEX(Tasks[_LeafTotalCost],Tasks[[#This Row],[_Row]]+1):INDEX(Tasks[_LeafTotalCost],Tasks[[#This Row],[_Row]]+Tasks[[#This Row],[_Descendants]])),Tasks[[#This Row],[_LeafTotalCost]]))</f>
        <v/>
      </c>
      <c r="AY172" s="112"/>
      <c r="AZ17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2" s="52"/>
      <c r="BB172" s="98"/>
      <c r="BC172" s="51" t="str">
        <f aca="false">IF(OR(Tasks[[#This Row],[Task Name]]="",Tasks[[#This Row],[Baseline Duration]]=""),"",Tasks[[#This Row],[BL Source Duration]]-N(Tasks[[#This Row],[Baseline Duration]]))</f>
        <v/>
      </c>
      <c r="BD172" s="110" t="str">
        <f aca="false">IF(OR(Tasks[[#This Row],[Task Name]]="",Tasks[[#This Row],[Baseline Work]]=""),"",Tasks[[#This Row],[Work]]-N(Tasks[[#This Row],[Baseline Work]]))</f>
        <v/>
      </c>
      <c r="BE172" s="111" t="str">
        <f aca="false">IF(OR(Tasks[[#This Row],[Task Name]]="",Tasks[[#This Row],[Baseline Cost]]=""),"",Tasks[[#This Row],[Cost]]-N(Tasks[[#This Row],[Baseline Cost]]))</f>
        <v/>
      </c>
      <c r="BF172" s="31" t="str">
        <f aca="false">IF(Tasks[[#This Row],[Task Name]]="","",Tasks[[#This Row],[Forecast Start]])</f>
        <v/>
      </c>
      <c r="BG172" s="31" t="str">
        <f aca="false">IF(Tasks[[#This Row],[Task Name]]="","",Tasks[[#This Row],[Forecast Finish]])</f>
        <v/>
      </c>
      <c r="BH172" s="51" t="str">
        <f aca="false">IF(Tasks[[#This Row],[Task Name]]="","",IF(Tasks[[#This Row],[_IsSummary]],NETWORKDAYS.INTL(Tasks[[#This Row],[Forecast Start]],Tasks[[#This Row],[Forecast Finish]],WorkWeek,Holidays),N(Tasks[[#This Row],[Duration]])))</f>
        <v/>
      </c>
      <c r="BI172" s="110" t="str">
        <f aca="false">IF(Tasks[[#This Row],[Task Name]]="","",Tasks[[#This Row],[Work]])</f>
        <v/>
      </c>
      <c r="BJ172" s="111" t="str">
        <f aca="false">IF(Tasks[[#This Row],[Task Name]]="","",Tasks[[#This Row],[Cost]])</f>
        <v/>
      </c>
      <c r="BK172" s="7"/>
      <c r="BL172" s="7"/>
      <c r="BM172" s="52"/>
      <c r="BN172" s="113"/>
      <c r="BO172" s="112"/>
      <c r="BP172" s="111" t="str">
        <f aca="false">IF(Tasks[[#This Row],[Task Name]]="","",IF(Tasks[[#This Row],[_IsSummary]],SUM(INDEX(Tasks[_LeafEV],Tasks[[#This Row],[_Row]]+1):INDEX(Tasks[_LeafEV],Tasks[[#This Row],[_Row]]+Tasks[[#This Row],[_Descendants]])),Tasks[[#This Row],[_LeafEV]]))</f>
        <v/>
      </c>
      <c r="BQ172" s="111" t="str">
        <f aca="false">IF(Tasks[[#This Row],[Task Name]]="","",IF(Tasks[[#This Row],[_IsSummary]],SUM(INDEX(Tasks[_LeafBudget],Tasks[[#This Row],[_Row]]+1):INDEX(Tasks[_LeafBudget],Tasks[[#This Row],[_Row]]+Tasks[[#This Row],[_Descendants]])),Tasks[[#This Row],[_LeafBudget]]))</f>
        <v/>
      </c>
      <c r="BR172" s="111" t="str">
        <f aca="false">IF(Tasks[[#This Row],[Task Name]]="","",IF(Tasks[[#This Row],[_IsSummary]],SUM(INDEX(Tasks[_LeafPV],Tasks[[#This Row],[_Row]]+1):INDEX(Tasks[_LeafPV],Tasks[[#This Row],[_Row]]+Tasks[[#This Row],[_Descendants]])),Tasks[[#This Row],[_LeafPV]]))</f>
        <v/>
      </c>
      <c r="BS172" s="111" t="str">
        <f aca="false">IF(Tasks[[#This Row],[Task Name]]="","",IF(Tasks[[#This Row],[_IsSummary]],SUM(INDEX(Tasks[_LeafAC],Tasks[[#This Row],[_Row]]+1):INDEX(Tasks[_LeafAC],Tasks[[#This Row],[_Row]]+Tasks[[#This Row],[_Descendants]])),Tasks[[#This Row],[_LeafAC]]))</f>
        <v/>
      </c>
      <c r="BT172" s="38" t="str">
        <f aca="false">IF(Tasks[[#This Row],[Task Name]]="","",MAX(1,N(Tasks[[#This Row],[Level]])))</f>
        <v/>
      </c>
      <c r="BU172" s="38" t="n">
        <f aca="false">ROW()-ROW(Tasks[[#Headers],[ID]])</f>
        <v>167</v>
      </c>
      <c r="BV172" s="38" t="n">
        <f aca="false">IF(OR(Tasks[[#This Row],[Task Name]]="",Tasks[[#This Row],[_Level]]&lt;=1),0,IFERROR(LOOKUP(2,1/(Tasks[[#Headers],[_Level]]:Tasks[[#This Row],[_Level]]=Tasks[[#This Row],[_Level]]-1),ROW(Tasks[[#Headers],[_Level]]:Tasks[[#This Row],[_Level]])),0))</f>
        <v>0</v>
      </c>
      <c r="BW172" s="38" t="n">
        <f aca="false">IFERROR(N(INDEX(Tasks[_Level],Tasks[[#This Row],[_Row]]+1)),0)</f>
        <v>0</v>
      </c>
      <c r="BX172" s="114" t="b">
        <f aca="false">AND(Tasks[[#This Row],[Task Name]]&lt;&gt;"",Tasks[[#This Row],[_NextLevel]]&gt;Tasks[[#This Row],[_Level]])</f>
        <v>0</v>
      </c>
      <c r="BY172" s="38" t="n">
        <f aca="false">IF(Tasks[[#This Row],[_IsSummary]],COUNTIF(Tasks[WBS],Tasks[[#This Row],[WBS]]&amp;".*"),0)</f>
        <v>0</v>
      </c>
      <c r="BZ172" s="38" t="n">
        <f aca="false">IF(AND(Tasks[[#This Row],[Task Name]]&lt;&gt;"",NOT(Tasks[[#This Row],[_IsSummary]])),1,0)</f>
        <v>0</v>
      </c>
      <c r="CA172" s="38" t="n">
        <f aca="false">IF(N(Tasks[[#This Row],[Pred1 UID]])=0,0,IFERROR(MATCH(Tasks[[#This Row],[Pred1 UID]],Tasks[UID],0),-1))</f>
        <v>0</v>
      </c>
      <c r="CB172" s="38" t="n">
        <f aca="false">IF(N(Tasks[[#This Row],[Pred2 UID]])=0,0,IFERROR(MATCH(Tasks[[#This Row],[Pred2 UID]],Tasks[UID],0),-1))</f>
        <v>0</v>
      </c>
      <c r="CC172" s="38" t="n">
        <f aca="false">IF(N(Tasks[[#This Row],[Pred3 UID]])=0,0,IFERROR(MATCH(Tasks[[#This Row],[Pred3 UID]],Tasks[UID],0),-1))</f>
        <v>0</v>
      </c>
      <c r="CD172" s="38" t="n">
        <f aca="false">IF(N(Tasks[[#This Row],[Pred4 UID]])=0,0,IFERROR(MATCH(Tasks[[#This Row],[Pred4 UID]],Tasks[UID],0),-1))</f>
        <v>0</v>
      </c>
      <c r="CE17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2" s="115" t="n">
        <f aca="false">IF(OR(Tasks[[#This Row],[_ConstraintCode]]=2,Tasks[[#This Row],[_ConstraintCode]]=3,Tasks[[#This Row],[_ConstraintCode]]=4,Tasks[[#This Row],[_ConstraintCode]]=6),Tasks[[#This Row],[_ConstraintStart]],0)</f>
        <v>0</v>
      </c>
      <c r="CH172" s="115" t="n">
        <f aca="false">IF(OR(Tasks[[#This Row],[_ConstraintCode]]=2,Tasks[[#This Row],[_ConstraintCode]]=3,Tasks[[#This Row],[_ConstraintCode]]=5,Tasks[[#This Row],[_ConstraintCode]]=7),Tasks[[#This Row],[_ConstraintStart]],2958465)</f>
        <v>2958465</v>
      </c>
      <c r="CI17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2" s="115" t="str">
        <f aca="false">IF(NOT(Tasks[[#This Row],[_IsLeaf]]=1),"",IF(N(Tasks[[#This Row],[Duration]])&lt;=0,Tasks[[#This Row],[_LeafCalcStart]],WORKDAY.INTL(Tasks[[#This Row],[_LeafCalcStart]],Tasks[[#This Row],[Duration]]-1,WorkWeek,Holidays)))</f>
        <v/>
      </c>
      <c r="CK17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2" s="38" t="n">
        <f aca="false">IF(NOT(Tasks[[#This Row],[_IsLeaf]]=1),0,IF(N(Tasks[[#This Row],[Actual Finish]])&gt;0,1,MIN(1,N(Tasks[[#This Row],[% Complete]]))))</f>
        <v>0</v>
      </c>
      <c r="CN172" s="38" t="n">
        <f aca="false">IF(OR(NOT(Tasks[[#This Row],[_IsLeaf]]=1),Tasks[[#This Row],[Resource]]=""),0,N(Tasks[[#This Row],[Duration]])*HoursPerDay*IF(Tasks[[#This Row],[Units]]="",DefaultUnits,Tasks[[#This Row],[Units]]))</f>
        <v>0</v>
      </c>
      <c r="CO172" s="38" t="n">
        <f aca="false">IF(Tasks[[#This Row],[_LeafWork]]=0,0,Tasks[[#This Row],[_LeafWork]]*IFERROR(INDEX(res_Rate,MATCH(Tasks[[#This Row],[Resource]],res_Name,0)),0))</f>
        <v>0</v>
      </c>
      <c r="CP172" s="38" t="n">
        <f aca="false">Tasks[[#This Row],[_LeafWork]]+IF(Tasks[[#This Row],[_IsLeaf]]=1,SUMIFS(asg_Work,asg_TaskUID,Tasks[[#This Row],[UID]],asg_Valid,1),0)</f>
        <v>0</v>
      </c>
      <c r="CQ172" s="38" t="n">
        <f aca="false">Tasks[[#This Row],[_LeafCost]]+IF(Tasks[[#This Row],[_IsLeaf]]=1,SUMIFS(asg_Cost,asg_TaskUID,Tasks[[#This Row],[UID]],asg_Valid,1),0)</f>
        <v>0</v>
      </c>
      <c r="CR172" s="38" t="n">
        <f aca="false">IF(Tasks[[#This Row],[_LeafTotalCost]]=0,Tasks[[#This Row],[_LeafAC]],Tasks[[#This Row],[_LeafAC]]*Tasks[[#This Row],[_LeafCost]]/Tasks[[#This Row],[_LeafTotalCost]])</f>
        <v>0</v>
      </c>
      <c r="CS17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2" s="38" t="n">
        <f aca="false">IF(NOT(Tasks[[#This Row],[_IsLeaf]]=1),0,MAX(_xlfn.MAXIFS(Tasks[_Row],Tasks[Pred1 UID],Tasks[[#This Row],[UID]]),_xlfn.MAXIFS(Tasks[_Row],Tasks[Pred2 UID],Tasks[[#This Row],[UID]]),_xlfn.MAXIFS(Tasks[_Row],Tasks[Pred3 UID],Tasks[[#This Row],[UID]]),_xlfn.MAXIFS(Tasks[_Row],Tasks[Pred4 UID],Tasks[[#This Row],[UID]])))</f>
        <v>0</v>
      </c>
      <c r="DB17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2" s="115" t="str">
        <f aca="false">IF(NOT(Tasks[[#This Row],[_IsLeaf]]=1),"",IF(N(Tasks[[#This Row],[Duration]])&lt;=0,Tasks[[#This Row],[_LeafLateFinish]],WORKDAY.INTL(Tasks[[#This Row],[_LeafLateFinish]],-(Tasks[[#This Row],[Duration]]-1),WorkWeek,Holidays)))</f>
        <v/>
      </c>
      <c r="DE17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2" s="114" t="b">
        <f aca="false">AND(Tasks[[#This Row],[_IsLeaf]]=1,Tasks[[#This Row],[_LeafProgress]]&lt;1,N(Tasks[[#This Row],[_LeafTotalSlack]])&lt;=CriticalSlackDays)</f>
        <v>0</v>
      </c>
      <c r="DG172" s="38" t="n">
        <f aca="false">IF(AND(Tasks[[#This Row],[_IsLeaf]]=1,Tasks[[#This Row],[_ConstraintCode]]=1,Tasks[[#This Row],[Mode]]&lt;&gt;"Manual",N(Tasks[[#This Row],[Actual Start]])=0),MAX(0,N(Tasks[[#This Row],[Free Slack]])),0)</f>
        <v>0</v>
      </c>
      <c r="DH172" s="115" t="str">
        <f aca="false">IF(NOT(Tasks[[#This Row],[_IsLeaf]]=1),"",IF(Tasks[[#This Row],[_AlapShift]]=0,Tasks[[#This Row],[_LeafCalcStart]],WORKDAY.INTL(Tasks[[#This Row],[_LeafCalcStart]],Tasks[[#This Row],[_AlapShift]],WorkWeek,Holidays)))</f>
        <v/>
      </c>
      <c r="DI172" s="115" t="str">
        <f aca="false">IF(NOT(Tasks[[#This Row],[_IsLeaf]]=1),"",IF(Tasks[[#This Row],[_AlapShift]]=0,Tasks[[#This Row],[_LeafCalcFinish]],WORKDAY.INTL(Tasks[[#This Row],[_LeafCalcFinish]],Tasks[[#This Row],[_AlapShift]],WorkWeek,Holidays)))</f>
        <v/>
      </c>
      <c r="DJ172" s="115" t="str">
        <f aca="false">IF(NOT(Tasks[[#This Row],[_IsLeaf]]=1),"",IF(Tasks[[#This Row],[_AlapShift]]=0,Tasks[[#This Row],[_LeafFcstStart]],WORKDAY.INTL(Tasks[[#This Row],[_LeafFcstStart]],Tasks[[#This Row],[_AlapShift]],WorkWeek,Holidays)))</f>
        <v/>
      </c>
      <c r="DK172" s="115" t="str">
        <f aca="false">IF(NOT(Tasks[[#This Row],[_IsLeaf]]=1),"",IF(Tasks[[#This Row],[_AlapShift]]=0,Tasks[[#This Row],[_LeafFcstFinish]],WORKDAY.INTL(Tasks[[#This Row],[_LeafFcstFinish]],Tasks[[#This Row],[_AlapShift]],WorkWeek,Holidays)))</f>
        <v/>
      </c>
      <c r="DL172" s="115" t="str">
        <f aca="false">IF(Tasks[[#This Row],[Task Name]]="","",IF(Tasks[[#This Row],[_IsSummary]],MIN(INDEX(Tasks[_ShownCalcStart],Tasks[[#This Row],[_Row]]+1):INDEX(Tasks[_ShownCalcStart],Tasks[[#This Row],[_Row]]+Tasks[[#This Row],[_Descendants]])),Tasks[[#This Row],[_ShownCalcStart]]))</f>
        <v/>
      </c>
      <c r="DM172" s="115" t="str">
        <f aca="false">IF(Tasks[[#This Row],[Task Name]]="","",IF(Tasks[[#This Row],[_IsSummary]],MAX(INDEX(Tasks[_ShownCalcFinish],Tasks[[#This Row],[_Row]]+1):INDEX(Tasks[_ShownCalcFinish],Tasks[[#This Row],[_Row]]+Tasks[[#This Row],[_Descendants]])),Tasks[[#This Row],[_ShownCalcFinish]]))</f>
        <v/>
      </c>
      <c r="DN17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2" s="38" t="n">
        <f aca="false">IF(AND(Tasks[[#This Row],[_IsLeaf]]=1,Tasks[[#This Row],[_LeafTotalWork]]&gt;0),NETWORKDAYS.INTL(ProjectStart,Tasks[[#This Row],[_ShownFcstStart]],WorkWeek,Holidays),0)</f>
        <v>0</v>
      </c>
      <c r="EA172" s="38" t="n">
        <f aca="false">IF(AND(Tasks[[#This Row],[_IsLeaf]]=1,Tasks[[#This Row],[_LeafTotalWork]]&gt;0),MAX(Tasks[[#This Row],[_StartWorkday]],NETWORKDAYS.INTL(ProjectStart,Tasks[[#This Row],[_ShownFcstFinish]],WorkWeek,Holidays)),0)</f>
        <v>0</v>
      </c>
      <c r="EB172" s="38" t="n">
        <f aca="false">IF(AND(Tasks[[#This Row],[_IsLeaf]]=1,Tasks[[#This Row],[_LeafTotalWork]]&gt;0),Tasks[[#This Row],[_LeafWork]]/(Tasks[[#This Row],[_FinishWorkday]]-Tasks[[#This Row],[_StartWorkday]]+1),0)</f>
        <v>0</v>
      </c>
      <c r="EC172" s="38" t="n">
        <f aca="false">Tasks[[#This Row],[_WorkPerWorkday]]*(Tasks[[#This Row],[_StartWorkday]]-1)</f>
        <v>-0</v>
      </c>
      <c r="ED172" s="38" t="n">
        <f aca="false">IF(Tasks[[#This Row],[_IsLeaf]]=1,MAX(N(Tasks[[#This Row],[Duration]]),0.1),0)</f>
        <v>0</v>
      </c>
      <c r="EE172" s="38" t="n">
        <f aca="false">Tasks[[#This Row],[_WeightDur]]*Tasks[[#This Row],[_LeafProgress]]</f>
        <v>0</v>
      </c>
      <c r="EF17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2" s="38" t="str">
        <f aca="false">IF(AND(Tasks[[#This Row],[_IsLeaf]]=1,N(Tasks[[#This Row],[Duration]])=0,Tasks[[#This Row],[_LeafProgress]]&lt;1),Tasks[[#This Row],[_ShownFcstFinish]]+Tasks[[#This Row],[_Row]]/100000,"")</f>
        <v/>
      </c>
      <c r="EH17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2" s="38" t="n">
        <f aca="false">IF(NOT(Tasks[[#This Row],[_IsLeaf]]=1),0,IF(Tasks[[#This Row],[Baseline Cost]]="",Tasks[[#This Row],[_LeafTotalCost]],N(Tasks[[#This Row],[Baseline Cost]])))</f>
        <v>0</v>
      </c>
      <c r="EJ172" s="38" t="n">
        <f aca="false">Tasks[[#This Row],[_LeafBudget]]*Tasks[[#This Row],[_PlannedPct]]</f>
        <v>0</v>
      </c>
      <c r="EK172" s="38" t="n">
        <f aca="false">Tasks[[#This Row],[_LeafBudget]]*Tasks[[#This Row],[_LeafProgress]]</f>
        <v>0</v>
      </c>
      <c r="EL172" s="38" t="n">
        <f aca="false">IF(NOT(Tasks[[#This Row],[_IsLeaf]]=1),0,IF(Tasks[[#This Row],[Actual Cost]]="",Tasks[[#This Row],[_LeafTotalCost]]*Tasks[[#This Row],[_LeafProgress]],N(Tasks[[#This Row],[Actual Cost]])))</f>
        <v>0</v>
      </c>
      <c r="EM172" s="38" t="str">
        <f aca="false">IF(Tasks[[#This Row],[Task Name]]="","",LEFT(Tasks[[#This Row],[WBS]],FIND(".",Tasks[[#This Row],[WBS]]&amp;".")-1))</f>
        <v/>
      </c>
      <c r="EN172" s="38" t="str">
        <f aca="false">IF(AND(Tasks[[#This Row],[Task Name]]&lt;&gt;"",Tasks[[#This Row],[_Level]]=1),Tasks[[#This Row],[_Row]],"")</f>
        <v/>
      </c>
      <c r="EO172" s="38" t="str">
        <f aca="false">IF(AND(Tasks[[#This Row],[_IsLeaf]]=1,N(Tasks[[#This Row],[Duration]])=0),Tasks[[#This Row],[Planned Finish]]+Tasks[[#This Row],[_Row]]/100000,"")</f>
        <v/>
      </c>
      <c r="EP172" s="38" t="str">
        <f aca="false">IF(AND(Tasks[[#This Row],[_IsLeaf]]=1,Tasks[[#This Row],[_LeafProgress]]&lt;1,OR(N(Tasks[[#This Row],[Finish Var]])&gt;0,Tasks[[#This Row],[Status]]="Late Start")),MAX(0,Tasks[[#This Row],[Finish Var]])+1-Tasks[[#This Row],[_Row]]/1000000,"")</f>
        <v/>
      </c>
      <c r="EQ172" s="38" t="str">
        <f aca="false">IF(AND(Tasks[[#This Row],[_IsLeaf]]=1,N(Tasks[[#This Row],[Actual Start]])=0,Tasks[[#This Row],[_ShownFcstStart]]&gt;=StatusDate,Tasks[[#This Row],[_ShownFcstStart]]&lt;=LookaheadEnd),Tasks[[#This Row],[_ShownFcstStart]]+Tasks[[#This Row],[_Row]]/100000,"")</f>
        <v/>
      </c>
      <c r="ER172" s="38" t="str">
        <f aca="false">IF(AND(Tasks[[#This Row],[_IsLeaf]]=1,Tasks[[#This Row],[_LeafProgress]]&lt;1,Tasks[[#This Row],[_ShownFcstFinish]]&gt;=StatusDate,Tasks[[#This Row],[_ShownFcstFinish]]&lt;=LookaheadEnd),Tasks[[#This Row],[_ShownFcstFinish]]+Tasks[[#This Row],[_Row]]/100000,"")</f>
        <v/>
      </c>
      <c r="ES172" s="38" t="str">
        <f aca="false">IF(Tasks[[#This Row],[_LeafCritical]],Tasks[[#This Row],[_ShownFcstStart]]+Tasks[[#This Row],[_Row]]/100000,"")</f>
        <v/>
      </c>
      <c r="ET172" s="38" t="n">
        <f aca="false">Tasks[[#This Row],[_LeafWork]]*Tasks[[#This Row],[_LeafProgress]]</f>
        <v>0</v>
      </c>
      <c r="EU172" s="115" t="str">
        <f aca="false">IF(AND(Tasks[[#This Row],[_IsLeaf]]=1,Tasks[[#This Row],[_LeafProgress]]&gt;=1),IF(N(Tasks[[#This Row],[Actual Finish]])&gt;0,Tasks[[#This Row],[Actual Finish]],Tasks[[#This Row],[_ShownFcstFinish]]),"")</f>
        <v/>
      </c>
      <c r="EV172" s="38" t="n">
        <f aca="false">IF(Tasks[[#This Row],[_IsLeaf]]=1,N(Tasks[[#This Row],[Story Points]]),0)</f>
        <v>0</v>
      </c>
      <c r="EW172" s="38" t="str">
        <f aca="false">IF(AND(Tasks[[#This Row],[_IsLeaf]]=1,CurrentSprint&lt;&gt;"",Tasks[[#This Row],[Sprint]]=CurrentSprint),Tasks[[#This Row],[_Row]],"")</f>
        <v/>
      </c>
    </row>
    <row r="173" customFormat="false" ht="15" hidden="false" customHeight="false" outlineLevel="0" collapsed="false">
      <c r="A173" s="51" t="str">
        <f aca="false">IF(Tasks[[#This Row],[Task Name]]="","",COUNTA(Tasks[[#Headers],[Task Name]]:Tasks[[#This Row],[Task Name]])-1)</f>
        <v/>
      </c>
      <c r="B173" s="52" t="n">
        <v>168</v>
      </c>
      <c r="C17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52"/>
      <c r="E173" s="53"/>
      <c r="F173" s="52"/>
      <c r="G173" s="52"/>
      <c r="H173" s="52"/>
      <c r="I173" s="52"/>
      <c r="J173" s="52"/>
      <c r="K173" s="52"/>
      <c r="L173" s="52"/>
      <c r="M173" s="52"/>
      <c r="N173" s="52"/>
      <c r="O173" s="52"/>
      <c r="P173" s="52"/>
      <c r="Q173" s="52"/>
      <c r="R173" s="52"/>
      <c r="S173" s="53"/>
      <c r="T173" s="102"/>
      <c r="U173" s="102"/>
      <c r="V173" s="7"/>
      <c r="W173" s="7"/>
      <c r="X173" s="53"/>
      <c r="Y173" s="31" t="str">
        <f aca="false">IF(Tasks[[#This Row],[Task Name]]="","",IF(Tasks[[#This Row],[_IsSummary]],MIN(INDEX(Tasks[_ShownFcstStart],Tasks[[#This Row],[_Row]]+1):INDEX(Tasks[_ShownFcstStart],Tasks[[#This Row],[_Row]]+Tasks[[#This Row],[_Descendants]])),Tasks[[#This Row],[_ShownFcstStart]]))</f>
        <v/>
      </c>
      <c r="Z173" s="31" t="str">
        <f aca="false">IF(Tasks[[#This Row],[Task Name]]="","",IF(Tasks[[#This Row],[_IsSummary]],MAX(INDEX(Tasks[_ShownFcstFinish],Tasks[[#This Row],[_Row]]+1):INDEX(Tasks[_ShownFcstFinish],Tasks[[#This Row],[_Row]]+Tasks[[#This Row],[_Descendants]])),Tasks[[#This Row],[_ShownFcstFinish]]))</f>
        <v/>
      </c>
      <c r="AA173" s="51" t="str">
        <f aca="false">IF(Tasks[[#This Row],[Task Name]]="","",IF(Tasks[[#This Row],[Progress]]&gt;=1,"Complete",IF(OR(N(Tasks[[#This Row],[Actual Start]])&gt;0,Tasks[[#This Row],[Progress]]&gt;0),IF(Tasks[[#This Row],[Finish Var]]&gt;0,"Behind","In Progress"),IF(Tasks[[#This Row],[Planned Start]]&lt;StatusDate,"Late Start","Not Started"))))</f>
        <v/>
      </c>
      <c r="AB173" s="51" t="str">
        <f aca="false">IF(Tasks[[#This Row],[Task Name]]="","",IF(IF(Tasks[[#This Row],[_IsSummary]],COUNTIF(INDEX(Tasks[_LeafCritical],Tasks[[#This Row],[_Row]]+1):INDEX(Tasks[_LeafCritical],Tasks[[#This Row],[_Row]]+Tasks[[#This Row],[_Descendants]]),TRUE())&gt;0,Tasks[[#This Row],[_LeafCritical]]),"Yes",""))</f>
        <v/>
      </c>
      <c r="AC17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3" s="51" t="str">
        <f aca="false">IF(Tasks[[#This Row],[Task Name]]="","",IF(Tasks[[#This Row],[_Level]]&lt;=OutlineShowLevel,"Yes","No"))</f>
        <v/>
      </c>
      <c r="AE173" s="7"/>
      <c r="AF173" s="52"/>
      <c r="AG173" s="53"/>
      <c r="AH173" s="7"/>
      <c r="AI17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3" s="31" t="str">
        <f aca="false">IF(Tasks[[#This Row],[Task Name]]="","",IF(N(Tasks[[#This Row],[Baseline Start]])&gt;0,Tasks[[#This Row],[Baseline Start]],Tasks[[#This Row],[_CalcStart]]))</f>
        <v/>
      </c>
      <c r="AK173" s="31" t="str">
        <f aca="false">IF(Tasks[[#This Row],[Task Name]]="","",IF(N(Tasks[[#This Row],[Baseline Finish]])&gt;0,Tasks[[#This Row],[Baseline Finish]],Tasks[[#This Row],[_CalcFinish]]))</f>
        <v/>
      </c>
      <c r="AL17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3" s="31" t="str">
        <f aca="false">IF(Tasks[[#This Row],[Task Name]]="","",IF(Tasks[[#This Row],[_IsSummary]],MIN(INDEX(Tasks[_LeafLateStart],Tasks[[#This Row],[_Row]]+1):INDEX(Tasks[_LeafLateStart],Tasks[[#This Row],[_Row]]+Tasks[[#This Row],[_Descendants]])),Tasks[[#This Row],[_LeafLateStart]]))</f>
        <v/>
      </c>
      <c r="AN173" s="31" t="str">
        <f aca="false">IF(Tasks[[#This Row],[Task Name]]="","",IF(Tasks[[#This Row],[_IsSummary]],MAX(INDEX(Tasks[_LeafLateFinish],Tasks[[#This Row],[_Row]]+1):INDEX(Tasks[_LeafLateFinish],Tasks[[#This Row],[_Row]]+Tasks[[#This Row],[_Descendants]])),Tasks[[#This Row],[_LeafLateFinish]]))</f>
        <v/>
      </c>
      <c r="AO173" s="51" t="str">
        <f aca="false">IF(Tasks[[#This Row],[Task Name]]="","",IF(Tasks[[#This Row],[_IsSummary]],MIN(INDEX(Tasks[_LeafTotalSlack],Tasks[[#This Row],[_Row]]+1):INDEX(Tasks[_LeafTotalSlack],Tasks[[#This Row],[_Row]]+Tasks[[#This Row],[_Descendants]])),Tasks[[#This Row],[_LeafTotalSlack]]))</f>
        <v/>
      </c>
      <c r="AP17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3" s="110" t="str">
        <f aca="false">IF(Tasks[[#This Row],[Task Name]]="","",IF(Tasks[[#This Row],[_IsSummary]],SUM(INDEX(Tasks[_LeafTotalWork],Tasks[[#This Row],[_Row]]+1):INDEX(Tasks[_LeafTotalWork],Tasks[[#This Row],[_Row]]+Tasks[[#This Row],[_Descendants]])),Tasks[[#This Row],[_LeafTotalWork]]))</f>
        <v/>
      </c>
      <c r="AV17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3" s="111" t="str">
        <f aca="false">IF(Tasks[[#This Row],[Task Name]]="","",IF(Tasks[[#This Row],[_IsSummary]],SUM(INDEX(Tasks[_LeafTotalCost],Tasks[[#This Row],[_Row]]+1):INDEX(Tasks[_LeafTotalCost],Tasks[[#This Row],[_Row]]+Tasks[[#This Row],[_Descendants]])),Tasks[[#This Row],[_LeafTotalCost]]))</f>
        <v/>
      </c>
      <c r="AY173" s="112"/>
      <c r="AZ17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3" s="52"/>
      <c r="BB173" s="98"/>
      <c r="BC173" s="51" t="str">
        <f aca="false">IF(OR(Tasks[[#This Row],[Task Name]]="",Tasks[[#This Row],[Baseline Duration]]=""),"",Tasks[[#This Row],[BL Source Duration]]-N(Tasks[[#This Row],[Baseline Duration]]))</f>
        <v/>
      </c>
      <c r="BD173" s="110" t="str">
        <f aca="false">IF(OR(Tasks[[#This Row],[Task Name]]="",Tasks[[#This Row],[Baseline Work]]=""),"",Tasks[[#This Row],[Work]]-N(Tasks[[#This Row],[Baseline Work]]))</f>
        <v/>
      </c>
      <c r="BE173" s="111" t="str">
        <f aca="false">IF(OR(Tasks[[#This Row],[Task Name]]="",Tasks[[#This Row],[Baseline Cost]]=""),"",Tasks[[#This Row],[Cost]]-N(Tasks[[#This Row],[Baseline Cost]]))</f>
        <v/>
      </c>
      <c r="BF173" s="31" t="str">
        <f aca="false">IF(Tasks[[#This Row],[Task Name]]="","",Tasks[[#This Row],[Forecast Start]])</f>
        <v/>
      </c>
      <c r="BG173" s="31" t="str">
        <f aca="false">IF(Tasks[[#This Row],[Task Name]]="","",Tasks[[#This Row],[Forecast Finish]])</f>
        <v/>
      </c>
      <c r="BH173" s="51" t="str">
        <f aca="false">IF(Tasks[[#This Row],[Task Name]]="","",IF(Tasks[[#This Row],[_IsSummary]],NETWORKDAYS.INTL(Tasks[[#This Row],[Forecast Start]],Tasks[[#This Row],[Forecast Finish]],WorkWeek,Holidays),N(Tasks[[#This Row],[Duration]])))</f>
        <v/>
      </c>
      <c r="BI173" s="110" t="str">
        <f aca="false">IF(Tasks[[#This Row],[Task Name]]="","",Tasks[[#This Row],[Work]])</f>
        <v/>
      </c>
      <c r="BJ173" s="111" t="str">
        <f aca="false">IF(Tasks[[#This Row],[Task Name]]="","",Tasks[[#This Row],[Cost]])</f>
        <v/>
      </c>
      <c r="BK173" s="7"/>
      <c r="BL173" s="7"/>
      <c r="BM173" s="52"/>
      <c r="BN173" s="113"/>
      <c r="BO173" s="112"/>
      <c r="BP173" s="111" t="str">
        <f aca="false">IF(Tasks[[#This Row],[Task Name]]="","",IF(Tasks[[#This Row],[_IsSummary]],SUM(INDEX(Tasks[_LeafEV],Tasks[[#This Row],[_Row]]+1):INDEX(Tasks[_LeafEV],Tasks[[#This Row],[_Row]]+Tasks[[#This Row],[_Descendants]])),Tasks[[#This Row],[_LeafEV]]))</f>
        <v/>
      </c>
      <c r="BQ173" s="111" t="str">
        <f aca="false">IF(Tasks[[#This Row],[Task Name]]="","",IF(Tasks[[#This Row],[_IsSummary]],SUM(INDEX(Tasks[_LeafBudget],Tasks[[#This Row],[_Row]]+1):INDEX(Tasks[_LeafBudget],Tasks[[#This Row],[_Row]]+Tasks[[#This Row],[_Descendants]])),Tasks[[#This Row],[_LeafBudget]]))</f>
        <v/>
      </c>
      <c r="BR173" s="111" t="str">
        <f aca="false">IF(Tasks[[#This Row],[Task Name]]="","",IF(Tasks[[#This Row],[_IsSummary]],SUM(INDEX(Tasks[_LeafPV],Tasks[[#This Row],[_Row]]+1):INDEX(Tasks[_LeafPV],Tasks[[#This Row],[_Row]]+Tasks[[#This Row],[_Descendants]])),Tasks[[#This Row],[_LeafPV]]))</f>
        <v/>
      </c>
      <c r="BS173" s="111" t="str">
        <f aca="false">IF(Tasks[[#This Row],[Task Name]]="","",IF(Tasks[[#This Row],[_IsSummary]],SUM(INDEX(Tasks[_LeafAC],Tasks[[#This Row],[_Row]]+1):INDEX(Tasks[_LeafAC],Tasks[[#This Row],[_Row]]+Tasks[[#This Row],[_Descendants]])),Tasks[[#This Row],[_LeafAC]]))</f>
        <v/>
      </c>
      <c r="BT173" s="38" t="str">
        <f aca="false">IF(Tasks[[#This Row],[Task Name]]="","",MAX(1,N(Tasks[[#This Row],[Level]])))</f>
        <v/>
      </c>
      <c r="BU173" s="38" t="n">
        <f aca="false">ROW()-ROW(Tasks[[#Headers],[ID]])</f>
        <v>168</v>
      </c>
      <c r="BV173" s="38" t="n">
        <f aca="false">IF(OR(Tasks[[#This Row],[Task Name]]="",Tasks[[#This Row],[_Level]]&lt;=1),0,IFERROR(LOOKUP(2,1/(Tasks[[#Headers],[_Level]]:Tasks[[#This Row],[_Level]]=Tasks[[#This Row],[_Level]]-1),ROW(Tasks[[#Headers],[_Level]]:Tasks[[#This Row],[_Level]])),0))</f>
        <v>0</v>
      </c>
      <c r="BW173" s="38" t="n">
        <f aca="false">IFERROR(N(INDEX(Tasks[_Level],Tasks[[#This Row],[_Row]]+1)),0)</f>
        <v>0</v>
      </c>
      <c r="BX173" s="114" t="b">
        <f aca="false">AND(Tasks[[#This Row],[Task Name]]&lt;&gt;"",Tasks[[#This Row],[_NextLevel]]&gt;Tasks[[#This Row],[_Level]])</f>
        <v>0</v>
      </c>
      <c r="BY173" s="38" t="n">
        <f aca="false">IF(Tasks[[#This Row],[_IsSummary]],COUNTIF(Tasks[WBS],Tasks[[#This Row],[WBS]]&amp;".*"),0)</f>
        <v>0</v>
      </c>
      <c r="BZ173" s="38" t="n">
        <f aca="false">IF(AND(Tasks[[#This Row],[Task Name]]&lt;&gt;"",NOT(Tasks[[#This Row],[_IsSummary]])),1,0)</f>
        <v>0</v>
      </c>
      <c r="CA173" s="38" t="n">
        <f aca="false">IF(N(Tasks[[#This Row],[Pred1 UID]])=0,0,IFERROR(MATCH(Tasks[[#This Row],[Pred1 UID]],Tasks[UID],0),-1))</f>
        <v>0</v>
      </c>
      <c r="CB173" s="38" t="n">
        <f aca="false">IF(N(Tasks[[#This Row],[Pred2 UID]])=0,0,IFERROR(MATCH(Tasks[[#This Row],[Pred2 UID]],Tasks[UID],0),-1))</f>
        <v>0</v>
      </c>
      <c r="CC173" s="38" t="n">
        <f aca="false">IF(N(Tasks[[#This Row],[Pred3 UID]])=0,0,IFERROR(MATCH(Tasks[[#This Row],[Pred3 UID]],Tasks[UID],0),-1))</f>
        <v>0</v>
      </c>
      <c r="CD173" s="38" t="n">
        <f aca="false">IF(N(Tasks[[#This Row],[Pred4 UID]])=0,0,IFERROR(MATCH(Tasks[[#This Row],[Pred4 UID]],Tasks[UID],0),-1))</f>
        <v>0</v>
      </c>
      <c r="CE17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3" s="115" t="n">
        <f aca="false">IF(OR(Tasks[[#This Row],[_ConstraintCode]]=2,Tasks[[#This Row],[_ConstraintCode]]=3,Tasks[[#This Row],[_ConstraintCode]]=4,Tasks[[#This Row],[_ConstraintCode]]=6),Tasks[[#This Row],[_ConstraintStart]],0)</f>
        <v>0</v>
      </c>
      <c r="CH173" s="115" t="n">
        <f aca="false">IF(OR(Tasks[[#This Row],[_ConstraintCode]]=2,Tasks[[#This Row],[_ConstraintCode]]=3,Tasks[[#This Row],[_ConstraintCode]]=5,Tasks[[#This Row],[_ConstraintCode]]=7),Tasks[[#This Row],[_ConstraintStart]],2958465)</f>
        <v>2958465</v>
      </c>
      <c r="CI17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3" s="115" t="str">
        <f aca="false">IF(NOT(Tasks[[#This Row],[_IsLeaf]]=1),"",IF(N(Tasks[[#This Row],[Duration]])&lt;=0,Tasks[[#This Row],[_LeafCalcStart]],WORKDAY.INTL(Tasks[[#This Row],[_LeafCalcStart]],Tasks[[#This Row],[Duration]]-1,WorkWeek,Holidays)))</f>
        <v/>
      </c>
      <c r="CK17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3" s="38" t="n">
        <f aca="false">IF(NOT(Tasks[[#This Row],[_IsLeaf]]=1),0,IF(N(Tasks[[#This Row],[Actual Finish]])&gt;0,1,MIN(1,N(Tasks[[#This Row],[% Complete]]))))</f>
        <v>0</v>
      </c>
      <c r="CN173" s="38" t="n">
        <f aca="false">IF(OR(NOT(Tasks[[#This Row],[_IsLeaf]]=1),Tasks[[#This Row],[Resource]]=""),0,N(Tasks[[#This Row],[Duration]])*HoursPerDay*IF(Tasks[[#This Row],[Units]]="",DefaultUnits,Tasks[[#This Row],[Units]]))</f>
        <v>0</v>
      </c>
      <c r="CO173" s="38" t="n">
        <f aca="false">IF(Tasks[[#This Row],[_LeafWork]]=0,0,Tasks[[#This Row],[_LeafWork]]*IFERROR(INDEX(res_Rate,MATCH(Tasks[[#This Row],[Resource]],res_Name,0)),0))</f>
        <v>0</v>
      </c>
      <c r="CP173" s="38" t="n">
        <f aca="false">Tasks[[#This Row],[_LeafWork]]+IF(Tasks[[#This Row],[_IsLeaf]]=1,SUMIFS(asg_Work,asg_TaskUID,Tasks[[#This Row],[UID]],asg_Valid,1),0)</f>
        <v>0</v>
      </c>
      <c r="CQ173" s="38" t="n">
        <f aca="false">Tasks[[#This Row],[_LeafCost]]+IF(Tasks[[#This Row],[_IsLeaf]]=1,SUMIFS(asg_Cost,asg_TaskUID,Tasks[[#This Row],[UID]],asg_Valid,1),0)</f>
        <v>0</v>
      </c>
      <c r="CR173" s="38" t="n">
        <f aca="false">IF(Tasks[[#This Row],[_LeafTotalCost]]=0,Tasks[[#This Row],[_LeafAC]],Tasks[[#This Row],[_LeafAC]]*Tasks[[#This Row],[_LeafCost]]/Tasks[[#This Row],[_LeafTotalCost]])</f>
        <v>0</v>
      </c>
      <c r="CS17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3" s="38" t="n">
        <f aca="false">IF(NOT(Tasks[[#This Row],[_IsLeaf]]=1),0,MAX(_xlfn.MAXIFS(Tasks[_Row],Tasks[Pred1 UID],Tasks[[#This Row],[UID]]),_xlfn.MAXIFS(Tasks[_Row],Tasks[Pred2 UID],Tasks[[#This Row],[UID]]),_xlfn.MAXIFS(Tasks[_Row],Tasks[Pred3 UID],Tasks[[#This Row],[UID]]),_xlfn.MAXIFS(Tasks[_Row],Tasks[Pred4 UID],Tasks[[#This Row],[UID]])))</f>
        <v>0</v>
      </c>
      <c r="DB17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3" s="115" t="str">
        <f aca="false">IF(NOT(Tasks[[#This Row],[_IsLeaf]]=1),"",IF(N(Tasks[[#This Row],[Duration]])&lt;=0,Tasks[[#This Row],[_LeafLateFinish]],WORKDAY.INTL(Tasks[[#This Row],[_LeafLateFinish]],-(Tasks[[#This Row],[Duration]]-1),WorkWeek,Holidays)))</f>
        <v/>
      </c>
      <c r="DE17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3" s="114" t="b">
        <f aca="false">AND(Tasks[[#This Row],[_IsLeaf]]=1,Tasks[[#This Row],[_LeafProgress]]&lt;1,N(Tasks[[#This Row],[_LeafTotalSlack]])&lt;=CriticalSlackDays)</f>
        <v>0</v>
      </c>
      <c r="DG173" s="38" t="n">
        <f aca="false">IF(AND(Tasks[[#This Row],[_IsLeaf]]=1,Tasks[[#This Row],[_ConstraintCode]]=1,Tasks[[#This Row],[Mode]]&lt;&gt;"Manual",N(Tasks[[#This Row],[Actual Start]])=0),MAX(0,N(Tasks[[#This Row],[Free Slack]])),0)</f>
        <v>0</v>
      </c>
      <c r="DH173" s="115" t="str">
        <f aca="false">IF(NOT(Tasks[[#This Row],[_IsLeaf]]=1),"",IF(Tasks[[#This Row],[_AlapShift]]=0,Tasks[[#This Row],[_LeafCalcStart]],WORKDAY.INTL(Tasks[[#This Row],[_LeafCalcStart]],Tasks[[#This Row],[_AlapShift]],WorkWeek,Holidays)))</f>
        <v/>
      </c>
      <c r="DI173" s="115" t="str">
        <f aca="false">IF(NOT(Tasks[[#This Row],[_IsLeaf]]=1),"",IF(Tasks[[#This Row],[_AlapShift]]=0,Tasks[[#This Row],[_LeafCalcFinish]],WORKDAY.INTL(Tasks[[#This Row],[_LeafCalcFinish]],Tasks[[#This Row],[_AlapShift]],WorkWeek,Holidays)))</f>
        <v/>
      </c>
      <c r="DJ173" s="115" t="str">
        <f aca="false">IF(NOT(Tasks[[#This Row],[_IsLeaf]]=1),"",IF(Tasks[[#This Row],[_AlapShift]]=0,Tasks[[#This Row],[_LeafFcstStart]],WORKDAY.INTL(Tasks[[#This Row],[_LeafFcstStart]],Tasks[[#This Row],[_AlapShift]],WorkWeek,Holidays)))</f>
        <v/>
      </c>
      <c r="DK173" s="115" t="str">
        <f aca="false">IF(NOT(Tasks[[#This Row],[_IsLeaf]]=1),"",IF(Tasks[[#This Row],[_AlapShift]]=0,Tasks[[#This Row],[_LeafFcstFinish]],WORKDAY.INTL(Tasks[[#This Row],[_LeafFcstFinish]],Tasks[[#This Row],[_AlapShift]],WorkWeek,Holidays)))</f>
        <v/>
      </c>
      <c r="DL173" s="115" t="str">
        <f aca="false">IF(Tasks[[#This Row],[Task Name]]="","",IF(Tasks[[#This Row],[_IsSummary]],MIN(INDEX(Tasks[_ShownCalcStart],Tasks[[#This Row],[_Row]]+1):INDEX(Tasks[_ShownCalcStart],Tasks[[#This Row],[_Row]]+Tasks[[#This Row],[_Descendants]])),Tasks[[#This Row],[_ShownCalcStart]]))</f>
        <v/>
      </c>
      <c r="DM173" s="115" t="str">
        <f aca="false">IF(Tasks[[#This Row],[Task Name]]="","",IF(Tasks[[#This Row],[_IsSummary]],MAX(INDEX(Tasks[_ShownCalcFinish],Tasks[[#This Row],[_Row]]+1):INDEX(Tasks[_ShownCalcFinish],Tasks[[#This Row],[_Row]]+Tasks[[#This Row],[_Descendants]])),Tasks[[#This Row],[_ShownCalcFinish]]))</f>
        <v/>
      </c>
      <c r="DN17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3" s="38" t="n">
        <f aca="false">IF(AND(Tasks[[#This Row],[_IsLeaf]]=1,Tasks[[#This Row],[_LeafTotalWork]]&gt;0),NETWORKDAYS.INTL(ProjectStart,Tasks[[#This Row],[_ShownFcstStart]],WorkWeek,Holidays),0)</f>
        <v>0</v>
      </c>
      <c r="EA173" s="38" t="n">
        <f aca="false">IF(AND(Tasks[[#This Row],[_IsLeaf]]=1,Tasks[[#This Row],[_LeafTotalWork]]&gt;0),MAX(Tasks[[#This Row],[_StartWorkday]],NETWORKDAYS.INTL(ProjectStart,Tasks[[#This Row],[_ShownFcstFinish]],WorkWeek,Holidays)),0)</f>
        <v>0</v>
      </c>
      <c r="EB173" s="38" t="n">
        <f aca="false">IF(AND(Tasks[[#This Row],[_IsLeaf]]=1,Tasks[[#This Row],[_LeafTotalWork]]&gt;0),Tasks[[#This Row],[_LeafWork]]/(Tasks[[#This Row],[_FinishWorkday]]-Tasks[[#This Row],[_StartWorkday]]+1),0)</f>
        <v>0</v>
      </c>
      <c r="EC173" s="38" t="n">
        <f aca="false">Tasks[[#This Row],[_WorkPerWorkday]]*(Tasks[[#This Row],[_StartWorkday]]-1)</f>
        <v>-0</v>
      </c>
      <c r="ED173" s="38" t="n">
        <f aca="false">IF(Tasks[[#This Row],[_IsLeaf]]=1,MAX(N(Tasks[[#This Row],[Duration]]),0.1),0)</f>
        <v>0</v>
      </c>
      <c r="EE173" s="38" t="n">
        <f aca="false">Tasks[[#This Row],[_WeightDur]]*Tasks[[#This Row],[_LeafProgress]]</f>
        <v>0</v>
      </c>
      <c r="EF17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3" s="38" t="str">
        <f aca="false">IF(AND(Tasks[[#This Row],[_IsLeaf]]=1,N(Tasks[[#This Row],[Duration]])=0,Tasks[[#This Row],[_LeafProgress]]&lt;1),Tasks[[#This Row],[_ShownFcstFinish]]+Tasks[[#This Row],[_Row]]/100000,"")</f>
        <v/>
      </c>
      <c r="EH17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3" s="38" t="n">
        <f aca="false">IF(NOT(Tasks[[#This Row],[_IsLeaf]]=1),0,IF(Tasks[[#This Row],[Baseline Cost]]="",Tasks[[#This Row],[_LeafTotalCost]],N(Tasks[[#This Row],[Baseline Cost]])))</f>
        <v>0</v>
      </c>
      <c r="EJ173" s="38" t="n">
        <f aca="false">Tasks[[#This Row],[_LeafBudget]]*Tasks[[#This Row],[_PlannedPct]]</f>
        <v>0</v>
      </c>
      <c r="EK173" s="38" t="n">
        <f aca="false">Tasks[[#This Row],[_LeafBudget]]*Tasks[[#This Row],[_LeafProgress]]</f>
        <v>0</v>
      </c>
      <c r="EL173" s="38" t="n">
        <f aca="false">IF(NOT(Tasks[[#This Row],[_IsLeaf]]=1),0,IF(Tasks[[#This Row],[Actual Cost]]="",Tasks[[#This Row],[_LeafTotalCost]]*Tasks[[#This Row],[_LeafProgress]],N(Tasks[[#This Row],[Actual Cost]])))</f>
        <v>0</v>
      </c>
      <c r="EM173" s="38" t="str">
        <f aca="false">IF(Tasks[[#This Row],[Task Name]]="","",LEFT(Tasks[[#This Row],[WBS]],FIND(".",Tasks[[#This Row],[WBS]]&amp;".")-1))</f>
        <v/>
      </c>
      <c r="EN173" s="38" t="str">
        <f aca="false">IF(AND(Tasks[[#This Row],[Task Name]]&lt;&gt;"",Tasks[[#This Row],[_Level]]=1),Tasks[[#This Row],[_Row]],"")</f>
        <v/>
      </c>
      <c r="EO173" s="38" t="str">
        <f aca="false">IF(AND(Tasks[[#This Row],[_IsLeaf]]=1,N(Tasks[[#This Row],[Duration]])=0),Tasks[[#This Row],[Planned Finish]]+Tasks[[#This Row],[_Row]]/100000,"")</f>
        <v/>
      </c>
      <c r="EP173" s="38" t="str">
        <f aca="false">IF(AND(Tasks[[#This Row],[_IsLeaf]]=1,Tasks[[#This Row],[_LeafProgress]]&lt;1,OR(N(Tasks[[#This Row],[Finish Var]])&gt;0,Tasks[[#This Row],[Status]]="Late Start")),MAX(0,Tasks[[#This Row],[Finish Var]])+1-Tasks[[#This Row],[_Row]]/1000000,"")</f>
        <v/>
      </c>
      <c r="EQ173" s="38" t="str">
        <f aca="false">IF(AND(Tasks[[#This Row],[_IsLeaf]]=1,N(Tasks[[#This Row],[Actual Start]])=0,Tasks[[#This Row],[_ShownFcstStart]]&gt;=StatusDate,Tasks[[#This Row],[_ShownFcstStart]]&lt;=LookaheadEnd),Tasks[[#This Row],[_ShownFcstStart]]+Tasks[[#This Row],[_Row]]/100000,"")</f>
        <v/>
      </c>
      <c r="ER173" s="38" t="str">
        <f aca="false">IF(AND(Tasks[[#This Row],[_IsLeaf]]=1,Tasks[[#This Row],[_LeafProgress]]&lt;1,Tasks[[#This Row],[_ShownFcstFinish]]&gt;=StatusDate,Tasks[[#This Row],[_ShownFcstFinish]]&lt;=LookaheadEnd),Tasks[[#This Row],[_ShownFcstFinish]]+Tasks[[#This Row],[_Row]]/100000,"")</f>
        <v/>
      </c>
      <c r="ES173" s="38" t="str">
        <f aca="false">IF(Tasks[[#This Row],[_LeafCritical]],Tasks[[#This Row],[_ShownFcstStart]]+Tasks[[#This Row],[_Row]]/100000,"")</f>
        <v/>
      </c>
      <c r="ET173" s="38" t="n">
        <f aca="false">Tasks[[#This Row],[_LeafWork]]*Tasks[[#This Row],[_LeafProgress]]</f>
        <v>0</v>
      </c>
      <c r="EU173" s="115" t="str">
        <f aca="false">IF(AND(Tasks[[#This Row],[_IsLeaf]]=1,Tasks[[#This Row],[_LeafProgress]]&gt;=1),IF(N(Tasks[[#This Row],[Actual Finish]])&gt;0,Tasks[[#This Row],[Actual Finish]],Tasks[[#This Row],[_ShownFcstFinish]]),"")</f>
        <v/>
      </c>
      <c r="EV173" s="38" t="n">
        <f aca="false">IF(Tasks[[#This Row],[_IsLeaf]]=1,N(Tasks[[#This Row],[Story Points]]),0)</f>
        <v>0</v>
      </c>
      <c r="EW173" s="38" t="str">
        <f aca="false">IF(AND(Tasks[[#This Row],[_IsLeaf]]=1,CurrentSprint&lt;&gt;"",Tasks[[#This Row],[Sprint]]=CurrentSprint),Tasks[[#This Row],[_Row]],"")</f>
        <v/>
      </c>
    </row>
    <row r="174" customFormat="false" ht="15" hidden="false" customHeight="false" outlineLevel="0" collapsed="false">
      <c r="A174" s="51" t="str">
        <f aca="false">IF(Tasks[[#This Row],[Task Name]]="","",COUNTA(Tasks[[#Headers],[Task Name]]:Tasks[[#This Row],[Task Name]])-1)</f>
        <v/>
      </c>
      <c r="B174" s="52" t="n">
        <v>169</v>
      </c>
      <c r="C17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52"/>
      <c r="E174" s="53"/>
      <c r="F174" s="52"/>
      <c r="G174" s="52"/>
      <c r="H174" s="52"/>
      <c r="I174" s="52"/>
      <c r="J174" s="52"/>
      <c r="K174" s="52"/>
      <c r="L174" s="52"/>
      <c r="M174" s="52"/>
      <c r="N174" s="52"/>
      <c r="O174" s="52"/>
      <c r="P174" s="52"/>
      <c r="Q174" s="52"/>
      <c r="R174" s="52"/>
      <c r="S174" s="53"/>
      <c r="T174" s="102"/>
      <c r="U174" s="102"/>
      <c r="V174" s="7"/>
      <c r="W174" s="7"/>
      <c r="X174" s="53"/>
      <c r="Y174" s="31" t="str">
        <f aca="false">IF(Tasks[[#This Row],[Task Name]]="","",IF(Tasks[[#This Row],[_IsSummary]],MIN(INDEX(Tasks[_ShownFcstStart],Tasks[[#This Row],[_Row]]+1):INDEX(Tasks[_ShownFcstStart],Tasks[[#This Row],[_Row]]+Tasks[[#This Row],[_Descendants]])),Tasks[[#This Row],[_ShownFcstStart]]))</f>
        <v/>
      </c>
      <c r="Z174" s="31" t="str">
        <f aca="false">IF(Tasks[[#This Row],[Task Name]]="","",IF(Tasks[[#This Row],[_IsSummary]],MAX(INDEX(Tasks[_ShownFcstFinish],Tasks[[#This Row],[_Row]]+1):INDEX(Tasks[_ShownFcstFinish],Tasks[[#This Row],[_Row]]+Tasks[[#This Row],[_Descendants]])),Tasks[[#This Row],[_ShownFcstFinish]]))</f>
        <v/>
      </c>
      <c r="AA174" s="51" t="str">
        <f aca="false">IF(Tasks[[#This Row],[Task Name]]="","",IF(Tasks[[#This Row],[Progress]]&gt;=1,"Complete",IF(OR(N(Tasks[[#This Row],[Actual Start]])&gt;0,Tasks[[#This Row],[Progress]]&gt;0),IF(Tasks[[#This Row],[Finish Var]]&gt;0,"Behind","In Progress"),IF(Tasks[[#This Row],[Planned Start]]&lt;StatusDate,"Late Start","Not Started"))))</f>
        <v/>
      </c>
      <c r="AB174" s="51" t="str">
        <f aca="false">IF(Tasks[[#This Row],[Task Name]]="","",IF(IF(Tasks[[#This Row],[_IsSummary]],COUNTIF(INDEX(Tasks[_LeafCritical],Tasks[[#This Row],[_Row]]+1):INDEX(Tasks[_LeafCritical],Tasks[[#This Row],[_Row]]+Tasks[[#This Row],[_Descendants]]),TRUE())&gt;0,Tasks[[#This Row],[_LeafCritical]]),"Yes",""))</f>
        <v/>
      </c>
      <c r="AC17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4" s="51" t="str">
        <f aca="false">IF(Tasks[[#This Row],[Task Name]]="","",IF(Tasks[[#This Row],[_Level]]&lt;=OutlineShowLevel,"Yes","No"))</f>
        <v/>
      </c>
      <c r="AE174" s="7"/>
      <c r="AF174" s="52"/>
      <c r="AG174" s="53"/>
      <c r="AH174" s="7"/>
      <c r="AI17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4" s="31" t="str">
        <f aca="false">IF(Tasks[[#This Row],[Task Name]]="","",IF(N(Tasks[[#This Row],[Baseline Start]])&gt;0,Tasks[[#This Row],[Baseline Start]],Tasks[[#This Row],[_CalcStart]]))</f>
        <v/>
      </c>
      <c r="AK174" s="31" t="str">
        <f aca="false">IF(Tasks[[#This Row],[Task Name]]="","",IF(N(Tasks[[#This Row],[Baseline Finish]])&gt;0,Tasks[[#This Row],[Baseline Finish]],Tasks[[#This Row],[_CalcFinish]]))</f>
        <v/>
      </c>
      <c r="AL17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4" s="31" t="str">
        <f aca="false">IF(Tasks[[#This Row],[Task Name]]="","",IF(Tasks[[#This Row],[_IsSummary]],MIN(INDEX(Tasks[_LeafLateStart],Tasks[[#This Row],[_Row]]+1):INDEX(Tasks[_LeafLateStart],Tasks[[#This Row],[_Row]]+Tasks[[#This Row],[_Descendants]])),Tasks[[#This Row],[_LeafLateStart]]))</f>
        <v/>
      </c>
      <c r="AN174" s="31" t="str">
        <f aca="false">IF(Tasks[[#This Row],[Task Name]]="","",IF(Tasks[[#This Row],[_IsSummary]],MAX(INDEX(Tasks[_LeafLateFinish],Tasks[[#This Row],[_Row]]+1):INDEX(Tasks[_LeafLateFinish],Tasks[[#This Row],[_Row]]+Tasks[[#This Row],[_Descendants]])),Tasks[[#This Row],[_LeafLateFinish]]))</f>
        <v/>
      </c>
      <c r="AO174" s="51" t="str">
        <f aca="false">IF(Tasks[[#This Row],[Task Name]]="","",IF(Tasks[[#This Row],[_IsSummary]],MIN(INDEX(Tasks[_LeafTotalSlack],Tasks[[#This Row],[_Row]]+1):INDEX(Tasks[_LeafTotalSlack],Tasks[[#This Row],[_Row]]+Tasks[[#This Row],[_Descendants]])),Tasks[[#This Row],[_LeafTotalSlack]]))</f>
        <v/>
      </c>
      <c r="AP17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4" s="110" t="str">
        <f aca="false">IF(Tasks[[#This Row],[Task Name]]="","",IF(Tasks[[#This Row],[_IsSummary]],SUM(INDEX(Tasks[_LeafTotalWork],Tasks[[#This Row],[_Row]]+1):INDEX(Tasks[_LeafTotalWork],Tasks[[#This Row],[_Row]]+Tasks[[#This Row],[_Descendants]])),Tasks[[#This Row],[_LeafTotalWork]]))</f>
        <v/>
      </c>
      <c r="AV17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4" s="111" t="str">
        <f aca="false">IF(Tasks[[#This Row],[Task Name]]="","",IF(Tasks[[#This Row],[_IsSummary]],SUM(INDEX(Tasks[_LeafTotalCost],Tasks[[#This Row],[_Row]]+1):INDEX(Tasks[_LeafTotalCost],Tasks[[#This Row],[_Row]]+Tasks[[#This Row],[_Descendants]])),Tasks[[#This Row],[_LeafTotalCost]]))</f>
        <v/>
      </c>
      <c r="AY174" s="112"/>
      <c r="AZ17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4" s="52"/>
      <c r="BB174" s="98"/>
      <c r="BC174" s="51" t="str">
        <f aca="false">IF(OR(Tasks[[#This Row],[Task Name]]="",Tasks[[#This Row],[Baseline Duration]]=""),"",Tasks[[#This Row],[BL Source Duration]]-N(Tasks[[#This Row],[Baseline Duration]]))</f>
        <v/>
      </c>
      <c r="BD174" s="110" t="str">
        <f aca="false">IF(OR(Tasks[[#This Row],[Task Name]]="",Tasks[[#This Row],[Baseline Work]]=""),"",Tasks[[#This Row],[Work]]-N(Tasks[[#This Row],[Baseline Work]]))</f>
        <v/>
      </c>
      <c r="BE174" s="111" t="str">
        <f aca="false">IF(OR(Tasks[[#This Row],[Task Name]]="",Tasks[[#This Row],[Baseline Cost]]=""),"",Tasks[[#This Row],[Cost]]-N(Tasks[[#This Row],[Baseline Cost]]))</f>
        <v/>
      </c>
      <c r="BF174" s="31" t="str">
        <f aca="false">IF(Tasks[[#This Row],[Task Name]]="","",Tasks[[#This Row],[Forecast Start]])</f>
        <v/>
      </c>
      <c r="BG174" s="31" t="str">
        <f aca="false">IF(Tasks[[#This Row],[Task Name]]="","",Tasks[[#This Row],[Forecast Finish]])</f>
        <v/>
      </c>
      <c r="BH174" s="51" t="str">
        <f aca="false">IF(Tasks[[#This Row],[Task Name]]="","",IF(Tasks[[#This Row],[_IsSummary]],NETWORKDAYS.INTL(Tasks[[#This Row],[Forecast Start]],Tasks[[#This Row],[Forecast Finish]],WorkWeek,Holidays),N(Tasks[[#This Row],[Duration]])))</f>
        <v/>
      </c>
      <c r="BI174" s="110" t="str">
        <f aca="false">IF(Tasks[[#This Row],[Task Name]]="","",Tasks[[#This Row],[Work]])</f>
        <v/>
      </c>
      <c r="BJ174" s="111" t="str">
        <f aca="false">IF(Tasks[[#This Row],[Task Name]]="","",Tasks[[#This Row],[Cost]])</f>
        <v/>
      </c>
      <c r="BK174" s="7"/>
      <c r="BL174" s="7"/>
      <c r="BM174" s="52"/>
      <c r="BN174" s="113"/>
      <c r="BO174" s="112"/>
      <c r="BP174" s="111" t="str">
        <f aca="false">IF(Tasks[[#This Row],[Task Name]]="","",IF(Tasks[[#This Row],[_IsSummary]],SUM(INDEX(Tasks[_LeafEV],Tasks[[#This Row],[_Row]]+1):INDEX(Tasks[_LeafEV],Tasks[[#This Row],[_Row]]+Tasks[[#This Row],[_Descendants]])),Tasks[[#This Row],[_LeafEV]]))</f>
        <v/>
      </c>
      <c r="BQ174" s="111" t="str">
        <f aca="false">IF(Tasks[[#This Row],[Task Name]]="","",IF(Tasks[[#This Row],[_IsSummary]],SUM(INDEX(Tasks[_LeafBudget],Tasks[[#This Row],[_Row]]+1):INDEX(Tasks[_LeafBudget],Tasks[[#This Row],[_Row]]+Tasks[[#This Row],[_Descendants]])),Tasks[[#This Row],[_LeafBudget]]))</f>
        <v/>
      </c>
      <c r="BR174" s="111" t="str">
        <f aca="false">IF(Tasks[[#This Row],[Task Name]]="","",IF(Tasks[[#This Row],[_IsSummary]],SUM(INDEX(Tasks[_LeafPV],Tasks[[#This Row],[_Row]]+1):INDEX(Tasks[_LeafPV],Tasks[[#This Row],[_Row]]+Tasks[[#This Row],[_Descendants]])),Tasks[[#This Row],[_LeafPV]]))</f>
        <v/>
      </c>
      <c r="BS174" s="111" t="str">
        <f aca="false">IF(Tasks[[#This Row],[Task Name]]="","",IF(Tasks[[#This Row],[_IsSummary]],SUM(INDEX(Tasks[_LeafAC],Tasks[[#This Row],[_Row]]+1):INDEX(Tasks[_LeafAC],Tasks[[#This Row],[_Row]]+Tasks[[#This Row],[_Descendants]])),Tasks[[#This Row],[_LeafAC]]))</f>
        <v/>
      </c>
      <c r="BT174" s="38" t="str">
        <f aca="false">IF(Tasks[[#This Row],[Task Name]]="","",MAX(1,N(Tasks[[#This Row],[Level]])))</f>
        <v/>
      </c>
      <c r="BU174" s="38" t="n">
        <f aca="false">ROW()-ROW(Tasks[[#Headers],[ID]])</f>
        <v>169</v>
      </c>
      <c r="BV174" s="38" t="n">
        <f aca="false">IF(OR(Tasks[[#This Row],[Task Name]]="",Tasks[[#This Row],[_Level]]&lt;=1),0,IFERROR(LOOKUP(2,1/(Tasks[[#Headers],[_Level]]:Tasks[[#This Row],[_Level]]=Tasks[[#This Row],[_Level]]-1),ROW(Tasks[[#Headers],[_Level]]:Tasks[[#This Row],[_Level]])),0))</f>
        <v>0</v>
      </c>
      <c r="BW174" s="38" t="n">
        <f aca="false">IFERROR(N(INDEX(Tasks[_Level],Tasks[[#This Row],[_Row]]+1)),0)</f>
        <v>0</v>
      </c>
      <c r="BX174" s="114" t="b">
        <f aca="false">AND(Tasks[[#This Row],[Task Name]]&lt;&gt;"",Tasks[[#This Row],[_NextLevel]]&gt;Tasks[[#This Row],[_Level]])</f>
        <v>0</v>
      </c>
      <c r="BY174" s="38" t="n">
        <f aca="false">IF(Tasks[[#This Row],[_IsSummary]],COUNTIF(Tasks[WBS],Tasks[[#This Row],[WBS]]&amp;".*"),0)</f>
        <v>0</v>
      </c>
      <c r="BZ174" s="38" t="n">
        <f aca="false">IF(AND(Tasks[[#This Row],[Task Name]]&lt;&gt;"",NOT(Tasks[[#This Row],[_IsSummary]])),1,0)</f>
        <v>0</v>
      </c>
      <c r="CA174" s="38" t="n">
        <f aca="false">IF(N(Tasks[[#This Row],[Pred1 UID]])=0,0,IFERROR(MATCH(Tasks[[#This Row],[Pred1 UID]],Tasks[UID],0),-1))</f>
        <v>0</v>
      </c>
      <c r="CB174" s="38" t="n">
        <f aca="false">IF(N(Tasks[[#This Row],[Pred2 UID]])=0,0,IFERROR(MATCH(Tasks[[#This Row],[Pred2 UID]],Tasks[UID],0),-1))</f>
        <v>0</v>
      </c>
      <c r="CC174" s="38" t="n">
        <f aca="false">IF(N(Tasks[[#This Row],[Pred3 UID]])=0,0,IFERROR(MATCH(Tasks[[#This Row],[Pred3 UID]],Tasks[UID],0),-1))</f>
        <v>0</v>
      </c>
      <c r="CD174" s="38" t="n">
        <f aca="false">IF(N(Tasks[[#This Row],[Pred4 UID]])=0,0,IFERROR(MATCH(Tasks[[#This Row],[Pred4 UID]],Tasks[UID],0),-1))</f>
        <v>0</v>
      </c>
      <c r="CE17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4" s="115" t="n">
        <f aca="false">IF(OR(Tasks[[#This Row],[_ConstraintCode]]=2,Tasks[[#This Row],[_ConstraintCode]]=3,Tasks[[#This Row],[_ConstraintCode]]=4,Tasks[[#This Row],[_ConstraintCode]]=6),Tasks[[#This Row],[_ConstraintStart]],0)</f>
        <v>0</v>
      </c>
      <c r="CH174" s="115" t="n">
        <f aca="false">IF(OR(Tasks[[#This Row],[_ConstraintCode]]=2,Tasks[[#This Row],[_ConstraintCode]]=3,Tasks[[#This Row],[_ConstraintCode]]=5,Tasks[[#This Row],[_ConstraintCode]]=7),Tasks[[#This Row],[_ConstraintStart]],2958465)</f>
        <v>2958465</v>
      </c>
      <c r="CI17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4" s="115" t="str">
        <f aca="false">IF(NOT(Tasks[[#This Row],[_IsLeaf]]=1),"",IF(N(Tasks[[#This Row],[Duration]])&lt;=0,Tasks[[#This Row],[_LeafCalcStart]],WORKDAY.INTL(Tasks[[#This Row],[_LeafCalcStart]],Tasks[[#This Row],[Duration]]-1,WorkWeek,Holidays)))</f>
        <v/>
      </c>
      <c r="CK17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4" s="38" t="n">
        <f aca="false">IF(NOT(Tasks[[#This Row],[_IsLeaf]]=1),0,IF(N(Tasks[[#This Row],[Actual Finish]])&gt;0,1,MIN(1,N(Tasks[[#This Row],[% Complete]]))))</f>
        <v>0</v>
      </c>
      <c r="CN174" s="38" t="n">
        <f aca="false">IF(OR(NOT(Tasks[[#This Row],[_IsLeaf]]=1),Tasks[[#This Row],[Resource]]=""),0,N(Tasks[[#This Row],[Duration]])*HoursPerDay*IF(Tasks[[#This Row],[Units]]="",DefaultUnits,Tasks[[#This Row],[Units]]))</f>
        <v>0</v>
      </c>
      <c r="CO174" s="38" t="n">
        <f aca="false">IF(Tasks[[#This Row],[_LeafWork]]=0,0,Tasks[[#This Row],[_LeafWork]]*IFERROR(INDEX(res_Rate,MATCH(Tasks[[#This Row],[Resource]],res_Name,0)),0))</f>
        <v>0</v>
      </c>
      <c r="CP174" s="38" t="n">
        <f aca="false">Tasks[[#This Row],[_LeafWork]]+IF(Tasks[[#This Row],[_IsLeaf]]=1,SUMIFS(asg_Work,asg_TaskUID,Tasks[[#This Row],[UID]],asg_Valid,1),0)</f>
        <v>0</v>
      </c>
      <c r="CQ174" s="38" t="n">
        <f aca="false">Tasks[[#This Row],[_LeafCost]]+IF(Tasks[[#This Row],[_IsLeaf]]=1,SUMIFS(asg_Cost,asg_TaskUID,Tasks[[#This Row],[UID]],asg_Valid,1),0)</f>
        <v>0</v>
      </c>
      <c r="CR174" s="38" t="n">
        <f aca="false">IF(Tasks[[#This Row],[_LeafTotalCost]]=0,Tasks[[#This Row],[_LeafAC]],Tasks[[#This Row],[_LeafAC]]*Tasks[[#This Row],[_LeafCost]]/Tasks[[#This Row],[_LeafTotalCost]])</f>
        <v>0</v>
      </c>
      <c r="CS17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4" s="38" t="n">
        <f aca="false">IF(NOT(Tasks[[#This Row],[_IsLeaf]]=1),0,MAX(_xlfn.MAXIFS(Tasks[_Row],Tasks[Pred1 UID],Tasks[[#This Row],[UID]]),_xlfn.MAXIFS(Tasks[_Row],Tasks[Pred2 UID],Tasks[[#This Row],[UID]]),_xlfn.MAXIFS(Tasks[_Row],Tasks[Pred3 UID],Tasks[[#This Row],[UID]]),_xlfn.MAXIFS(Tasks[_Row],Tasks[Pred4 UID],Tasks[[#This Row],[UID]])))</f>
        <v>0</v>
      </c>
      <c r="DB17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4" s="115" t="str">
        <f aca="false">IF(NOT(Tasks[[#This Row],[_IsLeaf]]=1),"",IF(N(Tasks[[#This Row],[Duration]])&lt;=0,Tasks[[#This Row],[_LeafLateFinish]],WORKDAY.INTL(Tasks[[#This Row],[_LeafLateFinish]],-(Tasks[[#This Row],[Duration]]-1),WorkWeek,Holidays)))</f>
        <v/>
      </c>
      <c r="DE17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4" s="114" t="b">
        <f aca="false">AND(Tasks[[#This Row],[_IsLeaf]]=1,Tasks[[#This Row],[_LeafProgress]]&lt;1,N(Tasks[[#This Row],[_LeafTotalSlack]])&lt;=CriticalSlackDays)</f>
        <v>0</v>
      </c>
      <c r="DG174" s="38" t="n">
        <f aca="false">IF(AND(Tasks[[#This Row],[_IsLeaf]]=1,Tasks[[#This Row],[_ConstraintCode]]=1,Tasks[[#This Row],[Mode]]&lt;&gt;"Manual",N(Tasks[[#This Row],[Actual Start]])=0),MAX(0,N(Tasks[[#This Row],[Free Slack]])),0)</f>
        <v>0</v>
      </c>
      <c r="DH174" s="115" t="str">
        <f aca="false">IF(NOT(Tasks[[#This Row],[_IsLeaf]]=1),"",IF(Tasks[[#This Row],[_AlapShift]]=0,Tasks[[#This Row],[_LeafCalcStart]],WORKDAY.INTL(Tasks[[#This Row],[_LeafCalcStart]],Tasks[[#This Row],[_AlapShift]],WorkWeek,Holidays)))</f>
        <v/>
      </c>
      <c r="DI174" s="115" t="str">
        <f aca="false">IF(NOT(Tasks[[#This Row],[_IsLeaf]]=1),"",IF(Tasks[[#This Row],[_AlapShift]]=0,Tasks[[#This Row],[_LeafCalcFinish]],WORKDAY.INTL(Tasks[[#This Row],[_LeafCalcFinish]],Tasks[[#This Row],[_AlapShift]],WorkWeek,Holidays)))</f>
        <v/>
      </c>
      <c r="DJ174" s="115" t="str">
        <f aca="false">IF(NOT(Tasks[[#This Row],[_IsLeaf]]=1),"",IF(Tasks[[#This Row],[_AlapShift]]=0,Tasks[[#This Row],[_LeafFcstStart]],WORKDAY.INTL(Tasks[[#This Row],[_LeafFcstStart]],Tasks[[#This Row],[_AlapShift]],WorkWeek,Holidays)))</f>
        <v/>
      </c>
      <c r="DK174" s="115" t="str">
        <f aca="false">IF(NOT(Tasks[[#This Row],[_IsLeaf]]=1),"",IF(Tasks[[#This Row],[_AlapShift]]=0,Tasks[[#This Row],[_LeafFcstFinish]],WORKDAY.INTL(Tasks[[#This Row],[_LeafFcstFinish]],Tasks[[#This Row],[_AlapShift]],WorkWeek,Holidays)))</f>
        <v/>
      </c>
      <c r="DL174" s="115" t="str">
        <f aca="false">IF(Tasks[[#This Row],[Task Name]]="","",IF(Tasks[[#This Row],[_IsSummary]],MIN(INDEX(Tasks[_ShownCalcStart],Tasks[[#This Row],[_Row]]+1):INDEX(Tasks[_ShownCalcStart],Tasks[[#This Row],[_Row]]+Tasks[[#This Row],[_Descendants]])),Tasks[[#This Row],[_ShownCalcStart]]))</f>
        <v/>
      </c>
      <c r="DM174" s="115" t="str">
        <f aca="false">IF(Tasks[[#This Row],[Task Name]]="","",IF(Tasks[[#This Row],[_IsSummary]],MAX(INDEX(Tasks[_ShownCalcFinish],Tasks[[#This Row],[_Row]]+1):INDEX(Tasks[_ShownCalcFinish],Tasks[[#This Row],[_Row]]+Tasks[[#This Row],[_Descendants]])),Tasks[[#This Row],[_ShownCalcFinish]]))</f>
        <v/>
      </c>
      <c r="DN17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4" s="38" t="n">
        <f aca="false">IF(AND(Tasks[[#This Row],[_IsLeaf]]=1,Tasks[[#This Row],[_LeafTotalWork]]&gt;0),NETWORKDAYS.INTL(ProjectStart,Tasks[[#This Row],[_ShownFcstStart]],WorkWeek,Holidays),0)</f>
        <v>0</v>
      </c>
      <c r="EA174" s="38" t="n">
        <f aca="false">IF(AND(Tasks[[#This Row],[_IsLeaf]]=1,Tasks[[#This Row],[_LeafTotalWork]]&gt;0),MAX(Tasks[[#This Row],[_StartWorkday]],NETWORKDAYS.INTL(ProjectStart,Tasks[[#This Row],[_ShownFcstFinish]],WorkWeek,Holidays)),0)</f>
        <v>0</v>
      </c>
      <c r="EB174" s="38" t="n">
        <f aca="false">IF(AND(Tasks[[#This Row],[_IsLeaf]]=1,Tasks[[#This Row],[_LeafTotalWork]]&gt;0),Tasks[[#This Row],[_LeafWork]]/(Tasks[[#This Row],[_FinishWorkday]]-Tasks[[#This Row],[_StartWorkday]]+1),0)</f>
        <v>0</v>
      </c>
      <c r="EC174" s="38" t="n">
        <f aca="false">Tasks[[#This Row],[_WorkPerWorkday]]*(Tasks[[#This Row],[_StartWorkday]]-1)</f>
        <v>-0</v>
      </c>
      <c r="ED174" s="38" t="n">
        <f aca="false">IF(Tasks[[#This Row],[_IsLeaf]]=1,MAX(N(Tasks[[#This Row],[Duration]]),0.1),0)</f>
        <v>0</v>
      </c>
      <c r="EE174" s="38" t="n">
        <f aca="false">Tasks[[#This Row],[_WeightDur]]*Tasks[[#This Row],[_LeafProgress]]</f>
        <v>0</v>
      </c>
      <c r="EF17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4" s="38" t="str">
        <f aca="false">IF(AND(Tasks[[#This Row],[_IsLeaf]]=1,N(Tasks[[#This Row],[Duration]])=0,Tasks[[#This Row],[_LeafProgress]]&lt;1),Tasks[[#This Row],[_ShownFcstFinish]]+Tasks[[#This Row],[_Row]]/100000,"")</f>
        <v/>
      </c>
      <c r="EH17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4" s="38" t="n">
        <f aca="false">IF(NOT(Tasks[[#This Row],[_IsLeaf]]=1),0,IF(Tasks[[#This Row],[Baseline Cost]]="",Tasks[[#This Row],[_LeafTotalCost]],N(Tasks[[#This Row],[Baseline Cost]])))</f>
        <v>0</v>
      </c>
      <c r="EJ174" s="38" t="n">
        <f aca="false">Tasks[[#This Row],[_LeafBudget]]*Tasks[[#This Row],[_PlannedPct]]</f>
        <v>0</v>
      </c>
      <c r="EK174" s="38" t="n">
        <f aca="false">Tasks[[#This Row],[_LeafBudget]]*Tasks[[#This Row],[_LeafProgress]]</f>
        <v>0</v>
      </c>
      <c r="EL174" s="38" t="n">
        <f aca="false">IF(NOT(Tasks[[#This Row],[_IsLeaf]]=1),0,IF(Tasks[[#This Row],[Actual Cost]]="",Tasks[[#This Row],[_LeafTotalCost]]*Tasks[[#This Row],[_LeafProgress]],N(Tasks[[#This Row],[Actual Cost]])))</f>
        <v>0</v>
      </c>
      <c r="EM174" s="38" t="str">
        <f aca="false">IF(Tasks[[#This Row],[Task Name]]="","",LEFT(Tasks[[#This Row],[WBS]],FIND(".",Tasks[[#This Row],[WBS]]&amp;".")-1))</f>
        <v/>
      </c>
      <c r="EN174" s="38" t="str">
        <f aca="false">IF(AND(Tasks[[#This Row],[Task Name]]&lt;&gt;"",Tasks[[#This Row],[_Level]]=1),Tasks[[#This Row],[_Row]],"")</f>
        <v/>
      </c>
      <c r="EO174" s="38" t="str">
        <f aca="false">IF(AND(Tasks[[#This Row],[_IsLeaf]]=1,N(Tasks[[#This Row],[Duration]])=0),Tasks[[#This Row],[Planned Finish]]+Tasks[[#This Row],[_Row]]/100000,"")</f>
        <v/>
      </c>
      <c r="EP174" s="38" t="str">
        <f aca="false">IF(AND(Tasks[[#This Row],[_IsLeaf]]=1,Tasks[[#This Row],[_LeafProgress]]&lt;1,OR(N(Tasks[[#This Row],[Finish Var]])&gt;0,Tasks[[#This Row],[Status]]="Late Start")),MAX(0,Tasks[[#This Row],[Finish Var]])+1-Tasks[[#This Row],[_Row]]/1000000,"")</f>
        <v/>
      </c>
      <c r="EQ174" s="38" t="str">
        <f aca="false">IF(AND(Tasks[[#This Row],[_IsLeaf]]=1,N(Tasks[[#This Row],[Actual Start]])=0,Tasks[[#This Row],[_ShownFcstStart]]&gt;=StatusDate,Tasks[[#This Row],[_ShownFcstStart]]&lt;=LookaheadEnd),Tasks[[#This Row],[_ShownFcstStart]]+Tasks[[#This Row],[_Row]]/100000,"")</f>
        <v/>
      </c>
      <c r="ER174" s="38" t="str">
        <f aca="false">IF(AND(Tasks[[#This Row],[_IsLeaf]]=1,Tasks[[#This Row],[_LeafProgress]]&lt;1,Tasks[[#This Row],[_ShownFcstFinish]]&gt;=StatusDate,Tasks[[#This Row],[_ShownFcstFinish]]&lt;=LookaheadEnd),Tasks[[#This Row],[_ShownFcstFinish]]+Tasks[[#This Row],[_Row]]/100000,"")</f>
        <v/>
      </c>
      <c r="ES174" s="38" t="str">
        <f aca="false">IF(Tasks[[#This Row],[_LeafCritical]],Tasks[[#This Row],[_ShownFcstStart]]+Tasks[[#This Row],[_Row]]/100000,"")</f>
        <v/>
      </c>
      <c r="ET174" s="38" t="n">
        <f aca="false">Tasks[[#This Row],[_LeafWork]]*Tasks[[#This Row],[_LeafProgress]]</f>
        <v>0</v>
      </c>
      <c r="EU174" s="115" t="str">
        <f aca="false">IF(AND(Tasks[[#This Row],[_IsLeaf]]=1,Tasks[[#This Row],[_LeafProgress]]&gt;=1),IF(N(Tasks[[#This Row],[Actual Finish]])&gt;0,Tasks[[#This Row],[Actual Finish]],Tasks[[#This Row],[_ShownFcstFinish]]),"")</f>
        <v/>
      </c>
      <c r="EV174" s="38" t="n">
        <f aca="false">IF(Tasks[[#This Row],[_IsLeaf]]=1,N(Tasks[[#This Row],[Story Points]]),0)</f>
        <v>0</v>
      </c>
      <c r="EW174" s="38" t="str">
        <f aca="false">IF(AND(Tasks[[#This Row],[_IsLeaf]]=1,CurrentSprint&lt;&gt;"",Tasks[[#This Row],[Sprint]]=CurrentSprint),Tasks[[#This Row],[_Row]],"")</f>
        <v/>
      </c>
    </row>
    <row r="175" customFormat="false" ht="15" hidden="false" customHeight="false" outlineLevel="0" collapsed="false">
      <c r="A175" s="51" t="str">
        <f aca="false">IF(Tasks[[#This Row],[Task Name]]="","",COUNTA(Tasks[[#Headers],[Task Name]]:Tasks[[#This Row],[Task Name]])-1)</f>
        <v/>
      </c>
      <c r="B175" s="52" t="n">
        <v>170</v>
      </c>
      <c r="C17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52"/>
      <c r="E175" s="53"/>
      <c r="F175" s="52"/>
      <c r="G175" s="52"/>
      <c r="H175" s="52"/>
      <c r="I175" s="52"/>
      <c r="J175" s="52"/>
      <c r="K175" s="52"/>
      <c r="L175" s="52"/>
      <c r="M175" s="52"/>
      <c r="N175" s="52"/>
      <c r="O175" s="52"/>
      <c r="P175" s="52"/>
      <c r="Q175" s="52"/>
      <c r="R175" s="52"/>
      <c r="S175" s="53"/>
      <c r="T175" s="102"/>
      <c r="U175" s="102"/>
      <c r="V175" s="7"/>
      <c r="W175" s="7"/>
      <c r="X175" s="53"/>
      <c r="Y175" s="31" t="str">
        <f aca="false">IF(Tasks[[#This Row],[Task Name]]="","",IF(Tasks[[#This Row],[_IsSummary]],MIN(INDEX(Tasks[_ShownFcstStart],Tasks[[#This Row],[_Row]]+1):INDEX(Tasks[_ShownFcstStart],Tasks[[#This Row],[_Row]]+Tasks[[#This Row],[_Descendants]])),Tasks[[#This Row],[_ShownFcstStart]]))</f>
        <v/>
      </c>
      <c r="Z175" s="31" t="str">
        <f aca="false">IF(Tasks[[#This Row],[Task Name]]="","",IF(Tasks[[#This Row],[_IsSummary]],MAX(INDEX(Tasks[_ShownFcstFinish],Tasks[[#This Row],[_Row]]+1):INDEX(Tasks[_ShownFcstFinish],Tasks[[#This Row],[_Row]]+Tasks[[#This Row],[_Descendants]])),Tasks[[#This Row],[_ShownFcstFinish]]))</f>
        <v/>
      </c>
      <c r="AA175" s="51" t="str">
        <f aca="false">IF(Tasks[[#This Row],[Task Name]]="","",IF(Tasks[[#This Row],[Progress]]&gt;=1,"Complete",IF(OR(N(Tasks[[#This Row],[Actual Start]])&gt;0,Tasks[[#This Row],[Progress]]&gt;0),IF(Tasks[[#This Row],[Finish Var]]&gt;0,"Behind","In Progress"),IF(Tasks[[#This Row],[Planned Start]]&lt;StatusDate,"Late Start","Not Started"))))</f>
        <v/>
      </c>
      <c r="AB175" s="51" t="str">
        <f aca="false">IF(Tasks[[#This Row],[Task Name]]="","",IF(IF(Tasks[[#This Row],[_IsSummary]],COUNTIF(INDEX(Tasks[_LeafCritical],Tasks[[#This Row],[_Row]]+1):INDEX(Tasks[_LeafCritical],Tasks[[#This Row],[_Row]]+Tasks[[#This Row],[_Descendants]]),TRUE())&gt;0,Tasks[[#This Row],[_LeafCritical]]),"Yes",""))</f>
        <v/>
      </c>
      <c r="AC17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5" s="51" t="str">
        <f aca="false">IF(Tasks[[#This Row],[Task Name]]="","",IF(Tasks[[#This Row],[_Level]]&lt;=OutlineShowLevel,"Yes","No"))</f>
        <v/>
      </c>
      <c r="AE175" s="7"/>
      <c r="AF175" s="52"/>
      <c r="AG175" s="53"/>
      <c r="AH175" s="7"/>
      <c r="AI17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5" s="31" t="str">
        <f aca="false">IF(Tasks[[#This Row],[Task Name]]="","",IF(N(Tasks[[#This Row],[Baseline Start]])&gt;0,Tasks[[#This Row],[Baseline Start]],Tasks[[#This Row],[_CalcStart]]))</f>
        <v/>
      </c>
      <c r="AK175" s="31" t="str">
        <f aca="false">IF(Tasks[[#This Row],[Task Name]]="","",IF(N(Tasks[[#This Row],[Baseline Finish]])&gt;0,Tasks[[#This Row],[Baseline Finish]],Tasks[[#This Row],[_CalcFinish]]))</f>
        <v/>
      </c>
      <c r="AL17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5" s="31" t="str">
        <f aca="false">IF(Tasks[[#This Row],[Task Name]]="","",IF(Tasks[[#This Row],[_IsSummary]],MIN(INDEX(Tasks[_LeafLateStart],Tasks[[#This Row],[_Row]]+1):INDEX(Tasks[_LeafLateStart],Tasks[[#This Row],[_Row]]+Tasks[[#This Row],[_Descendants]])),Tasks[[#This Row],[_LeafLateStart]]))</f>
        <v/>
      </c>
      <c r="AN175" s="31" t="str">
        <f aca="false">IF(Tasks[[#This Row],[Task Name]]="","",IF(Tasks[[#This Row],[_IsSummary]],MAX(INDEX(Tasks[_LeafLateFinish],Tasks[[#This Row],[_Row]]+1):INDEX(Tasks[_LeafLateFinish],Tasks[[#This Row],[_Row]]+Tasks[[#This Row],[_Descendants]])),Tasks[[#This Row],[_LeafLateFinish]]))</f>
        <v/>
      </c>
      <c r="AO175" s="51" t="str">
        <f aca="false">IF(Tasks[[#This Row],[Task Name]]="","",IF(Tasks[[#This Row],[_IsSummary]],MIN(INDEX(Tasks[_LeafTotalSlack],Tasks[[#This Row],[_Row]]+1):INDEX(Tasks[_LeafTotalSlack],Tasks[[#This Row],[_Row]]+Tasks[[#This Row],[_Descendants]])),Tasks[[#This Row],[_LeafTotalSlack]]))</f>
        <v/>
      </c>
      <c r="AP17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5" s="110" t="str">
        <f aca="false">IF(Tasks[[#This Row],[Task Name]]="","",IF(Tasks[[#This Row],[_IsSummary]],SUM(INDEX(Tasks[_LeafTotalWork],Tasks[[#This Row],[_Row]]+1):INDEX(Tasks[_LeafTotalWork],Tasks[[#This Row],[_Row]]+Tasks[[#This Row],[_Descendants]])),Tasks[[#This Row],[_LeafTotalWork]]))</f>
        <v/>
      </c>
      <c r="AV17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5" s="111" t="str">
        <f aca="false">IF(Tasks[[#This Row],[Task Name]]="","",IF(Tasks[[#This Row],[_IsSummary]],SUM(INDEX(Tasks[_LeafTotalCost],Tasks[[#This Row],[_Row]]+1):INDEX(Tasks[_LeafTotalCost],Tasks[[#This Row],[_Row]]+Tasks[[#This Row],[_Descendants]])),Tasks[[#This Row],[_LeafTotalCost]]))</f>
        <v/>
      </c>
      <c r="AY175" s="112"/>
      <c r="AZ17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5" s="52"/>
      <c r="BB175" s="98"/>
      <c r="BC175" s="51" t="str">
        <f aca="false">IF(OR(Tasks[[#This Row],[Task Name]]="",Tasks[[#This Row],[Baseline Duration]]=""),"",Tasks[[#This Row],[BL Source Duration]]-N(Tasks[[#This Row],[Baseline Duration]]))</f>
        <v/>
      </c>
      <c r="BD175" s="110" t="str">
        <f aca="false">IF(OR(Tasks[[#This Row],[Task Name]]="",Tasks[[#This Row],[Baseline Work]]=""),"",Tasks[[#This Row],[Work]]-N(Tasks[[#This Row],[Baseline Work]]))</f>
        <v/>
      </c>
      <c r="BE175" s="111" t="str">
        <f aca="false">IF(OR(Tasks[[#This Row],[Task Name]]="",Tasks[[#This Row],[Baseline Cost]]=""),"",Tasks[[#This Row],[Cost]]-N(Tasks[[#This Row],[Baseline Cost]]))</f>
        <v/>
      </c>
      <c r="BF175" s="31" t="str">
        <f aca="false">IF(Tasks[[#This Row],[Task Name]]="","",Tasks[[#This Row],[Forecast Start]])</f>
        <v/>
      </c>
      <c r="BG175" s="31" t="str">
        <f aca="false">IF(Tasks[[#This Row],[Task Name]]="","",Tasks[[#This Row],[Forecast Finish]])</f>
        <v/>
      </c>
      <c r="BH175" s="51" t="str">
        <f aca="false">IF(Tasks[[#This Row],[Task Name]]="","",IF(Tasks[[#This Row],[_IsSummary]],NETWORKDAYS.INTL(Tasks[[#This Row],[Forecast Start]],Tasks[[#This Row],[Forecast Finish]],WorkWeek,Holidays),N(Tasks[[#This Row],[Duration]])))</f>
        <v/>
      </c>
      <c r="BI175" s="110" t="str">
        <f aca="false">IF(Tasks[[#This Row],[Task Name]]="","",Tasks[[#This Row],[Work]])</f>
        <v/>
      </c>
      <c r="BJ175" s="111" t="str">
        <f aca="false">IF(Tasks[[#This Row],[Task Name]]="","",Tasks[[#This Row],[Cost]])</f>
        <v/>
      </c>
      <c r="BK175" s="7"/>
      <c r="BL175" s="7"/>
      <c r="BM175" s="52"/>
      <c r="BN175" s="113"/>
      <c r="BO175" s="112"/>
      <c r="BP175" s="111" t="str">
        <f aca="false">IF(Tasks[[#This Row],[Task Name]]="","",IF(Tasks[[#This Row],[_IsSummary]],SUM(INDEX(Tasks[_LeafEV],Tasks[[#This Row],[_Row]]+1):INDEX(Tasks[_LeafEV],Tasks[[#This Row],[_Row]]+Tasks[[#This Row],[_Descendants]])),Tasks[[#This Row],[_LeafEV]]))</f>
        <v/>
      </c>
      <c r="BQ175" s="111" t="str">
        <f aca="false">IF(Tasks[[#This Row],[Task Name]]="","",IF(Tasks[[#This Row],[_IsSummary]],SUM(INDEX(Tasks[_LeafBudget],Tasks[[#This Row],[_Row]]+1):INDEX(Tasks[_LeafBudget],Tasks[[#This Row],[_Row]]+Tasks[[#This Row],[_Descendants]])),Tasks[[#This Row],[_LeafBudget]]))</f>
        <v/>
      </c>
      <c r="BR175" s="111" t="str">
        <f aca="false">IF(Tasks[[#This Row],[Task Name]]="","",IF(Tasks[[#This Row],[_IsSummary]],SUM(INDEX(Tasks[_LeafPV],Tasks[[#This Row],[_Row]]+1):INDEX(Tasks[_LeafPV],Tasks[[#This Row],[_Row]]+Tasks[[#This Row],[_Descendants]])),Tasks[[#This Row],[_LeafPV]]))</f>
        <v/>
      </c>
      <c r="BS175" s="111" t="str">
        <f aca="false">IF(Tasks[[#This Row],[Task Name]]="","",IF(Tasks[[#This Row],[_IsSummary]],SUM(INDEX(Tasks[_LeafAC],Tasks[[#This Row],[_Row]]+1):INDEX(Tasks[_LeafAC],Tasks[[#This Row],[_Row]]+Tasks[[#This Row],[_Descendants]])),Tasks[[#This Row],[_LeafAC]]))</f>
        <v/>
      </c>
      <c r="BT175" s="38" t="str">
        <f aca="false">IF(Tasks[[#This Row],[Task Name]]="","",MAX(1,N(Tasks[[#This Row],[Level]])))</f>
        <v/>
      </c>
      <c r="BU175" s="38" t="n">
        <f aca="false">ROW()-ROW(Tasks[[#Headers],[ID]])</f>
        <v>170</v>
      </c>
      <c r="BV175" s="38" t="n">
        <f aca="false">IF(OR(Tasks[[#This Row],[Task Name]]="",Tasks[[#This Row],[_Level]]&lt;=1),0,IFERROR(LOOKUP(2,1/(Tasks[[#Headers],[_Level]]:Tasks[[#This Row],[_Level]]=Tasks[[#This Row],[_Level]]-1),ROW(Tasks[[#Headers],[_Level]]:Tasks[[#This Row],[_Level]])),0))</f>
        <v>0</v>
      </c>
      <c r="BW175" s="38" t="n">
        <f aca="false">IFERROR(N(INDEX(Tasks[_Level],Tasks[[#This Row],[_Row]]+1)),0)</f>
        <v>0</v>
      </c>
      <c r="BX175" s="114" t="b">
        <f aca="false">AND(Tasks[[#This Row],[Task Name]]&lt;&gt;"",Tasks[[#This Row],[_NextLevel]]&gt;Tasks[[#This Row],[_Level]])</f>
        <v>0</v>
      </c>
      <c r="BY175" s="38" t="n">
        <f aca="false">IF(Tasks[[#This Row],[_IsSummary]],COUNTIF(Tasks[WBS],Tasks[[#This Row],[WBS]]&amp;".*"),0)</f>
        <v>0</v>
      </c>
      <c r="BZ175" s="38" t="n">
        <f aca="false">IF(AND(Tasks[[#This Row],[Task Name]]&lt;&gt;"",NOT(Tasks[[#This Row],[_IsSummary]])),1,0)</f>
        <v>0</v>
      </c>
      <c r="CA175" s="38" t="n">
        <f aca="false">IF(N(Tasks[[#This Row],[Pred1 UID]])=0,0,IFERROR(MATCH(Tasks[[#This Row],[Pred1 UID]],Tasks[UID],0),-1))</f>
        <v>0</v>
      </c>
      <c r="CB175" s="38" t="n">
        <f aca="false">IF(N(Tasks[[#This Row],[Pred2 UID]])=0,0,IFERROR(MATCH(Tasks[[#This Row],[Pred2 UID]],Tasks[UID],0),-1))</f>
        <v>0</v>
      </c>
      <c r="CC175" s="38" t="n">
        <f aca="false">IF(N(Tasks[[#This Row],[Pred3 UID]])=0,0,IFERROR(MATCH(Tasks[[#This Row],[Pred3 UID]],Tasks[UID],0),-1))</f>
        <v>0</v>
      </c>
      <c r="CD175" s="38" t="n">
        <f aca="false">IF(N(Tasks[[#This Row],[Pred4 UID]])=0,0,IFERROR(MATCH(Tasks[[#This Row],[Pred4 UID]],Tasks[UID],0),-1))</f>
        <v>0</v>
      </c>
      <c r="CE17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5" s="115" t="n">
        <f aca="false">IF(OR(Tasks[[#This Row],[_ConstraintCode]]=2,Tasks[[#This Row],[_ConstraintCode]]=3,Tasks[[#This Row],[_ConstraintCode]]=4,Tasks[[#This Row],[_ConstraintCode]]=6),Tasks[[#This Row],[_ConstraintStart]],0)</f>
        <v>0</v>
      </c>
      <c r="CH175" s="115" t="n">
        <f aca="false">IF(OR(Tasks[[#This Row],[_ConstraintCode]]=2,Tasks[[#This Row],[_ConstraintCode]]=3,Tasks[[#This Row],[_ConstraintCode]]=5,Tasks[[#This Row],[_ConstraintCode]]=7),Tasks[[#This Row],[_ConstraintStart]],2958465)</f>
        <v>2958465</v>
      </c>
      <c r="CI17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5" s="115" t="str">
        <f aca="false">IF(NOT(Tasks[[#This Row],[_IsLeaf]]=1),"",IF(N(Tasks[[#This Row],[Duration]])&lt;=0,Tasks[[#This Row],[_LeafCalcStart]],WORKDAY.INTL(Tasks[[#This Row],[_LeafCalcStart]],Tasks[[#This Row],[Duration]]-1,WorkWeek,Holidays)))</f>
        <v/>
      </c>
      <c r="CK17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5" s="38" t="n">
        <f aca="false">IF(NOT(Tasks[[#This Row],[_IsLeaf]]=1),0,IF(N(Tasks[[#This Row],[Actual Finish]])&gt;0,1,MIN(1,N(Tasks[[#This Row],[% Complete]]))))</f>
        <v>0</v>
      </c>
      <c r="CN175" s="38" t="n">
        <f aca="false">IF(OR(NOT(Tasks[[#This Row],[_IsLeaf]]=1),Tasks[[#This Row],[Resource]]=""),0,N(Tasks[[#This Row],[Duration]])*HoursPerDay*IF(Tasks[[#This Row],[Units]]="",DefaultUnits,Tasks[[#This Row],[Units]]))</f>
        <v>0</v>
      </c>
      <c r="CO175" s="38" t="n">
        <f aca="false">IF(Tasks[[#This Row],[_LeafWork]]=0,0,Tasks[[#This Row],[_LeafWork]]*IFERROR(INDEX(res_Rate,MATCH(Tasks[[#This Row],[Resource]],res_Name,0)),0))</f>
        <v>0</v>
      </c>
      <c r="CP175" s="38" t="n">
        <f aca="false">Tasks[[#This Row],[_LeafWork]]+IF(Tasks[[#This Row],[_IsLeaf]]=1,SUMIFS(asg_Work,asg_TaskUID,Tasks[[#This Row],[UID]],asg_Valid,1),0)</f>
        <v>0</v>
      </c>
      <c r="CQ175" s="38" t="n">
        <f aca="false">Tasks[[#This Row],[_LeafCost]]+IF(Tasks[[#This Row],[_IsLeaf]]=1,SUMIFS(asg_Cost,asg_TaskUID,Tasks[[#This Row],[UID]],asg_Valid,1),0)</f>
        <v>0</v>
      </c>
      <c r="CR175" s="38" t="n">
        <f aca="false">IF(Tasks[[#This Row],[_LeafTotalCost]]=0,Tasks[[#This Row],[_LeafAC]],Tasks[[#This Row],[_LeafAC]]*Tasks[[#This Row],[_LeafCost]]/Tasks[[#This Row],[_LeafTotalCost]])</f>
        <v>0</v>
      </c>
      <c r="CS17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5" s="38" t="n">
        <f aca="false">IF(NOT(Tasks[[#This Row],[_IsLeaf]]=1),0,MAX(_xlfn.MAXIFS(Tasks[_Row],Tasks[Pred1 UID],Tasks[[#This Row],[UID]]),_xlfn.MAXIFS(Tasks[_Row],Tasks[Pred2 UID],Tasks[[#This Row],[UID]]),_xlfn.MAXIFS(Tasks[_Row],Tasks[Pred3 UID],Tasks[[#This Row],[UID]]),_xlfn.MAXIFS(Tasks[_Row],Tasks[Pred4 UID],Tasks[[#This Row],[UID]])))</f>
        <v>0</v>
      </c>
      <c r="DB17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5" s="115" t="str">
        <f aca="false">IF(NOT(Tasks[[#This Row],[_IsLeaf]]=1),"",IF(N(Tasks[[#This Row],[Duration]])&lt;=0,Tasks[[#This Row],[_LeafLateFinish]],WORKDAY.INTL(Tasks[[#This Row],[_LeafLateFinish]],-(Tasks[[#This Row],[Duration]]-1),WorkWeek,Holidays)))</f>
        <v/>
      </c>
      <c r="DE17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5" s="114" t="b">
        <f aca="false">AND(Tasks[[#This Row],[_IsLeaf]]=1,Tasks[[#This Row],[_LeafProgress]]&lt;1,N(Tasks[[#This Row],[_LeafTotalSlack]])&lt;=CriticalSlackDays)</f>
        <v>0</v>
      </c>
      <c r="DG175" s="38" t="n">
        <f aca="false">IF(AND(Tasks[[#This Row],[_IsLeaf]]=1,Tasks[[#This Row],[_ConstraintCode]]=1,Tasks[[#This Row],[Mode]]&lt;&gt;"Manual",N(Tasks[[#This Row],[Actual Start]])=0),MAX(0,N(Tasks[[#This Row],[Free Slack]])),0)</f>
        <v>0</v>
      </c>
      <c r="DH175" s="115" t="str">
        <f aca="false">IF(NOT(Tasks[[#This Row],[_IsLeaf]]=1),"",IF(Tasks[[#This Row],[_AlapShift]]=0,Tasks[[#This Row],[_LeafCalcStart]],WORKDAY.INTL(Tasks[[#This Row],[_LeafCalcStart]],Tasks[[#This Row],[_AlapShift]],WorkWeek,Holidays)))</f>
        <v/>
      </c>
      <c r="DI175" s="115" t="str">
        <f aca="false">IF(NOT(Tasks[[#This Row],[_IsLeaf]]=1),"",IF(Tasks[[#This Row],[_AlapShift]]=0,Tasks[[#This Row],[_LeafCalcFinish]],WORKDAY.INTL(Tasks[[#This Row],[_LeafCalcFinish]],Tasks[[#This Row],[_AlapShift]],WorkWeek,Holidays)))</f>
        <v/>
      </c>
      <c r="DJ175" s="115" t="str">
        <f aca="false">IF(NOT(Tasks[[#This Row],[_IsLeaf]]=1),"",IF(Tasks[[#This Row],[_AlapShift]]=0,Tasks[[#This Row],[_LeafFcstStart]],WORKDAY.INTL(Tasks[[#This Row],[_LeafFcstStart]],Tasks[[#This Row],[_AlapShift]],WorkWeek,Holidays)))</f>
        <v/>
      </c>
      <c r="DK175" s="115" t="str">
        <f aca="false">IF(NOT(Tasks[[#This Row],[_IsLeaf]]=1),"",IF(Tasks[[#This Row],[_AlapShift]]=0,Tasks[[#This Row],[_LeafFcstFinish]],WORKDAY.INTL(Tasks[[#This Row],[_LeafFcstFinish]],Tasks[[#This Row],[_AlapShift]],WorkWeek,Holidays)))</f>
        <v/>
      </c>
      <c r="DL175" s="115" t="str">
        <f aca="false">IF(Tasks[[#This Row],[Task Name]]="","",IF(Tasks[[#This Row],[_IsSummary]],MIN(INDEX(Tasks[_ShownCalcStart],Tasks[[#This Row],[_Row]]+1):INDEX(Tasks[_ShownCalcStart],Tasks[[#This Row],[_Row]]+Tasks[[#This Row],[_Descendants]])),Tasks[[#This Row],[_ShownCalcStart]]))</f>
        <v/>
      </c>
      <c r="DM175" s="115" t="str">
        <f aca="false">IF(Tasks[[#This Row],[Task Name]]="","",IF(Tasks[[#This Row],[_IsSummary]],MAX(INDEX(Tasks[_ShownCalcFinish],Tasks[[#This Row],[_Row]]+1):INDEX(Tasks[_ShownCalcFinish],Tasks[[#This Row],[_Row]]+Tasks[[#This Row],[_Descendants]])),Tasks[[#This Row],[_ShownCalcFinish]]))</f>
        <v/>
      </c>
      <c r="DN17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5" s="38" t="n">
        <f aca="false">IF(AND(Tasks[[#This Row],[_IsLeaf]]=1,Tasks[[#This Row],[_LeafTotalWork]]&gt;0),NETWORKDAYS.INTL(ProjectStart,Tasks[[#This Row],[_ShownFcstStart]],WorkWeek,Holidays),0)</f>
        <v>0</v>
      </c>
      <c r="EA175" s="38" t="n">
        <f aca="false">IF(AND(Tasks[[#This Row],[_IsLeaf]]=1,Tasks[[#This Row],[_LeafTotalWork]]&gt;0),MAX(Tasks[[#This Row],[_StartWorkday]],NETWORKDAYS.INTL(ProjectStart,Tasks[[#This Row],[_ShownFcstFinish]],WorkWeek,Holidays)),0)</f>
        <v>0</v>
      </c>
      <c r="EB175" s="38" t="n">
        <f aca="false">IF(AND(Tasks[[#This Row],[_IsLeaf]]=1,Tasks[[#This Row],[_LeafTotalWork]]&gt;0),Tasks[[#This Row],[_LeafWork]]/(Tasks[[#This Row],[_FinishWorkday]]-Tasks[[#This Row],[_StartWorkday]]+1),0)</f>
        <v>0</v>
      </c>
      <c r="EC175" s="38" t="n">
        <f aca="false">Tasks[[#This Row],[_WorkPerWorkday]]*(Tasks[[#This Row],[_StartWorkday]]-1)</f>
        <v>-0</v>
      </c>
      <c r="ED175" s="38" t="n">
        <f aca="false">IF(Tasks[[#This Row],[_IsLeaf]]=1,MAX(N(Tasks[[#This Row],[Duration]]),0.1),0)</f>
        <v>0</v>
      </c>
      <c r="EE175" s="38" t="n">
        <f aca="false">Tasks[[#This Row],[_WeightDur]]*Tasks[[#This Row],[_LeafProgress]]</f>
        <v>0</v>
      </c>
      <c r="EF17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5" s="38" t="str">
        <f aca="false">IF(AND(Tasks[[#This Row],[_IsLeaf]]=1,N(Tasks[[#This Row],[Duration]])=0,Tasks[[#This Row],[_LeafProgress]]&lt;1),Tasks[[#This Row],[_ShownFcstFinish]]+Tasks[[#This Row],[_Row]]/100000,"")</f>
        <v/>
      </c>
      <c r="EH17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5" s="38" t="n">
        <f aca="false">IF(NOT(Tasks[[#This Row],[_IsLeaf]]=1),0,IF(Tasks[[#This Row],[Baseline Cost]]="",Tasks[[#This Row],[_LeafTotalCost]],N(Tasks[[#This Row],[Baseline Cost]])))</f>
        <v>0</v>
      </c>
      <c r="EJ175" s="38" t="n">
        <f aca="false">Tasks[[#This Row],[_LeafBudget]]*Tasks[[#This Row],[_PlannedPct]]</f>
        <v>0</v>
      </c>
      <c r="EK175" s="38" t="n">
        <f aca="false">Tasks[[#This Row],[_LeafBudget]]*Tasks[[#This Row],[_LeafProgress]]</f>
        <v>0</v>
      </c>
      <c r="EL175" s="38" t="n">
        <f aca="false">IF(NOT(Tasks[[#This Row],[_IsLeaf]]=1),0,IF(Tasks[[#This Row],[Actual Cost]]="",Tasks[[#This Row],[_LeafTotalCost]]*Tasks[[#This Row],[_LeafProgress]],N(Tasks[[#This Row],[Actual Cost]])))</f>
        <v>0</v>
      </c>
      <c r="EM175" s="38" t="str">
        <f aca="false">IF(Tasks[[#This Row],[Task Name]]="","",LEFT(Tasks[[#This Row],[WBS]],FIND(".",Tasks[[#This Row],[WBS]]&amp;".")-1))</f>
        <v/>
      </c>
      <c r="EN175" s="38" t="str">
        <f aca="false">IF(AND(Tasks[[#This Row],[Task Name]]&lt;&gt;"",Tasks[[#This Row],[_Level]]=1),Tasks[[#This Row],[_Row]],"")</f>
        <v/>
      </c>
      <c r="EO175" s="38" t="str">
        <f aca="false">IF(AND(Tasks[[#This Row],[_IsLeaf]]=1,N(Tasks[[#This Row],[Duration]])=0),Tasks[[#This Row],[Planned Finish]]+Tasks[[#This Row],[_Row]]/100000,"")</f>
        <v/>
      </c>
      <c r="EP175" s="38" t="str">
        <f aca="false">IF(AND(Tasks[[#This Row],[_IsLeaf]]=1,Tasks[[#This Row],[_LeafProgress]]&lt;1,OR(N(Tasks[[#This Row],[Finish Var]])&gt;0,Tasks[[#This Row],[Status]]="Late Start")),MAX(0,Tasks[[#This Row],[Finish Var]])+1-Tasks[[#This Row],[_Row]]/1000000,"")</f>
        <v/>
      </c>
      <c r="EQ175" s="38" t="str">
        <f aca="false">IF(AND(Tasks[[#This Row],[_IsLeaf]]=1,N(Tasks[[#This Row],[Actual Start]])=0,Tasks[[#This Row],[_ShownFcstStart]]&gt;=StatusDate,Tasks[[#This Row],[_ShownFcstStart]]&lt;=LookaheadEnd),Tasks[[#This Row],[_ShownFcstStart]]+Tasks[[#This Row],[_Row]]/100000,"")</f>
        <v/>
      </c>
      <c r="ER175" s="38" t="str">
        <f aca="false">IF(AND(Tasks[[#This Row],[_IsLeaf]]=1,Tasks[[#This Row],[_LeafProgress]]&lt;1,Tasks[[#This Row],[_ShownFcstFinish]]&gt;=StatusDate,Tasks[[#This Row],[_ShownFcstFinish]]&lt;=LookaheadEnd),Tasks[[#This Row],[_ShownFcstFinish]]+Tasks[[#This Row],[_Row]]/100000,"")</f>
        <v/>
      </c>
      <c r="ES175" s="38" t="str">
        <f aca="false">IF(Tasks[[#This Row],[_LeafCritical]],Tasks[[#This Row],[_ShownFcstStart]]+Tasks[[#This Row],[_Row]]/100000,"")</f>
        <v/>
      </c>
      <c r="ET175" s="38" t="n">
        <f aca="false">Tasks[[#This Row],[_LeafWork]]*Tasks[[#This Row],[_LeafProgress]]</f>
        <v>0</v>
      </c>
      <c r="EU175" s="115" t="str">
        <f aca="false">IF(AND(Tasks[[#This Row],[_IsLeaf]]=1,Tasks[[#This Row],[_LeafProgress]]&gt;=1),IF(N(Tasks[[#This Row],[Actual Finish]])&gt;0,Tasks[[#This Row],[Actual Finish]],Tasks[[#This Row],[_ShownFcstFinish]]),"")</f>
        <v/>
      </c>
      <c r="EV175" s="38" t="n">
        <f aca="false">IF(Tasks[[#This Row],[_IsLeaf]]=1,N(Tasks[[#This Row],[Story Points]]),0)</f>
        <v>0</v>
      </c>
      <c r="EW175" s="38" t="str">
        <f aca="false">IF(AND(Tasks[[#This Row],[_IsLeaf]]=1,CurrentSprint&lt;&gt;"",Tasks[[#This Row],[Sprint]]=CurrentSprint),Tasks[[#This Row],[_Row]],"")</f>
        <v/>
      </c>
    </row>
    <row r="176" customFormat="false" ht="15" hidden="false" customHeight="false" outlineLevel="0" collapsed="false">
      <c r="A176" s="51" t="str">
        <f aca="false">IF(Tasks[[#This Row],[Task Name]]="","",COUNTA(Tasks[[#Headers],[Task Name]]:Tasks[[#This Row],[Task Name]])-1)</f>
        <v/>
      </c>
      <c r="B176" s="52" t="n">
        <v>171</v>
      </c>
      <c r="C17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52"/>
      <c r="E176" s="53"/>
      <c r="F176" s="52"/>
      <c r="G176" s="52"/>
      <c r="H176" s="52"/>
      <c r="I176" s="52"/>
      <c r="J176" s="52"/>
      <c r="K176" s="52"/>
      <c r="L176" s="52"/>
      <c r="M176" s="52"/>
      <c r="N176" s="52"/>
      <c r="O176" s="52"/>
      <c r="P176" s="52"/>
      <c r="Q176" s="52"/>
      <c r="R176" s="52"/>
      <c r="S176" s="53"/>
      <c r="T176" s="102"/>
      <c r="U176" s="102"/>
      <c r="V176" s="7"/>
      <c r="W176" s="7"/>
      <c r="X176" s="53"/>
      <c r="Y176" s="31" t="str">
        <f aca="false">IF(Tasks[[#This Row],[Task Name]]="","",IF(Tasks[[#This Row],[_IsSummary]],MIN(INDEX(Tasks[_ShownFcstStart],Tasks[[#This Row],[_Row]]+1):INDEX(Tasks[_ShownFcstStart],Tasks[[#This Row],[_Row]]+Tasks[[#This Row],[_Descendants]])),Tasks[[#This Row],[_ShownFcstStart]]))</f>
        <v/>
      </c>
      <c r="Z176" s="31" t="str">
        <f aca="false">IF(Tasks[[#This Row],[Task Name]]="","",IF(Tasks[[#This Row],[_IsSummary]],MAX(INDEX(Tasks[_ShownFcstFinish],Tasks[[#This Row],[_Row]]+1):INDEX(Tasks[_ShownFcstFinish],Tasks[[#This Row],[_Row]]+Tasks[[#This Row],[_Descendants]])),Tasks[[#This Row],[_ShownFcstFinish]]))</f>
        <v/>
      </c>
      <c r="AA176" s="51" t="str">
        <f aca="false">IF(Tasks[[#This Row],[Task Name]]="","",IF(Tasks[[#This Row],[Progress]]&gt;=1,"Complete",IF(OR(N(Tasks[[#This Row],[Actual Start]])&gt;0,Tasks[[#This Row],[Progress]]&gt;0),IF(Tasks[[#This Row],[Finish Var]]&gt;0,"Behind","In Progress"),IF(Tasks[[#This Row],[Planned Start]]&lt;StatusDate,"Late Start","Not Started"))))</f>
        <v/>
      </c>
      <c r="AB176" s="51" t="str">
        <f aca="false">IF(Tasks[[#This Row],[Task Name]]="","",IF(IF(Tasks[[#This Row],[_IsSummary]],COUNTIF(INDEX(Tasks[_LeafCritical],Tasks[[#This Row],[_Row]]+1):INDEX(Tasks[_LeafCritical],Tasks[[#This Row],[_Row]]+Tasks[[#This Row],[_Descendants]]),TRUE())&gt;0,Tasks[[#This Row],[_LeafCritical]]),"Yes",""))</f>
        <v/>
      </c>
      <c r="AC17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6" s="51" t="str">
        <f aca="false">IF(Tasks[[#This Row],[Task Name]]="","",IF(Tasks[[#This Row],[_Level]]&lt;=OutlineShowLevel,"Yes","No"))</f>
        <v/>
      </c>
      <c r="AE176" s="7"/>
      <c r="AF176" s="52"/>
      <c r="AG176" s="53"/>
      <c r="AH176" s="7"/>
      <c r="AI17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6" s="31" t="str">
        <f aca="false">IF(Tasks[[#This Row],[Task Name]]="","",IF(N(Tasks[[#This Row],[Baseline Start]])&gt;0,Tasks[[#This Row],[Baseline Start]],Tasks[[#This Row],[_CalcStart]]))</f>
        <v/>
      </c>
      <c r="AK176" s="31" t="str">
        <f aca="false">IF(Tasks[[#This Row],[Task Name]]="","",IF(N(Tasks[[#This Row],[Baseline Finish]])&gt;0,Tasks[[#This Row],[Baseline Finish]],Tasks[[#This Row],[_CalcFinish]]))</f>
        <v/>
      </c>
      <c r="AL17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6" s="31" t="str">
        <f aca="false">IF(Tasks[[#This Row],[Task Name]]="","",IF(Tasks[[#This Row],[_IsSummary]],MIN(INDEX(Tasks[_LeafLateStart],Tasks[[#This Row],[_Row]]+1):INDEX(Tasks[_LeafLateStart],Tasks[[#This Row],[_Row]]+Tasks[[#This Row],[_Descendants]])),Tasks[[#This Row],[_LeafLateStart]]))</f>
        <v/>
      </c>
      <c r="AN176" s="31" t="str">
        <f aca="false">IF(Tasks[[#This Row],[Task Name]]="","",IF(Tasks[[#This Row],[_IsSummary]],MAX(INDEX(Tasks[_LeafLateFinish],Tasks[[#This Row],[_Row]]+1):INDEX(Tasks[_LeafLateFinish],Tasks[[#This Row],[_Row]]+Tasks[[#This Row],[_Descendants]])),Tasks[[#This Row],[_LeafLateFinish]]))</f>
        <v/>
      </c>
      <c r="AO176" s="51" t="str">
        <f aca="false">IF(Tasks[[#This Row],[Task Name]]="","",IF(Tasks[[#This Row],[_IsSummary]],MIN(INDEX(Tasks[_LeafTotalSlack],Tasks[[#This Row],[_Row]]+1):INDEX(Tasks[_LeafTotalSlack],Tasks[[#This Row],[_Row]]+Tasks[[#This Row],[_Descendants]])),Tasks[[#This Row],[_LeafTotalSlack]]))</f>
        <v/>
      </c>
      <c r="AP17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6" s="110" t="str">
        <f aca="false">IF(Tasks[[#This Row],[Task Name]]="","",IF(Tasks[[#This Row],[_IsSummary]],SUM(INDEX(Tasks[_LeafTotalWork],Tasks[[#This Row],[_Row]]+1):INDEX(Tasks[_LeafTotalWork],Tasks[[#This Row],[_Row]]+Tasks[[#This Row],[_Descendants]])),Tasks[[#This Row],[_LeafTotalWork]]))</f>
        <v/>
      </c>
      <c r="AV17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6" s="111" t="str">
        <f aca="false">IF(Tasks[[#This Row],[Task Name]]="","",IF(Tasks[[#This Row],[_IsSummary]],SUM(INDEX(Tasks[_LeafTotalCost],Tasks[[#This Row],[_Row]]+1):INDEX(Tasks[_LeafTotalCost],Tasks[[#This Row],[_Row]]+Tasks[[#This Row],[_Descendants]])),Tasks[[#This Row],[_LeafTotalCost]]))</f>
        <v/>
      </c>
      <c r="AY176" s="112"/>
      <c r="AZ17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6" s="52"/>
      <c r="BB176" s="98"/>
      <c r="BC176" s="51" t="str">
        <f aca="false">IF(OR(Tasks[[#This Row],[Task Name]]="",Tasks[[#This Row],[Baseline Duration]]=""),"",Tasks[[#This Row],[BL Source Duration]]-N(Tasks[[#This Row],[Baseline Duration]]))</f>
        <v/>
      </c>
      <c r="BD176" s="110" t="str">
        <f aca="false">IF(OR(Tasks[[#This Row],[Task Name]]="",Tasks[[#This Row],[Baseline Work]]=""),"",Tasks[[#This Row],[Work]]-N(Tasks[[#This Row],[Baseline Work]]))</f>
        <v/>
      </c>
      <c r="BE176" s="111" t="str">
        <f aca="false">IF(OR(Tasks[[#This Row],[Task Name]]="",Tasks[[#This Row],[Baseline Cost]]=""),"",Tasks[[#This Row],[Cost]]-N(Tasks[[#This Row],[Baseline Cost]]))</f>
        <v/>
      </c>
      <c r="BF176" s="31" t="str">
        <f aca="false">IF(Tasks[[#This Row],[Task Name]]="","",Tasks[[#This Row],[Forecast Start]])</f>
        <v/>
      </c>
      <c r="BG176" s="31" t="str">
        <f aca="false">IF(Tasks[[#This Row],[Task Name]]="","",Tasks[[#This Row],[Forecast Finish]])</f>
        <v/>
      </c>
      <c r="BH176" s="51" t="str">
        <f aca="false">IF(Tasks[[#This Row],[Task Name]]="","",IF(Tasks[[#This Row],[_IsSummary]],NETWORKDAYS.INTL(Tasks[[#This Row],[Forecast Start]],Tasks[[#This Row],[Forecast Finish]],WorkWeek,Holidays),N(Tasks[[#This Row],[Duration]])))</f>
        <v/>
      </c>
      <c r="BI176" s="110" t="str">
        <f aca="false">IF(Tasks[[#This Row],[Task Name]]="","",Tasks[[#This Row],[Work]])</f>
        <v/>
      </c>
      <c r="BJ176" s="111" t="str">
        <f aca="false">IF(Tasks[[#This Row],[Task Name]]="","",Tasks[[#This Row],[Cost]])</f>
        <v/>
      </c>
      <c r="BK176" s="7"/>
      <c r="BL176" s="7"/>
      <c r="BM176" s="52"/>
      <c r="BN176" s="113"/>
      <c r="BO176" s="112"/>
      <c r="BP176" s="111" t="str">
        <f aca="false">IF(Tasks[[#This Row],[Task Name]]="","",IF(Tasks[[#This Row],[_IsSummary]],SUM(INDEX(Tasks[_LeafEV],Tasks[[#This Row],[_Row]]+1):INDEX(Tasks[_LeafEV],Tasks[[#This Row],[_Row]]+Tasks[[#This Row],[_Descendants]])),Tasks[[#This Row],[_LeafEV]]))</f>
        <v/>
      </c>
      <c r="BQ176" s="111" t="str">
        <f aca="false">IF(Tasks[[#This Row],[Task Name]]="","",IF(Tasks[[#This Row],[_IsSummary]],SUM(INDEX(Tasks[_LeafBudget],Tasks[[#This Row],[_Row]]+1):INDEX(Tasks[_LeafBudget],Tasks[[#This Row],[_Row]]+Tasks[[#This Row],[_Descendants]])),Tasks[[#This Row],[_LeafBudget]]))</f>
        <v/>
      </c>
      <c r="BR176" s="111" t="str">
        <f aca="false">IF(Tasks[[#This Row],[Task Name]]="","",IF(Tasks[[#This Row],[_IsSummary]],SUM(INDEX(Tasks[_LeafPV],Tasks[[#This Row],[_Row]]+1):INDEX(Tasks[_LeafPV],Tasks[[#This Row],[_Row]]+Tasks[[#This Row],[_Descendants]])),Tasks[[#This Row],[_LeafPV]]))</f>
        <v/>
      </c>
      <c r="BS176" s="111" t="str">
        <f aca="false">IF(Tasks[[#This Row],[Task Name]]="","",IF(Tasks[[#This Row],[_IsSummary]],SUM(INDEX(Tasks[_LeafAC],Tasks[[#This Row],[_Row]]+1):INDEX(Tasks[_LeafAC],Tasks[[#This Row],[_Row]]+Tasks[[#This Row],[_Descendants]])),Tasks[[#This Row],[_LeafAC]]))</f>
        <v/>
      </c>
      <c r="BT176" s="38" t="str">
        <f aca="false">IF(Tasks[[#This Row],[Task Name]]="","",MAX(1,N(Tasks[[#This Row],[Level]])))</f>
        <v/>
      </c>
      <c r="BU176" s="38" t="n">
        <f aca="false">ROW()-ROW(Tasks[[#Headers],[ID]])</f>
        <v>171</v>
      </c>
      <c r="BV176" s="38" t="n">
        <f aca="false">IF(OR(Tasks[[#This Row],[Task Name]]="",Tasks[[#This Row],[_Level]]&lt;=1),0,IFERROR(LOOKUP(2,1/(Tasks[[#Headers],[_Level]]:Tasks[[#This Row],[_Level]]=Tasks[[#This Row],[_Level]]-1),ROW(Tasks[[#Headers],[_Level]]:Tasks[[#This Row],[_Level]])),0))</f>
        <v>0</v>
      </c>
      <c r="BW176" s="38" t="n">
        <f aca="false">IFERROR(N(INDEX(Tasks[_Level],Tasks[[#This Row],[_Row]]+1)),0)</f>
        <v>0</v>
      </c>
      <c r="BX176" s="114" t="b">
        <f aca="false">AND(Tasks[[#This Row],[Task Name]]&lt;&gt;"",Tasks[[#This Row],[_NextLevel]]&gt;Tasks[[#This Row],[_Level]])</f>
        <v>0</v>
      </c>
      <c r="BY176" s="38" t="n">
        <f aca="false">IF(Tasks[[#This Row],[_IsSummary]],COUNTIF(Tasks[WBS],Tasks[[#This Row],[WBS]]&amp;".*"),0)</f>
        <v>0</v>
      </c>
      <c r="BZ176" s="38" t="n">
        <f aca="false">IF(AND(Tasks[[#This Row],[Task Name]]&lt;&gt;"",NOT(Tasks[[#This Row],[_IsSummary]])),1,0)</f>
        <v>0</v>
      </c>
      <c r="CA176" s="38" t="n">
        <f aca="false">IF(N(Tasks[[#This Row],[Pred1 UID]])=0,0,IFERROR(MATCH(Tasks[[#This Row],[Pred1 UID]],Tasks[UID],0),-1))</f>
        <v>0</v>
      </c>
      <c r="CB176" s="38" t="n">
        <f aca="false">IF(N(Tasks[[#This Row],[Pred2 UID]])=0,0,IFERROR(MATCH(Tasks[[#This Row],[Pred2 UID]],Tasks[UID],0),-1))</f>
        <v>0</v>
      </c>
      <c r="CC176" s="38" t="n">
        <f aca="false">IF(N(Tasks[[#This Row],[Pred3 UID]])=0,0,IFERROR(MATCH(Tasks[[#This Row],[Pred3 UID]],Tasks[UID],0),-1))</f>
        <v>0</v>
      </c>
      <c r="CD176" s="38" t="n">
        <f aca="false">IF(N(Tasks[[#This Row],[Pred4 UID]])=0,0,IFERROR(MATCH(Tasks[[#This Row],[Pred4 UID]],Tasks[UID],0),-1))</f>
        <v>0</v>
      </c>
      <c r="CE17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6" s="115" t="n">
        <f aca="false">IF(OR(Tasks[[#This Row],[_ConstraintCode]]=2,Tasks[[#This Row],[_ConstraintCode]]=3,Tasks[[#This Row],[_ConstraintCode]]=4,Tasks[[#This Row],[_ConstraintCode]]=6),Tasks[[#This Row],[_ConstraintStart]],0)</f>
        <v>0</v>
      </c>
      <c r="CH176" s="115" t="n">
        <f aca="false">IF(OR(Tasks[[#This Row],[_ConstraintCode]]=2,Tasks[[#This Row],[_ConstraintCode]]=3,Tasks[[#This Row],[_ConstraintCode]]=5,Tasks[[#This Row],[_ConstraintCode]]=7),Tasks[[#This Row],[_ConstraintStart]],2958465)</f>
        <v>2958465</v>
      </c>
      <c r="CI17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6" s="115" t="str">
        <f aca="false">IF(NOT(Tasks[[#This Row],[_IsLeaf]]=1),"",IF(N(Tasks[[#This Row],[Duration]])&lt;=0,Tasks[[#This Row],[_LeafCalcStart]],WORKDAY.INTL(Tasks[[#This Row],[_LeafCalcStart]],Tasks[[#This Row],[Duration]]-1,WorkWeek,Holidays)))</f>
        <v/>
      </c>
      <c r="CK17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6" s="38" t="n">
        <f aca="false">IF(NOT(Tasks[[#This Row],[_IsLeaf]]=1),0,IF(N(Tasks[[#This Row],[Actual Finish]])&gt;0,1,MIN(1,N(Tasks[[#This Row],[% Complete]]))))</f>
        <v>0</v>
      </c>
      <c r="CN176" s="38" t="n">
        <f aca="false">IF(OR(NOT(Tasks[[#This Row],[_IsLeaf]]=1),Tasks[[#This Row],[Resource]]=""),0,N(Tasks[[#This Row],[Duration]])*HoursPerDay*IF(Tasks[[#This Row],[Units]]="",DefaultUnits,Tasks[[#This Row],[Units]]))</f>
        <v>0</v>
      </c>
      <c r="CO176" s="38" t="n">
        <f aca="false">IF(Tasks[[#This Row],[_LeafWork]]=0,0,Tasks[[#This Row],[_LeafWork]]*IFERROR(INDEX(res_Rate,MATCH(Tasks[[#This Row],[Resource]],res_Name,0)),0))</f>
        <v>0</v>
      </c>
      <c r="CP176" s="38" t="n">
        <f aca="false">Tasks[[#This Row],[_LeafWork]]+IF(Tasks[[#This Row],[_IsLeaf]]=1,SUMIFS(asg_Work,asg_TaskUID,Tasks[[#This Row],[UID]],asg_Valid,1),0)</f>
        <v>0</v>
      </c>
      <c r="CQ176" s="38" t="n">
        <f aca="false">Tasks[[#This Row],[_LeafCost]]+IF(Tasks[[#This Row],[_IsLeaf]]=1,SUMIFS(asg_Cost,asg_TaskUID,Tasks[[#This Row],[UID]],asg_Valid,1),0)</f>
        <v>0</v>
      </c>
      <c r="CR176" s="38" t="n">
        <f aca="false">IF(Tasks[[#This Row],[_LeafTotalCost]]=0,Tasks[[#This Row],[_LeafAC]],Tasks[[#This Row],[_LeafAC]]*Tasks[[#This Row],[_LeafCost]]/Tasks[[#This Row],[_LeafTotalCost]])</f>
        <v>0</v>
      </c>
      <c r="CS17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6" s="38" t="n">
        <f aca="false">IF(NOT(Tasks[[#This Row],[_IsLeaf]]=1),0,MAX(_xlfn.MAXIFS(Tasks[_Row],Tasks[Pred1 UID],Tasks[[#This Row],[UID]]),_xlfn.MAXIFS(Tasks[_Row],Tasks[Pred2 UID],Tasks[[#This Row],[UID]]),_xlfn.MAXIFS(Tasks[_Row],Tasks[Pred3 UID],Tasks[[#This Row],[UID]]),_xlfn.MAXIFS(Tasks[_Row],Tasks[Pred4 UID],Tasks[[#This Row],[UID]])))</f>
        <v>0</v>
      </c>
      <c r="DB17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6" s="115" t="str">
        <f aca="false">IF(NOT(Tasks[[#This Row],[_IsLeaf]]=1),"",IF(N(Tasks[[#This Row],[Duration]])&lt;=0,Tasks[[#This Row],[_LeafLateFinish]],WORKDAY.INTL(Tasks[[#This Row],[_LeafLateFinish]],-(Tasks[[#This Row],[Duration]]-1),WorkWeek,Holidays)))</f>
        <v/>
      </c>
      <c r="DE17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6" s="114" t="b">
        <f aca="false">AND(Tasks[[#This Row],[_IsLeaf]]=1,Tasks[[#This Row],[_LeafProgress]]&lt;1,N(Tasks[[#This Row],[_LeafTotalSlack]])&lt;=CriticalSlackDays)</f>
        <v>0</v>
      </c>
      <c r="DG176" s="38" t="n">
        <f aca="false">IF(AND(Tasks[[#This Row],[_IsLeaf]]=1,Tasks[[#This Row],[_ConstraintCode]]=1,Tasks[[#This Row],[Mode]]&lt;&gt;"Manual",N(Tasks[[#This Row],[Actual Start]])=0),MAX(0,N(Tasks[[#This Row],[Free Slack]])),0)</f>
        <v>0</v>
      </c>
      <c r="DH176" s="115" t="str">
        <f aca="false">IF(NOT(Tasks[[#This Row],[_IsLeaf]]=1),"",IF(Tasks[[#This Row],[_AlapShift]]=0,Tasks[[#This Row],[_LeafCalcStart]],WORKDAY.INTL(Tasks[[#This Row],[_LeafCalcStart]],Tasks[[#This Row],[_AlapShift]],WorkWeek,Holidays)))</f>
        <v/>
      </c>
      <c r="DI176" s="115" t="str">
        <f aca="false">IF(NOT(Tasks[[#This Row],[_IsLeaf]]=1),"",IF(Tasks[[#This Row],[_AlapShift]]=0,Tasks[[#This Row],[_LeafCalcFinish]],WORKDAY.INTL(Tasks[[#This Row],[_LeafCalcFinish]],Tasks[[#This Row],[_AlapShift]],WorkWeek,Holidays)))</f>
        <v/>
      </c>
      <c r="DJ176" s="115" t="str">
        <f aca="false">IF(NOT(Tasks[[#This Row],[_IsLeaf]]=1),"",IF(Tasks[[#This Row],[_AlapShift]]=0,Tasks[[#This Row],[_LeafFcstStart]],WORKDAY.INTL(Tasks[[#This Row],[_LeafFcstStart]],Tasks[[#This Row],[_AlapShift]],WorkWeek,Holidays)))</f>
        <v/>
      </c>
      <c r="DK176" s="115" t="str">
        <f aca="false">IF(NOT(Tasks[[#This Row],[_IsLeaf]]=1),"",IF(Tasks[[#This Row],[_AlapShift]]=0,Tasks[[#This Row],[_LeafFcstFinish]],WORKDAY.INTL(Tasks[[#This Row],[_LeafFcstFinish]],Tasks[[#This Row],[_AlapShift]],WorkWeek,Holidays)))</f>
        <v/>
      </c>
      <c r="DL176" s="115" t="str">
        <f aca="false">IF(Tasks[[#This Row],[Task Name]]="","",IF(Tasks[[#This Row],[_IsSummary]],MIN(INDEX(Tasks[_ShownCalcStart],Tasks[[#This Row],[_Row]]+1):INDEX(Tasks[_ShownCalcStart],Tasks[[#This Row],[_Row]]+Tasks[[#This Row],[_Descendants]])),Tasks[[#This Row],[_ShownCalcStart]]))</f>
        <v/>
      </c>
      <c r="DM176" s="115" t="str">
        <f aca="false">IF(Tasks[[#This Row],[Task Name]]="","",IF(Tasks[[#This Row],[_IsSummary]],MAX(INDEX(Tasks[_ShownCalcFinish],Tasks[[#This Row],[_Row]]+1):INDEX(Tasks[_ShownCalcFinish],Tasks[[#This Row],[_Row]]+Tasks[[#This Row],[_Descendants]])),Tasks[[#This Row],[_ShownCalcFinish]]))</f>
        <v/>
      </c>
      <c r="DN17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6" s="38" t="n">
        <f aca="false">IF(AND(Tasks[[#This Row],[_IsLeaf]]=1,Tasks[[#This Row],[_LeafTotalWork]]&gt;0),NETWORKDAYS.INTL(ProjectStart,Tasks[[#This Row],[_ShownFcstStart]],WorkWeek,Holidays),0)</f>
        <v>0</v>
      </c>
      <c r="EA176" s="38" t="n">
        <f aca="false">IF(AND(Tasks[[#This Row],[_IsLeaf]]=1,Tasks[[#This Row],[_LeafTotalWork]]&gt;0),MAX(Tasks[[#This Row],[_StartWorkday]],NETWORKDAYS.INTL(ProjectStart,Tasks[[#This Row],[_ShownFcstFinish]],WorkWeek,Holidays)),0)</f>
        <v>0</v>
      </c>
      <c r="EB176" s="38" t="n">
        <f aca="false">IF(AND(Tasks[[#This Row],[_IsLeaf]]=1,Tasks[[#This Row],[_LeafTotalWork]]&gt;0),Tasks[[#This Row],[_LeafWork]]/(Tasks[[#This Row],[_FinishWorkday]]-Tasks[[#This Row],[_StartWorkday]]+1),0)</f>
        <v>0</v>
      </c>
      <c r="EC176" s="38" t="n">
        <f aca="false">Tasks[[#This Row],[_WorkPerWorkday]]*(Tasks[[#This Row],[_StartWorkday]]-1)</f>
        <v>-0</v>
      </c>
      <c r="ED176" s="38" t="n">
        <f aca="false">IF(Tasks[[#This Row],[_IsLeaf]]=1,MAX(N(Tasks[[#This Row],[Duration]]),0.1),0)</f>
        <v>0</v>
      </c>
      <c r="EE176" s="38" t="n">
        <f aca="false">Tasks[[#This Row],[_WeightDur]]*Tasks[[#This Row],[_LeafProgress]]</f>
        <v>0</v>
      </c>
      <c r="EF17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6" s="38" t="str">
        <f aca="false">IF(AND(Tasks[[#This Row],[_IsLeaf]]=1,N(Tasks[[#This Row],[Duration]])=0,Tasks[[#This Row],[_LeafProgress]]&lt;1),Tasks[[#This Row],[_ShownFcstFinish]]+Tasks[[#This Row],[_Row]]/100000,"")</f>
        <v/>
      </c>
      <c r="EH17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6" s="38" t="n">
        <f aca="false">IF(NOT(Tasks[[#This Row],[_IsLeaf]]=1),0,IF(Tasks[[#This Row],[Baseline Cost]]="",Tasks[[#This Row],[_LeafTotalCost]],N(Tasks[[#This Row],[Baseline Cost]])))</f>
        <v>0</v>
      </c>
      <c r="EJ176" s="38" t="n">
        <f aca="false">Tasks[[#This Row],[_LeafBudget]]*Tasks[[#This Row],[_PlannedPct]]</f>
        <v>0</v>
      </c>
      <c r="EK176" s="38" t="n">
        <f aca="false">Tasks[[#This Row],[_LeafBudget]]*Tasks[[#This Row],[_LeafProgress]]</f>
        <v>0</v>
      </c>
      <c r="EL176" s="38" t="n">
        <f aca="false">IF(NOT(Tasks[[#This Row],[_IsLeaf]]=1),0,IF(Tasks[[#This Row],[Actual Cost]]="",Tasks[[#This Row],[_LeafTotalCost]]*Tasks[[#This Row],[_LeafProgress]],N(Tasks[[#This Row],[Actual Cost]])))</f>
        <v>0</v>
      </c>
      <c r="EM176" s="38" t="str">
        <f aca="false">IF(Tasks[[#This Row],[Task Name]]="","",LEFT(Tasks[[#This Row],[WBS]],FIND(".",Tasks[[#This Row],[WBS]]&amp;".")-1))</f>
        <v/>
      </c>
      <c r="EN176" s="38" t="str">
        <f aca="false">IF(AND(Tasks[[#This Row],[Task Name]]&lt;&gt;"",Tasks[[#This Row],[_Level]]=1),Tasks[[#This Row],[_Row]],"")</f>
        <v/>
      </c>
      <c r="EO176" s="38" t="str">
        <f aca="false">IF(AND(Tasks[[#This Row],[_IsLeaf]]=1,N(Tasks[[#This Row],[Duration]])=0),Tasks[[#This Row],[Planned Finish]]+Tasks[[#This Row],[_Row]]/100000,"")</f>
        <v/>
      </c>
      <c r="EP176" s="38" t="str">
        <f aca="false">IF(AND(Tasks[[#This Row],[_IsLeaf]]=1,Tasks[[#This Row],[_LeafProgress]]&lt;1,OR(N(Tasks[[#This Row],[Finish Var]])&gt;0,Tasks[[#This Row],[Status]]="Late Start")),MAX(0,Tasks[[#This Row],[Finish Var]])+1-Tasks[[#This Row],[_Row]]/1000000,"")</f>
        <v/>
      </c>
      <c r="EQ176" s="38" t="str">
        <f aca="false">IF(AND(Tasks[[#This Row],[_IsLeaf]]=1,N(Tasks[[#This Row],[Actual Start]])=0,Tasks[[#This Row],[_ShownFcstStart]]&gt;=StatusDate,Tasks[[#This Row],[_ShownFcstStart]]&lt;=LookaheadEnd),Tasks[[#This Row],[_ShownFcstStart]]+Tasks[[#This Row],[_Row]]/100000,"")</f>
        <v/>
      </c>
      <c r="ER176" s="38" t="str">
        <f aca="false">IF(AND(Tasks[[#This Row],[_IsLeaf]]=1,Tasks[[#This Row],[_LeafProgress]]&lt;1,Tasks[[#This Row],[_ShownFcstFinish]]&gt;=StatusDate,Tasks[[#This Row],[_ShownFcstFinish]]&lt;=LookaheadEnd),Tasks[[#This Row],[_ShownFcstFinish]]+Tasks[[#This Row],[_Row]]/100000,"")</f>
        <v/>
      </c>
      <c r="ES176" s="38" t="str">
        <f aca="false">IF(Tasks[[#This Row],[_LeafCritical]],Tasks[[#This Row],[_ShownFcstStart]]+Tasks[[#This Row],[_Row]]/100000,"")</f>
        <v/>
      </c>
      <c r="ET176" s="38" t="n">
        <f aca="false">Tasks[[#This Row],[_LeafWork]]*Tasks[[#This Row],[_LeafProgress]]</f>
        <v>0</v>
      </c>
      <c r="EU176" s="115" t="str">
        <f aca="false">IF(AND(Tasks[[#This Row],[_IsLeaf]]=1,Tasks[[#This Row],[_LeafProgress]]&gt;=1),IF(N(Tasks[[#This Row],[Actual Finish]])&gt;0,Tasks[[#This Row],[Actual Finish]],Tasks[[#This Row],[_ShownFcstFinish]]),"")</f>
        <v/>
      </c>
      <c r="EV176" s="38" t="n">
        <f aca="false">IF(Tasks[[#This Row],[_IsLeaf]]=1,N(Tasks[[#This Row],[Story Points]]),0)</f>
        <v>0</v>
      </c>
      <c r="EW176" s="38" t="str">
        <f aca="false">IF(AND(Tasks[[#This Row],[_IsLeaf]]=1,CurrentSprint&lt;&gt;"",Tasks[[#This Row],[Sprint]]=CurrentSprint),Tasks[[#This Row],[_Row]],"")</f>
        <v/>
      </c>
    </row>
    <row r="177" customFormat="false" ht="15" hidden="false" customHeight="false" outlineLevel="0" collapsed="false">
      <c r="A177" s="51" t="str">
        <f aca="false">IF(Tasks[[#This Row],[Task Name]]="","",COUNTA(Tasks[[#Headers],[Task Name]]:Tasks[[#This Row],[Task Name]])-1)</f>
        <v/>
      </c>
      <c r="B177" s="52" t="n">
        <v>172</v>
      </c>
      <c r="C17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52"/>
      <c r="E177" s="53"/>
      <c r="F177" s="52"/>
      <c r="G177" s="52"/>
      <c r="H177" s="52"/>
      <c r="I177" s="52"/>
      <c r="J177" s="52"/>
      <c r="K177" s="52"/>
      <c r="L177" s="52"/>
      <c r="M177" s="52"/>
      <c r="N177" s="52"/>
      <c r="O177" s="52"/>
      <c r="P177" s="52"/>
      <c r="Q177" s="52"/>
      <c r="R177" s="52"/>
      <c r="S177" s="53"/>
      <c r="T177" s="102"/>
      <c r="U177" s="102"/>
      <c r="V177" s="7"/>
      <c r="W177" s="7"/>
      <c r="X177" s="53"/>
      <c r="Y177" s="31" t="str">
        <f aca="false">IF(Tasks[[#This Row],[Task Name]]="","",IF(Tasks[[#This Row],[_IsSummary]],MIN(INDEX(Tasks[_ShownFcstStart],Tasks[[#This Row],[_Row]]+1):INDEX(Tasks[_ShownFcstStart],Tasks[[#This Row],[_Row]]+Tasks[[#This Row],[_Descendants]])),Tasks[[#This Row],[_ShownFcstStart]]))</f>
        <v/>
      </c>
      <c r="Z177" s="31" t="str">
        <f aca="false">IF(Tasks[[#This Row],[Task Name]]="","",IF(Tasks[[#This Row],[_IsSummary]],MAX(INDEX(Tasks[_ShownFcstFinish],Tasks[[#This Row],[_Row]]+1):INDEX(Tasks[_ShownFcstFinish],Tasks[[#This Row],[_Row]]+Tasks[[#This Row],[_Descendants]])),Tasks[[#This Row],[_ShownFcstFinish]]))</f>
        <v/>
      </c>
      <c r="AA177" s="51" t="str">
        <f aca="false">IF(Tasks[[#This Row],[Task Name]]="","",IF(Tasks[[#This Row],[Progress]]&gt;=1,"Complete",IF(OR(N(Tasks[[#This Row],[Actual Start]])&gt;0,Tasks[[#This Row],[Progress]]&gt;0),IF(Tasks[[#This Row],[Finish Var]]&gt;0,"Behind","In Progress"),IF(Tasks[[#This Row],[Planned Start]]&lt;StatusDate,"Late Start","Not Started"))))</f>
        <v/>
      </c>
      <c r="AB177" s="51" t="str">
        <f aca="false">IF(Tasks[[#This Row],[Task Name]]="","",IF(IF(Tasks[[#This Row],[_IsSummary]],COUNTIF(INDEX(Tasks[_LeafCritical],Tasks[[#This Row],[_Row]]+1):INDEX(Tasks[_LeafCritical],Tasks[[#This Row],[_Row]]+Tasks[[#This Row],[_Descendants]]),TRUE())&gt;0,Tasks[[#This Row],[_LeafCritical]]),"Yes",""))</f>
        <v/>
      </c>
      <c r="AC17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7" s="51" t="str">
        <f aca="false">IF(Tasks[[#This Row],[Task Name]]="","",IF(Tasks[[#This Row],[_Level]]&lt;=OutlineShowLevel,"Yes","No"))</f>
        <v/>
      </c>
      <c r="AE177" s="7"/>
      <c r="AF177" s="52"/>
      <c r="AG177" s="53"/>
      <c r="AH177" s="7"/>
      <c r="AI17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7" s="31" t="str">
        <f aca="false">IF(Tasks[[#This Row],[Task Name]]="","",IF(N(Tasks[[#This Row],[Baseline Start]])&gt;0,Tasks[[#This Row],[Baseline Start]],Tasks[[#This Row],[_CalcStart]]))</f>
        <v/>
      </c>
      <c r="AK177" s="31" t="str">
        <f aca="false">IF(Tasks[[#This Row],[Task Name]]="","",IF(N(Tasks[[#This Row],[Baseline Finish]])&gt;0,Tasks[[#This Row],[Baseline Finish]],Tasks[[#This Row],[_CalcFinish]]))</f>
        <v/>
      </c>
      <c r="AL17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7" s="31" t="str">
        <f aca="false">IF(Tasks[[#This Row],[Task Name]]="","",IF(Tasks[[#This Row],[_IsSummary]],MIN(INDEX(Tasks[_LeafLateStart],Tasks[[#This Row],[_Row]]+1):INDEX(Tasks[_LeafLateStart],Tasks[[#This Row],[_Row]]+Tasks[[#This Row],[_Descendants]])),Tasks[[#This Row],[_LeafLateStart]]))</f>
        <v/>
      </c>
      <c r="AN177" s="31" t="str">
        <f aca="false">IF(Tasks[[#This Row],[Task Name]]="","",IF(Tasks[[#This Row],[_IsSummary]],MAX(INDEX(Tasks[_LeafLateFinish],Tasks[[#This Row],[_Row]]+1):INDEX(Tasks[_LeafLateFinish],Tasks[[#This Row],[_Row]]+Tasks[[#This Row],[_Descendants]])),Tasks[[#This Row],[_LeafLateFinish]]))</f>
        <v/>
      </c>
      <c r="AO177" s="51" t="str">
        <f aca="false">IF(Tasks[[#This Row],[Task Name]]="","",IF(Tasks[[#This Row],[_IsSummary]],MIN(INDEX(Tasks[_LeafTotalSlack],Tasks[[#This Row],[_Row]]+1):INDEX(Tasks[_LeafTotalSlack],Tasks[[#This Row],[_Row]]+Tasks[[#This Row],[_Descendants]])),Tasks[[#This Row],[_LeafTotalSlack]]))</f>
        <v/>
      </c>
      <c r="AP17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7" s="110" t="str">
        <f aca="false">IF(Tasks[[#This Row],[Task Name]]="","",IF(Tasks[[#This Row],[_IsSummary]],SUM(INDEX(Tasks[_LeafTotalWork],Tasks[[#This Row],[_Row]]+1):INDEX(Tasks[_LeafTotalWork],Tasks[[#This Row],[_Row]]+Tasks[[#This Row],[_Descendants]])),Tasks[[#This Row],[_LeafTotalWork]]))</f>
        <v/>
      </c>
      <c r="AV17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7" s="111" t="str">
        <f aca="false">IF(Tasks[[#This Row],[Task Name]]="","",IF(Tasks[[#This Row],[_IsSummary]],SUM(INDEX(Tasks[_LeafTotalCost],Tasks[[#This Row],[_Row]]+1):INDEX(Tasks[_LeafTotalCost],Tasks[[#This Row],[_Row]]+Tasks[[#This Row],[_Descendants]])),Tasks[[#This Row],[_LeafTotalCost]]))</f>
        <v/>
      </c>
      <c r="AY177" s="112"/>
      <c r="AZ17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7" s="52"/>
      <c r="BB177" s="98"/>
      <c r="BC177" s="51" t="str">
        <f aca="false">IF(OR(Tasks[[#This Row],[Task Name]]="",Tasks[[#This Row],[Baseline Duration]]=""),"",Tasks[[#This Row],[BL Source Duration]]-N(Tasks[[#This Row],[Baseline Duration]]))</f>
        <v/>
      </c>
      <c r="BD177" s="110" t="str">
        <f aca="false">IF(OR(Tasks[[#This Row],[Task Name]]="",Tasks[[#This Row],[Baseline Work]]=""),"",Tasks[[#This Row],[Work]]-N(Tasks[[#This Row],[Baseline Work]]))</f>
        <v/>
      </c>
      <c r="BE177" s="111" t="str">
        <f aca="false">IF(OR(Tasks[[#This Row],[Task Name]]="",Tasks[[#This Row],[Baseline Cost]]=""),"",Tasks[[#This Row],[Cost]]-N(Tasks[[#This Row],[Baseline Cost]]))</f>
        <v/>
      </c>
      <c r="BF177" s="31" t="str">
        <f aca="false">IF(Tasks[[#This Row],[Task Name]]="","",Tasks[[#This Row],[Forecast Start]])</f>
        <v/>
      </c>
      <c r="BG177" s="31" t="str">
        <f aca="false">IF(Tasks[[#This Row],[Task Name]]="","",Tasks[[#This Row],[Forecast Finish]])</f>
        <v/>
      </c>
      <c r="BH177" s="51" t="str">
        <f aca="false">IF(Tasks[[#This Row],[Task Name]]="","",IF(Tasks[[#This Row],[_IsSummary]],NETWORKDAYS.INTL(Tasks[[#This Row],[Forecast Start]],Tasks[[#This Row],[Forecast Finish]],WorkWeek,Holidays),N(Tasks[[#This Row],[Duration]])))</f>
        <v/>
      </c>
      <c r="BI177" s="110" t="str">
        <f aca="false">IF(Tasks[[#This Row],[Task Name]]="","",Tasks[[#This Row],[Work]])</f>
        <v/>
      </c>
      <c r="BJ177" s="111" t="str">
        <f aca="false">IF(Tasks[[#This Row],[Task Name]]="","",Tasks[[#This Row],[Cost]])</f>
        <v/>
      </c>
      <c r="BK177" s="7"/>
      <c r="BL177" s="7"/>
      <c r="BM177" s="52"/>
      <c r="BN177" s="113"/>
      <c r="BO177" s="112"/>
      <c r="BP177" s="111" t="str">
        <f aca="false">IF(Tasks[[#This Row],[Task Name]]="","",IF(Tasks[[#This Row],[_IsSummary]],SUM(INDEX(Tasks[_LeafEV],Tasks[[#This Row],[_Row]]+1):INDEX(Tasks[_LeafEV],Tasks[[#This Row],[_Row]]+Tasks[[#This Row],[_Descendants]])),Tasks[[#This Row],[_LeafEV]]))</f>
        <v/>
      </c>
      <c r="BQ177" s="111" t="str">
        <f aca="false">IF(Tasks[[#This Row],[Task Name]]="","",IF(Tasks[[#This Row],[_IsSummary]],SUM(INDEX(Tasks[_LeafBudget],Tasks[[#This Row],[_Row]]+1):INDEX(Tasks[_LeafBudget],Tasks[[#This Row],[_Row]]+Tasks[[#This Row],[_Descendants]])),Tasks[[#This Row],[_LeafBudget]]))</f>
        <v/>
      </c>
      <c r="BR177" s="111" t="str">
        <f aca="false">IF(Tasks[[#This Row],[Task Name]]="","",IF(Tasks[[#This Row],[_IsSummary]],SUM(INDEX(Tasks[_LeafPV],Tasks[[#This Row],[_Row]]+1):INDEX(Tasks[_LeafPV],Tasks[[#This Row],[_Row]]+Tasks[[#This Row],[_Descendants]])),Tasks[[#This Row],[_LeafPV]]))</f>
        <v/>
      </c>
      <c r="BS177" s="111" t="str">
        <f aca="false">IF(Tasks[[#This Row],[Task Name]]="","",IF(Tasks[[#This Row],[_IsSummary]],SUM(INDEX(Tasks[_LeafAC],Tasks[[#This Row],[_Row]]+1):INDEX(Tasks[_LeafAC],Tasks[[#This Row],[_Row]]+Tasks[[#This Row],[_Descendants]])),Tasks[[#This Row],[_LeafAC]]))</f>
        <v/>
      </c>
      <c r="BT177" s="38" t="str">
        <f aca="false">IF(Tasks[[#This Row],[Task Name]]="","",MAX(1,N(Tasks[[#This Row],[Level]])))</f>
        <v/>
      </c>
      <c r="BU177" s="38" t="n">
        <f aca="false">ROW()-ROW(Tasks[[#Headers],[ID]])</f>
        <v>172</v>
      </c>
      <c r="BV177" s="38" t="n">
        <f aca="false">IF(OR(Tasks[[#This Row],[Task Name]]="",Tasks[[#This Row],[_Level]]&lt;=1),0,IFERROR(LOOKUP(2,1/(Tasks[[#Headers],[_Level]]:Tasks[[#This Row],[_Level]]=Tasks[[#This Row],[_Level]]-1),ROW(Tasks[[#Headers],[_Level]]:Tasks[[#This Row],[_Level]])),0))</f>
        <v>0</v>
      </c>
      <c r="BW177" s="38" t="n">
        <f aca="false">IFERROR(N(INDEX(Tasks[_Level],Tasks[[#This Row],[_Row]]+1)),0)</f>
        <v>0</v>
      </c>
      <c r="BX177" s="114" t="b">
        <f aca="false">AND(Tasks[[#This Row],[Task Name]]&lt;&gt;"",Tasks[[#This Row],[_NextLevel]]&gt;Tasks[[#This Row],[_Level]])</f>
        <v>0</v>
      </c>
      <c r="BY177" s="38" t="n">
        <f aca="false">IF(Tasks[[#This Row],[_IsSummary]],COUNTIF(Tasks[WBS],Tasks[[#This Row],[WBS]]&amp;".*"),0)</f>
        <v>0</v>
      </c>
      <c r="BZ177" s="38" t="n">
        <f aca="false">IF(AND(Tasks[[#This Row],[Task Name]]&lt;&gt;"",NOT(Tasks[[#This Row],[_IsSummary]])),1,0)</f>
        <v>0</v>
      </c>
      <c r="CA177" s="38" t="n">
        <f aca="false">IF(N(Tasks[[#This Row],[Pred1 UID]])=0,0,IFERROR(MATCH(Tasks[[#This Row],[Pred1 UID]],Tasks[UID],0),-1))</f>
        <v>0</v>
      </c>
      <c r="CB177" s="38" t="n">
        <f aca="false">IF(N(Tasks[[#This Row],[Pred2 UID]])=0,0,IFERROR(MATCH(Tasks[[#This Row],[Pred2 UID]],Tasks[UID],0),-1))</f>
        <v>0</v>
      </c>
      <c r="CC177" s="38" t="n">
        <f aca="false">IF(N(Tasks[[#This Row],[Pred3 UID]])=0,0,IFERROR(MATCH(Tasks[[#This Row],[Pred3 UID]],Tasks[UID],0),-1))</f>
        <v>0</v>
      </c>
      <c r="CD177" s="38" t="n">
        <f aca="false">IF(N(Tasks[[#This Row],[Pred4 UID]])=0,0,IFERROR(MATCH(Tasks[[#This Row],[Pred4 UID]],Tasks[UID],0),-1))</f>
        <v>0</v>
      </c>
      <c r="CE17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7" s="115" t="n">
        <f aca="false">IF(OR(Tasks[[#This Row],[_ConstraintCode]]=2,Tasks[[#This Row],[_ConstraintCode]]=3,Tasks[[#This Row],[_ConstraintCode]]=4,Tasks[[#This Row],[_ConstraintCode]]=6),Tasks[[#This Row],[_ConstraintStart]],0)</f>
        <v>0</v>
      </c>
      <c r="CH177" s="115" t="n">
        <f aca="false">IF(OR(Tasks[[#This Row],[_ConstraintCode]]=2,Tasks[[#This Row],[_ConstraintCode]]=3,Tasks[[#This Row],[_ConstraintCode]]=5,Tasks[[#This Row],[_ConstraintCode]]=7),Tasks[[#This Row],[_ConstraintStart]],2958465)</f>
        <v>2958465</v>
      </c>
      <c r="CI17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7" s="115" t="str">
        <f aca="false">IF(NOT(Tasks[[#This Row],[_IsLeaf]]=1),"",IF(N(Tasks[[#This Row],[Duration]])&lt;=0,Tasks[[#This Row],[_LeafCalcStart]],WORKDAY.INTL(Tasks[[#This Row],[_LeafCalcStart]],Tasks[[#This Row],[Duration]]-1,WorkWeek,Holidays)))</f>
        <v/>
      </c>
      <c r="CK17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7" s="38" t="n">
        <f aca="false">IF(NOT(Tasks[[#This Row],[_IsLeaf]]=1),0,IF(N(Tasks[[#This Row],[Actual Finish]])&gt;0,1,MIN(1,N(Tasks[[#This Row],[% Complete]]))))</f>
        <v>0</v>
      </c>
      <c r="CN177" s="38" t="n">
        <f aca="false">IF(OR(NOT(Tasks[[#This Row],[_IsLeaf]]=1),Tasks[[#This Row],[Resource]]=""),0,N(Tasks[[#This Row],[Duration]])*HoursPerDay*IF(Tasks[[#This Row],[Units]]="",DefaultUnits,Tasks[[#This Row],[Units]]))</f>
        <v>0</v>
      </c>
      <c r="CO177" s="38" t="n">
        <f aca="false">IF(Tasks[[#This Row],[_LeafWork]]=0,0,Tasks[[#This Row],[_LeafWork]]*IFERROR(INDEX(res_Rate,MATCH(Tasks[[#This Row],[Resource]],res_Name,0)),0))</f>
        <v>0</v>
      </c>
      <c r="CP177" s="38" t="n">
        <f aca="false">Tasks[[#This Row],[_LeafWork]]+IF(Tasks[[#This Row],[_IsLeaf]]=1,SUMIFS(asg_Work,asg_TaskUID,Tasks[[#This Row],[UID]],asg_Valid,1),0)</f>
        <v>0</v>
      </c>
      <c r="CQ177" s="38" t="n">
        <f aca="false">Tasks[[#This Row],[_LeafCost]]+IF(Tasks[[#This Row],[_IsLeaf]]=1,SUMIFS(asg_Cost,asg_TaskUID,Tasks[[#This Row],[UID]],asg_Valid,1),0)</f>
        <v>0</v>
      </c>
      <c r="CR177" s="38" t="n">
        <f aca="false">IF(Tasks[[#This Row],[_LeafTotalCost]]=0,Tasks[[#This Row],[_LeafAC]],Tasks[[#This Row],[_LeafAC]]*Tasks[[#This Row],[_LeafCost]]/Tasks[[#This Row],[_LeafTotalCost]])</f>
        <v>0</v>
      </c>
      <c r="CS17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7" s="38" t="n">
        <f aca="false">IF(NOT(Tasks[[#This Row],[_IsLeaf]]=1),0,MAX(_xlfn.MAXIFS(Tasks[_Row],Tasks[Pred1 UID],Tasks[[#This Row],[UID]]),_xlfn.MAXIFS(Tasks[_Row],Tasks[Pred2 UID],Tasks[[#This Row],[UID]]),_xlfn.MAXIFS(Tasks[_Row],Tasks[Pred3 UID],Tasks[[#This Row],[UID]]),_xlfn.MAXIFS(Tasks[_Row],Tasks[Pred4 UID],Tasks[[#This Row],[UID]])))</f>
        <v>0</v>
      </c>
      <c r="DB17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7" s="115" t="str">
        <f aca="false">IF(NOT(Tasks[[#This Row],[_IsLeaf]]=1),"",IF(N(Tasks[[#This Row],[Duration]])&lt;=0,Tasks[[#This Row],[_LeafLateFinish]],WORKDAY.INTL(Tasks[[#This Row],[_LeafLateFinish]],-(Tasks[[#This Row],[Duration]]-1),WorkWeek,Holidays)))</f>
        <v/>
      </c>
      <c r="DE17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7" s="114" t="b">
        <f aca="false">AND(Tasks[[#This Row],[_IsLeaf]]=1,Tasks[[#This Row],[_LeafProgress]]&lt;1,N(Tasks[[#This Row],[_LeafTotalSlack]])&lt;=CriticalSlackDays)</f>
        <v>0</v>
      </c>
      <c r="DG177" s="38" t="n">
        <f aca="false">IF(AND(Tasks[[#This Row],[_IsLeaf]]=1,Tasks[[#This Row],[_ConstraintCode]]=1,Tasks[[#This Row],[Mode]]&lt;&gt;"Manual",N(Tasks[[#This Row],[Actual Start]])=0),MAX(0,N(Tasks[[#This Row],[Free Slack]])),0)</f>
        <v>0</v>
      </c>
      <c r="DH177" s="115" t="str">
        <f aca="false">IF(NOT(Tasks[[#This Row],[_IsLeaf]]=1),"",IF(Tasks[[#This Row],[_AlapShift]]=0,Tasks[[#This Row],[_LeafCalcStart]],WORKDAY.INTL(Tasks[[#This Row],[_LeafCalcStart]],Tasks[[#This Row],[_AlapShift]],WorkWeek,Holidays)))</f>
        <v/>
      </c>
      <c r="DI177" s="115" t="str">
        <f aca="false">IF(NOT(Tasks[[#This Row],[_IsLeaf]]=1),"",IF(Tasks[[#This Row],[_AlapShift]]=0,Tasks[[#This Row],[_LeafCalcFinish]],WORKDAY.INTL(Tasks[[#This Row],[_LeafCalcFinish]],Tasks[[#This Row],[_AlapShift]],WorkWeek,Holidays)))</f>
        <v/>
      </c>
      <c r="DJ177" s="115" t="str">
        <f aca="false">IF(NOT(Tasks[[#This Row],[_IsLeaf]]=1),"",IF(Tasks[[#This Row],[_AlapShift]]=0,Tasks[[#This Row],[_LeafFcstStart]],WORKDAY.INTL(Tasks[[#This Row],[_LeafFcstStart]],Tasks[[#This Row],[_AlapShift]],WorkWeek,Holidays)))</f>
        <v/>
      </c>
      <c r="DK177" s="115" t="str">
        <f aca="false">IF(NOT(Tasks[[#This Row],[_IsLeaf]]=1),"",IF(Tasks[[#This Row],[_AlapShift]]=0,Tasks[[#This Row],[_LeafFcstFinish]],WORKDAY.INTL(Tasks[[#This Row],[_LeafFcstFinish]],Tasks[[#This Row],[_AlapShift]],WorkWeek,Holidays)))</f>
        <v/>
      </c>
      <c r="DL177" s="115" t="str">
        <f aca="false">IF(Tasks[[#This Row],[Task Name]]="","",IF(Tasks[[#This Row],[_IsSummary]],MIN(INDEX(Tasks[_ShownCalcStart],Tasks[[#This Row],[_Row]]+1):INDEX(Tasks[_ShownCalcStart],Tasks[[#This Row],[_Row]]+Tasks[[#This Row],[_Descendants]])),Tasks[[#This Row],[_ShownCalcStart]]))</f>
        <v/>
      </c>
      <c r="DM177" s="115" t="str">
        <f aca="false">IF(Tasks[[#This Row],[Task Name]]="","",IF(Tasks[[#This Row],[_IsSummary]],MAX(INDEX(Tasks[_ShownCalcFinish],Tasks[[#This Row],[_Row]]+1):INDEX(Tasks[_ShownCalcFinish],Tasks[[#This Row],[_Row]]+Tasks[[#This Row],[_Descendants]])),Tasks[[#This Row],[_ShownCalcFinish]]))</f>
        <v/>
      </c>
      <c r="DN17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7" s="38" t="n">
        <f aca="false">IF(AND(Tasks[[#This Row],[_IsLeaf]]=1,Tasks[[#This Row],[_LeafTotalWork]]&gt;0),NETWORKDAYS.INTL(ProjectStart,Tasks[[#This Row],[_ShownFcstStart]],WorkWeek,Holidays),0)</f>
        <v>0</v>
      </c>
      <c r="EA177" s="38" t="n">
        <f aca="false">IF(AND(Tasks[[#This Row],[_IsLeaf]]=1,Tasks[[#This Row],[_LeafTotalWork]]&gt;0),MAX(Tasks[[#This Row],[_StartWorkday]],NETWORKDAYS.INTL(ProjectStart,Tasks[[#This Row],[_ShownFcstFinish]],WorkWeek,Holidays)),0)</f>
        <v>0</v>
      </c>
      <c r="EB177" s="38" t="n">
        <f aca="false">IF(AND(Tasks[[#This Row],[_IsLeaf]]=1,Tasks[[#This Row],[_LeafTotalWork]]&gt;0),Tasks[[#This Row],[_LeafWork]]/(Tasks[[#This Row],[_FinishWorkday]]-Tasks[[#This Row],[_StartWorkday]]+1),0)</f>
        <v>0</v>
      </c>
      <c r="EC177" s="38" t="n">
        <f aca="false">Tasks[[#This Row],[_WorkPerWorkday]]*(Tasks[[#This Row],[_StartWorkday]]-1)</f>
        <v>-0</v>
      </c>
      <c r="ED177" s="38" t="n">
        <f aca="false">IF(Tasks[[#This Row],[_IsLeaf]]=1,MAX(N(Tasks[[#This Row],[Duration]]),0.1),0)</f>
        <v>0</v>
      </c>
      <c r="EE177" s="38" t="n">
        <f aca="false">Tasks[[#This Row],[_WeightDur]]*Tasks[[#This Row],[_LeafProgress]]</f>
        <v>0</v>
      </c>
      <c r="EF17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7" s="38" t="str">
        <f aca="false">IF(AND(Tasks[[#This Row],[_IsLeaf]]=1,N(Tasks[[#This Row],[Duration]])=0,Tasks[[#This Row],[_LeafProgress]]&lt;1),Tasks[[#This Row],[_ShownFcstFinish]]+Tasks[[#This Row],[_Row]]/100000,"")</f>
        <v/>
      </c>
      <c r="EH17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7" s="38" t="n">
        <f aca="false">IF(NOT(Tasks[[#This Row],[_IsLeaf]]=1),0,IF(Tasks[[#This Row],[Baseline Cost]]="",Tasks[[#This Row],[_LeafTotalCost]],N(Tasks[[#This Row],[Baseline Cost]])))</f>
        <v>0</v>
      </c>
      <c r="EJ177" s="38" t="n">
        <f aca="false">Tasks[[#This Row],[_LeafBudget]]*Tasks[[#This Row],[_PlannedPct]]</f>
        <v>0</v>
      </c>
      <c r="EK177" s="38" t="n">
        <f aca="false">Tasks[[#This Row],[_LeafBudget]]*Tasks[[#This Row],[_LeafProgress]]</f>
        <v>0</v>
      </c>
      <c r="EL177" s="38" t="n">
        <f aca="false">IF(NOT(Tasks[[#This Row],[_IsLeaf]]=1),0,IF(Tasks[[#This Row],[Actual Cost]]="",Tasks[[#This Row],[_LeafTotalCost]]*Tasks[[#This Row],[_LeafProgress]],N(Tasks[[#This Row],[Actual Cost]])))</f>
        <v>0</v>
      </c>
      <c r="EM177" s="38" t="str">
        <f aca="false">IF(Tasks[[#This Row],[Task Name]]="","",LEFT(Tasks[[#This Row],[WBS]],FIND(".",Tasks[[#This Row],[WBS]]&amp;".")-1))</f>
        <v/>
      </c>
      <c r="EN177" s="38" t="str">
        <f aca="false">IF(AND(Tasks[[#This Row],[Task Name]]&lt;&gt;"",Tasks[[#This Row],[_Level]]=1),Tasks[[#This Row],[_Row]],"")</f>
        <v/>
      </c>
      <c r="EO177" s="38" t="str">
        <f aca="false">IF(AND(Tasks[[#This Row],[_IsLeaf]]=1,N(Tasks[[#This Row],[Duration]])=0),Tasks[[#This Row],[Planned Finish]]+Tasks[[#This Row],[_Row]]/100000,"")</f>
        <v/>
      </c>
      <c r="EP177" s="38" t="str">
        <f aca="false">IF(AND(Tasks[[#This Row],[_IsLeaf]]=1,Tasks[[#This Row],[_LeafProgress]]&lt;1,OR(N(Tasks[[#This Row],[Finish Var]])&gt;0,Tasks[[#This Row],[Status]]="Late Start")),MAX(0,Tasks[[#This Row],[Finish Var]])+1-Tasks[[#This Row],[_Row]]/1000000,"")</f>
        <v/>
      </c>
      <c r="EQ177" s="38" t="str">
        <f aca="false">IF(AND(Tasks[[#This Row],[_IsLeaf]]=1,N(Tasks[[#This Row],[Actual Start]])=0,Tasks[[#This Row],[_ShownFcstStart]]&gt;=StatusDate,Tasks[[#This Row],[_ShownFcstStart]]&lt;=LookaheadEnd),Tasks[[#This Row],[_ShownFcstStart]]+Tasks[[#This Row],[_Row]]/100000,"")</f>
        <v/>
      </c>
      <c r="ER177" s="38" t="str">
        <f aca="false">IF(AND(Tasks[[#This Row],[_IsLeaf]]=1,Tasks[[#This Row],[_LeafProgress]]&lt;1,Tasks[[#This Row],[_ShownFcstFinish]]&gt;=StatusDate,Tasks[[#This Row],[_ShownFcstFinish]]&lt;=LookaheadEnd),Tasks[[#This Row],[_ShownFcstFinish]]+Tasks[[#This Row],[_Row]]/100000,"")</f>
        <v/>
      </c>
      <c r="ES177" s="38" t="str">
        <f aca="false">IF(Tasks[[#This Row],[_LeafCritical]],Tasks[[#This Row],[_ShownFcstStart]]+Tasks[[#This Row],[_Row]]/100000,"")</f>
        <v/>
      </c>
      <c r="ET177" s="38" t="n">
        <f aca="false">Tasks[[#This Row],[_LeafWork]]*Tasks[[#This Row],[_LeafProgress]]</f>
        <v>0</v>
      </c>
      <c r="EU177" s="115" t="str">
        <f aca="false">IF(AND(Tasks[[#This Row],[_IsLeaf]]=1,Tasks[[#This Row],[_LeafProgress]]&gt;=1),IF(N(Tasks[[#This Row],[Actual Finish]])&gt;0,Tasks[[#This Row],[Actual Finish]],Tasks[[#This Row],[_ShownFcstFinish]]),"")</f>
        <v/>
      </c>
      <c r="EV177" s="38" t="n">
        <f aca="false">IF(Tasks[[#This Row],[_IsLeaf]]=1,N(Tasks[[#This Row],[Story Points]]),0)</f>
        <v>0</v>
      </c>
      <c r="EW177" s="38" t="str">
        <f aca="false">IF(AND(Tasks[[#This Row],[_IsLeaf]]=1,CurrentSprint&lt;&gt;"",Tasks[[#This Row],[Sprint]]=CurrentSprint),Tasks[[#This Row],[_Row]],"")</f>
        <v/>
      </c>
    </row>
    <row r="178" customFormat="false" ht="15" hidden="false" customHeight="false" outlineLevel="0" collapsed="false">
      <c r="A178" s="51" t="str">
        <f aca="false">IF(Tasks[[#This Row],[Task Name]]="","",COUNTA(Tasks[[#Headers],[Task Name]]:Tasks[[#This Row],[Task Name]])-1)</f>
        <v/>
      </c>
      <c r="B178" s="52" t="n">
        <v>173</v>
      </c>
      <c r="C17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52"/>
      <c r="E178" s="53"/>
      <c r="F178" s="52"/>
      <c r="G178" s="52"/>
      <c r="H178" s="52"/>
      <c r="I178" s="52"/>
      <c r="J178" s="52"/>
      <c r="K178" s="52"/>
      <c r="L178" s="52"/>
      <c r="M178" s="52"/>
      <c r="N178" s="52"/>
      <c r="O178" s="52"/>
      <c r="P178" s="52"/>
      <c r="Q178" s="52"/>
      <c r="R178" s="52"/>
      <c r="S178" s="53"/>
      <c r="T178" s="102"/>
      <c r="U178" s="102"/>
      <c r="V178" s="7"/>
      <c r="W178" s="7"/>
      <c r="X178" s="53"/>
      <c r="Y178" s="31" t="str">
        <f aca="false">IF(Tasks[[#This Row],[Task Name]]="","",IF(Tasks[[#This Row],[_IsSummary]],MIN(INDEX(Tasks[_ShownFcstStart],Tasks[[#This Row],[_Row]]+1):INDEX(Tasks[_ShownFcstStart],Tasks[[#This Row],[_Row]]+Tasks[[#This Row],[_Descendants]])),Tasks[[#This Row],[_ShownFcstStart]]))</f>
        <v/>
      </c>
      <c r="Z178" s="31" t="str">
        <f aca="false">IF(Tasks[[#This Row],[Task Name]]="","",IF(Tasks[[#This Row],[_IsSummary]],MAX(INDEX(Tasks[_ShownFcstFinish],Tasks[[#This Row],[_Row]]+1):INDEX(Tasks[_ShownFcstFinish],Tasks[[#This Row],[_Row]]+Tasks[[#This Row],[_Descendants]])),Tasks[[#This Row],[_ShownFcstFinish]]))</f>
        <v/>
      </c>
      <c r="AA178" s="51" t="str">
        <f aca="false">IF(Tasks[[#This Row],[Task Name]]="","",IF(Tasks[[#This Row],[Progress]]&gt;=1,"Complete",IF(OR(N(Tasks[[#This Row],[Actual Start]])&gt;0,Tasks[[#This Row],[Progress]]&gt;0),IF(Tasks[[#This Row],[Finish Var]]&gt;0,"Behind","In Progress"),IF(Tasks[[#This Row],[Planned Start]]&lt;StatusDate,"Late Start","Not Started"))))</f>
        <v/>
      </c>
      <c r="AB178" s="51" t="str">
        <f aca="false">IF(Tasks[[#This Row],[Task Name]]="","",IF(IF(Tasks[[#This Row],[_IsSummary]],COUNTIF(INDEX(Tasks[_LeafCritical],Tasks[[#This Row],[_Row]]+1):INDEX(Tasks[_LeafCritical],Tasks[[#This Row],[_Row]]+Tasks[[#This Row],[_Descendants]]),TRUE())&gt;0,Tasks[[#This Row],[_LeafCritical]]),"Yes",""))</f>
        <v/>
      </c>
      <c r="AC17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8" s="51" t="str">
        <f aca="false">IF(Tasks[[#This Row],[Task Name]]="","",IF(Tasks[[#This Row],[_Level]]&lt;=OutlineShowLevel,"Yes","No"))</f>
        <v/>
      </c>
      <c r="AE178" s="7"/>
      <c r="AF178" s="52"/>
      <c r="AG178" s="53"/>
      <c r="AH178" s="7"/>
      <c r="AI17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8" s="31" t="str">
        <f aca="false">IF(Tasks[[#This Row],[Task Name]]="","",IF(N(Tasks[[#This Row],[Baseline Start]])&gt;0,Tasks[[#This Row],[Baseline Start]],Tasks[[#This Row],[_CalcStart]]))</f>
        <v/>
      </c>
      <c r="AK178" s="31" t="str">
        <f aca="false">IF(Tasks[[#This Row],[Task Name]]="","",IF(N(Tasks[[#This Row],[Baseline Finish]])&gt;0,Tasks[[#This Row],[Baseline Finish]],Tasks[[#This Row],[_CalcFinish]]))</f>
        <v/>
      </c>
      <c r="AL17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8" s="31" t="str">
        <f aca="false">IF(Tasks[[#This Row],[Task Name]]="","",IF(Tasks[[#This Row],[_IsSummary]],MIN(INDEX(Tasks[_LeafLateStart],Tasks[[#This Row],[_Row]]+1):INDEX(Tasks[_LeafLateStart],Tasks[[#This Row],[_Row]]+Tasks[[#This Row],[_Descendants]])),Tasks[[#This Row],[_LeafLateStart]]))</f>
        <v/>
      </c>
      <c r="AN178" s="31" t="str">
        <f aca="false">IF(Tasks[[#This Row],[Task Name]]="","",IF(Tasks[[#This Row],[_IsSummary]],MAX(INDEX(Tasks[_LeafLateFinish],Tasks[[#This Row],[_Row]]+1):INDEX(Tasks[_LeafLateFinish],Tasks[[#This Row],[_Row]]+Tasks[[#This Row],[_Descendants]])),Tasks[[#This Row],[_LeafLateFinish]]))</f>
        <v/>
      </c>
      <c r="AO178" s="51" t="str">
        <f aca="false">IF(Tasks[[#This Row],[Task Name]]="","",IF(Tasks[[#This Row],[_IsSummary]],MIN(INDEX(Tasks[_LeafTotalSlack],Tasks[[#This Row],[_Row]]+1):INDEX(Tasks[_LeafTotalSlack],Tasks[[#This Row],[_Row]]+Tasks[[#This Row],[_Descendants]])),Tasks[[#This Row],[_LeafTotalSlack]]))</f>
        <v/>
      </c>
      <c r="AP17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8" s="110" t="str">
        <f aca="false">IF(Tasks[[#This Row],[Task Name]]="","",IF(Tasks[[#This Row],[_IsSummary]],SUM(INDEX(Tasks[_LeafTotalWork],Tasks[[#This Row],[_Row]]+1):INDEX(Tasks[_LeafTotalWork],Tasks[[#This Row],[_Row]]+Tasks[[#This Row],[_Descendants]])),Tasks[[#This Row],[_LeafTotalWork]]))</f>
        <v/>
      </c>
      <c r="AV17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8" s="111" t="str">
        <f aca="false">IF(Tasks[[#This Row],[Task Name]]="","",IF(Tasks[[#This Row],[_IsSummary]],SUM(INDEX(Tasks[_LeafTotalCost],Tasks[[#This Row],[_Row]]+1):INDEX(Tasks[_LeafTotalCost],Tasks[[#This Row],[_Row]]+Tasks[[#This Row],[_Descendants]])),Tasks[[#This Row],[_LeafTotalCost]]))</f>
        <v/>
      </c>
      <c r="AY178" s="112"/>
      <c r="AZ17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8" s="52"/>
      <c r="BB178" s="98"/>
      <c r="BC178" s="51" t="str">
        <f aca="false">IF(OR(Tasks[[#This Row],[Task Name]]="",Tasks[[#This Row],[Baseline Duration]]=""),"",Tasks[[#This Row],[BL Source Duration]]-N(Tasks[[#This Row],[Baseline Duration]]))</f>
        <v/>
      </c>
      <c r="BD178" s="110" t="str">
        <f aca="false">IF(OR(Tasks[[#This Row],[Task Name]]="",Tasks[[#This Row],[Baseline Work]]=""),"",Tasks[[#This Row],[Work]]-N(Tasks[[#This Row],[Baseline Work]]))</f>
        <v/>
      </c>
      <c r="BE178" s="111" t="str">
        <f aca="false">IF(OR(Tasks[[#This Row],[Task Name]]="",Tasks[[#This Row],[Baseline Cost]]=""),"",Tasks[[#This Row],[Cost]]-N(Tasks[[#This Row],[Baseline Cost]]))</f>
        <v/>
      </c>
      <c r="BF178" s="31" t="str">
        <f aca="false">IF(Tasks[[#This Row],[Task Name]]="","",Tasks[[#This Row],[Forecast Start]])</f>
        <v/>
      </c>
      <c r="BG178" s="31" t="str">
        <f aca="false">IF(Tasks[[#This Row],[Task Name]]="","",Tasks[[#This Row],[Forecast Finish]])</f>
        <v/>
      </c>
      <c r="BH178" s="51" t="str">
        <f aca="false">IF(Tasks[[#This Row],[Task Name]]="","",IF(Tasks[[#This Row],[_IsSummary]],NETWORKDAYS.INTL(Tasks[[#This Row],[Forecast Start]],Tasks[[#This Row],[Forecast Finish]],WorkWeek,Holidays),N(Tasks[[#This Row],[Duration]])))</f>
        <v/>
      </c>
      <c r="BI178" s="110" t="str">
        <f aca="false">IF(Tasks[[#This Row],[Task Name]]="","",Tasks[[#This Row],[Work]])</f>
        <v/>
      </c>
      <c r="BJ178" s="111" t="str">
        <f aca="false">IF(Tasks[[#This Row],[Task Name]]="","",Tasks[[#This Row],[Cost]])</f>
        <v/>
      </c>
      <c r="BK178" s="7"/>
      <c r="BL178" s="7"/>
      <c r="BM178" s="52"/>
      <c r="BN178" s="113"/>
      <c r="BO178" s="112"/>
      <c r="BP178" s="111" t="str">
        <f aca="false">IF(Tasks[[#This Row],[Task Name]]="","",IF(Tasks[[#This Row],[_IsSummary]],SUM(INDEX(Tasks[_LeafEV],Tasks[[#This Row],[_Row]]+1):INDEX(Tasks[_LeafEV],Tasks[[#This Row],[_Row]]+Tasks[[#This Row],[_Descendants]])),Tasks[[#This Row],[_LeafEV]]))</f>
        <v/>
      </c>
      <c r="BQ178" s="111" t="str">
        <f aca="false">IF(Tasks[[#This Row],[Task Name]]="","",IF(Tasks[[#This Row],[_IsSummary]],SUM(INDEX(Tasks[_LeafBudget],Tasks[[#This Row],[_Row]]+1):INDEX(Tasks[_LeafBudget],Tasks[[#This Row],[_Row]]+Tasks[[#This Row],[_Descendants]])),Tasks[[#This Row],[_LeafBudget]]))</f>
        <v/>
      </c>
      <c r="BR178" s="111" t="str">
        <f aca="false">IF(Tasks[[#This Row],[Task Name]]="","",IF(Tasks[[#This Row],[_IsSummary]],SUM(INDEX(Tasks[_LeafPV],Tasks[[#This Row],[_Row]]+1):INDEX(Tasks[_LeafPV],Tasks[[#This Row],[_Row]]+Tasks[[#This Row],[_Descendants]])),Tasks[[#This Row],[_LeafPV]]))</f>
        <v/>
      </c>
      <c r="BS178" s="111" t="str">
        <f aca="false">IF(Tasks[[#This Row],[Task Name]]="","",IF(Tasks[[#This Row],[_IsSummary]],SUM(INDEX(Tasks[_LeafAC],Tasks[[#This Row],[_Row]]+1):INDEX(Tasks[_LeafAC],Tasks[[#This Row],[_Row]]+Tasks[[#This Row],[_Descendants]])),Tasks[[#This Row],[_LeafAC]]))</f>
        <v/>
      </c>
      <c r="BT178" s="38" t="str">
        <f aca="false">IF(Tasks[[#This Row],[Task Name]]="","",MAX(1,N(Tasks[[#This Row],[Level]])))</f>
        <v/>
      </c>
      <c r="BU178" s="38" t="n">
        <f aca="false">ROW()-ROW(Tasks[[#Headers],[ID]])</f>
        <v>173</v>
      </c>
      <c r="BV178" s="38" t="n">
        <f aca="false">IF(OR(Tasks[[#This Row],[Task Name]]="",Tasks[[#This Row],[_Level]]&lt;=1),0,IFERROR(LOOKUP(2,1/(Tasks[[#Headers],[_Level]]:Tasks[[#This Row],[_Level]]=Tasks[[#This Row],[_Level]]-1),ROW(Tasks[[#Headers],[_Level]]:Tasks[[#This Row],[_Level]])),0))</f>
        <v>0</v>
      </c>
      <c r="BW178" s="38" t="n">
        <f aca="false">IFERROR(N(INDEX(Tasks[_Level],Tasks[[#This Row],[_Row]]+1)),0)</f>
        <v>0</v>
      </c>
      <c r="BX178" s="114" t="b">
        <f aca="false">AND(Tasks[[#This Row],[Task Name]]&lt;&gt;"",Tasks[[#This Row],[_NextLevel]]&gt;Tasks[[#This Row],[_Level]])</f>
        <v>0</v>
      </c>
      <c r="BY178" s="38" t="n">
        <f aca="false">IF(Tasks[[#This Row],[_IsSummary]],COUNTIF(Tasks[WBS],Tasks[[#This Row],[WBS]]&amp;".*"),0)</f>
        <v>0</v>
      </c>
      <c r="BZ178" s="38" t="n">
        <f aca="false">IF(AND(Tasks[[#This Row],[Task Name]]&lt;&gt;"",NOT(Tasks[[#This Row],[_IsSummary]])),1,0)</f>
        <v>0</v>
      </c>
      <c r="CA178" s="38" t="n">
        <f aca="false">IF(N(Tasks[[#This Row],[Pred1 UID]])=0,0,IFERROR(MATCH(Tasks[[#This Row],[Pred1 UID]],Tasks[UID],0),-1))</f>
        <v>0</v>
      </c>
      <c r="CB178" s="38" t="n">
        <f aca="false">IF(N(Tasks[[#This Row],[Pred2 UID]])=0,0,IFERROR(MATCH(Tasks[[#This Row],[Pred2 UID]],Tasks[UID],0),-1))</f>
        <v>0</v>
      </c>
      <c r="CC178" s="38" t="n">
        <f aca="false">IF(N(Tasks[[#This Row],[Pred3 UID]])=0,0,IFERROR(MATCH(Tasks[[#This Row],[Pred3 UID]],Tasks[UID],0),-1))</f>
        <v>0</v>
      </c>
      <c r="CD178" s="38" t="n">
        <f aca="false">IF(N(Tasks[[#This Row],[Pred4 UID]])=0,0,IFERROR(MATCH(Tasks[[#This Row],[Pred4 UID]],Tasks[UID],0),-1))</f>
        <v>0</v>
      </c>
      <c r="CE17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8" s="115" t="n">
        <f aca="false">IF(OR(Tasks[[#This Row],[_ConstraintCode]]=2,Tasks[[#This Row],[_ConstraintCode]]=3,Tasks[[#This Row],[_ConstraintCode]]=4,Tasks[[#This Row],[_ConstraintCode]]=6),Tasks[[#This Row],[_ConstraintStart]],0)</f>
        <v>0</v>
      </c>
      <c r="CH178" s="115" t="n">
        <f aca="false">IF(OR(Tasks[[#This Row],[_ConstraintCode]]=2,Tasks[[#This Row],[_ConstraintCode]]=3,Tasks[[#This Row],[_ConstraintCode]]=5,Tasks[[#This Row],[_ConstraintCode]]=7),Tasks[[#This Row],[_ConstraintStart]],2958465)</f>
        <v>2958465</v>
      </c>
      <c r="CI17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8" s="115" t="str">
        <f aca="false">IF(NOT(Tasks[[#This Row],[_IsLeaf]]=1),"",IF(N(Tasks[[#This Row],[Duration]])&lt;=0,Tasks[[#This Row],[_LeafCalcStart]],WORKDAY.INTL(Tasks[[#This Row],[_LeafCalcStart]],Tasks[[#This Row],[Duration]]-1,WorkWeek,Holidays)))</f>
        <v/>
      </c>
      <c r="CK17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8" s="38" t="n">
        <f aca="false">IF(NOT(Tasks[[#This Row],[_IsLeaf]]=1),0,IF(N(Tasks[[#This Row],[Actual Finish]])&gt;0,1,MIN(1,N(Tasks[[#This Row],[% Complete]]))))</f>
        <v>0</v>
      </c>
      <c r="CN178" s="38" t="n">
        <f aca="false">IF(OR(NOT(Tasks[[#This Row],[_IsLeaf]]=1),Tasks[[#This Row],[Resource]]=""),0,N(Tasks[[#This Row],[Duration]])*HoursPerDay*IF(Tasks[[#This Row],[Units]]="",DefaultUnits,Tasks[[#This Row],[Units]]))</f>
        <v>0</v>
      </c>
      <c r="CO178" s="38" t="n">
        <f aca="false">IF(Tasks[[#This Row],[_LeafWork]]=0,0,Tasks[[#This Row],[_LeafWork]]*IFERROR(INDEX(res_Rate,MATCH(Tasks[[#This Row],[Resource]],res_Name,0)),0))</f>
        <v>0</v>
      </c>
      <c r="CP178" s="38" t="n">
        <f aca="false">Tasks[[#This Row],[_LeafWork]]+IF(Tasks[[#This Row],[_IsLeaf]]=1,SUMIFS(asg_Work,asg_TaskUID,Tasks[[#This Row],[UID]],asg_Valid,1),0)</f>
        <v>0</v>
      </c>
      <c r="CQ178" s="38" t="n">
        <f aca="false">Tasks[[#This Row],[_LeafCost]]+IF(Tasks[[#This Row],[_IsLeaf]]=1,SUMIFS(asg_Cost,asg_TaskUID,Tasks[[#This Row],[UID]],asg_Valid,1),0)</f>
        <v>0</v>
      </c>
      <c r="CR178" s="38" t="n">
        <f aca="false">IF(Tasks[[#This Row],[_LeafTotalCost]]=0,Tasks[[#This Row],[_LeafAC]],Tasks[[#This Row],[_LeafAC]]*Tasks[[#This Row],[_LeafCost]]/Tasks[[#This Row],[_LeafTotalCost]])</f>
        <v>0</v>
      </c>
      <c r="CS17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8" s="38" t="n">
        <f aca="false">IF(NOT(Tasks[[#This Row],[_IsLeaf]]=1),0,MAX(_xlfn.MAXIFS(Tasks[_Row],Tasks[Pred1 UID],Tasks[[#This Row],[UID]]),_xlfn.MAXIFS(Tasks[_Row],Tasks[Pred2 UID],Tasks[[#This Row],[UID]]),_xlfn.MAXIFS(Tasks[_Row],Tasks[Pred3 UID],Tasks[[#This Row],[UID]]),_xlfn.MAXIFS(Tasks[_Row],Tasks[Pred4 UID],Tasks[[#This Row],[UID]])))</f>
        <v>0</v>
      </c>
      <c r="DB17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8" s="115" t="str">
        <f aca="false">IF(NOT(Tasks[[#This Row],[_IsLeaf]]=1),"",IF(N(Tasks[[#This Row],[Duration]])&lt;=0,Tasks[[#This Row],[_LeafLateFinish]],WORKDAY.INTL(Tasks[[#This Row],[_LeafLateFinish]],-(Tasks[[#This Row],[Duration]]-1),WorkWeek,Holidays)))</f>
        <v/>
      </c>
      <c r="DE17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8" s="114" t="b">
        <f aca="false">AND(Tasks[[#This Row],[_IsLeaf]]=1,Tasks[[#This Row],[_LeafProgress]]&lt;1,N(Tasks[[#This Row],[_LeafTotalSlack]])&lt;=CriticalSlackDays)</f>
        <v>0</v>
      </c>
      <c r="DG178" s="38" t="n">
        <f aca="false">IF(AND(Tasks[[#This Row],[_IsLeaf]]=1,Tasks[[#This Row],[_ConstraintCode]]=1,Tasks[[#This Row],[Mode]]&lt;&gt;"Manual",N(Tasks[[#This Row],[Actual Start]])=0),MAX(0,N(Tasks[[#This Row],[Free Slack]])),0)</f>
        <v>0</v>
      </c>
      <c r="DH178" s="115" t="str">
        <f aca="false">IF(NOT(Tasks[[#This Row],[_IsLeaf]]=1),"",IF(Tasks[[#This Row],[_AlapShift]]=0,Tasks[[#This Row],[_LeafCalcStart]],WORKDAY.INTL(Tasks[[#This Row],[_LeafCalcStart]],Tasks[[#This Row],[_AlapShift]],WorkWeek,Holidays)))</f>
        <v/>
      </c>
      <c r="DI178" s="115" t="str">
        <f aca="false">IF(NOT(Tasks[[#This Row],[_IsLeaf]]=1),"",IF(Tasks[[#This Row],[_AlapShift]]=0,Tasks[[#This Row],[_LeafCalcFinish]],WORKDAY.INTL(Tasks[[#This Row],[_LeafCalcFinish]],Tasks[[#This Row],[_AlapShift]],WorkWeek,Holidays)))</f>
        <v/>
      </c>
      <c r="DJ178" s="115" t="str">
        <f aca="false">IF(NOT(Tasks[[#This Row],[_IsLeaf]]=1),"",IF(Tasks[[#This Row],[_AlapShift]]=0,Tasks[[#This Row],[_LeafFcstStart]],WORKDAY.INTL(Tasks[[#This Row],[_LeafFcstStart]],Tasks[[#This Row],[_AlapShift]],WorkWeek,Holidays)))</f>
        <v/>
      </c>
      <c r="DK178" s="115" t="str">
        <f aca="false">IF(NOT(Tasks[[#This Row],[_IsLeaf]]=1),"",IF(Tasks[[#This Row],[_AlapShift]]=0,Tasks[[#This Row],[_LeafFcstFinish]],WORKDAY.INTL(Tasks[[#This Row],[_LeafFcstFinish]],Tasks[[#This Row],[_AlapShift]],WorkWeek,Holidays)))</f>
        <v/>
      </c>
      <c r="DL178" s="115" t="str">
        <f aca="false">IF(Tasks[[#This Row],[Task Name]]="","",IF(Tasks[[#This Row],[_IsSummary]],MIN(INDEX(Tasks[_ShownCalcStart],Tasks[[#This Row],[_Row]]+1):INDEX(Tasks[_ShownCalcStart],Tasks[[#This Row],[_Row]]+Tasks[[#This Row],[_Descendants]])),Tasks[[#This Row],[_ShownCalcStart]]))</f>
        <v/>
      </c>
      <c r="DM178" s="115" t="str">
        <f aca="false">IF(Tasks[[#This Row],[Task Name]]="","",IF(Tasks[[#This Row],[_IsSummary]],MAX(INDEX(Tasks[_ShownCalcFinish],Tasks[[#This Row],[_Row]]+1):INDEX(Tasks[_ShownCalcFinish],Tasks[[#This Row],[_Row]]+Tasks[[#This Row],[_Descendants]])),Tasks[[#This Row],[_ShownCalcFinish]]))</f>
        <v/>
      </c>
      <c r="DN17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8" s="38" t="n">
        <f aca="false">IF(AND(Tasks[[#This Row],[_IsLeaf]]=1,Tasks[[#This Row],[_LeafTotalWork]]&gt;0),NETWORKDAYS.INTL(ProjectStart,Tasks[[#This Row],[_ShownFcstStart]],WorkWeek,Holidays),0)</f>
        <v>0</v>
      </c>
      <c r="EA178" s="38" t="n">
        <f aca="false">IF(AND(Tasks[[#This Row],[_IsLeaf]]=1,Tasks[[#This Row],[_LeafTotalWork]]&gt;0),MAX(Tasks[[#This Row],[_StartWorkday]],NETWORKDAYS.INTL(ProjectStart,Tasks[[#This Row],[_ShownFcstFinish]],WorkWeek,Holidays)),0)</f>
        <v>0</v>
      </c>
      <c r="EB178" s="38" t="n">
        <f aca="false">IF(AND(Tasks[[#This Row],[_IsLeaf]]=1,Tasks[[#This Row],[_LeafTotalWork]]&gt;0),Tasks[[#This Row],[_LeafWork]]/(Tasks[[#This Row],[_FinishWorkday]]-Tasks[[#This Row],[_StartWorkday]]+1),0)</f>
        <v>0</v>
      </c>
      <c r="EC178" s="38" t="n">
        <f aca="false">Tasks[[#This Row],[_WorkPerWorkday]]*(Tasks[[#This Row],[_StartWorkday]]-1)</f>
        <v>-0</v>
      </c>
      <c r="ED178" s="38" t="n">
        <f aca="false">IF(Tasks[[#This Row],[_IsLeaf]]=1,MAX(N(Tasks[[#This Row],[Duration]]),0.1),0)</f>
        <v>0</v>
      </c>
      <c r="EE178" s="38" t="n">
        <f aca="false">Tasks[[#This Row],[_WeightDur]]*Tasks[[#This Row],[_LeafProgress]]</f>
        <v>0</v>
      </c>
      <c r="EF17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8" s="38" t="str">
        <f aca="false">IF(AND(Tasks[[#This Row],[_IsLeaf]]=1,N(Tasks[[#This Row],[Duration]])=0,Tasks[[#This Row],[_LeafProgress]]&lt;1),Tasks[[#This Row],[_ShownFcstFinish]]+Tasks[[#This Row],[_Row]]/100000,"")</f>
        <v/>
      </c>
      <c r="EH17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8" s="38" t="n">
        <f aca="false">IF(NOT(Tasks[[#This Row],[_IsLeaf]]=1),0,IF(Tasks[[#This Row],[Baseline Cost]]="",Tasks[[#This Row],[_LeafTotalCost]],N(Tasks[[#This Row],[Baseline Cost]])))</f>
        <v>0</v>
      </c>
      <c r="EJ178" s="38" t="n">
        <f aca="false">Tasks[[#This Row],[_LeafBudget]]*Tasks[[#This Row],[_PlannedPct]]</f>
        <v>0</v>
      </c>
      <c r="EK178" s="38" t="n">
        <f aca="false">Tasks[[#This Row],[_LeafBudget]]*Tasks[[#This Row],[_LeafProgress]]</f>
        <v>0</v>
      </c>
      <c r="EL178" s="38" t="n">
        <f aca="false">IF(NOT(Tasks[[#This Row],[_IsLeaf]]=1),0,IF(Tasks[[#This Row],[Actual Cost]]="",Tasks[[#This Row],[_LeafTotalCost]]*Tasks[[#This Row],[_LeafProgress]],N(Tasks[[#This Row],[Actual Cost]])))</f>
        <v>0</v>
      </c>
      <c r="EM178" s="38" t="str">
        <f aca="false">IF(Tasks[[#This Row],[Task Name]]="","",LEFT(Tasks[[#This Row],[WBS]],FIND(".",Tasks[[#This Row],[WBS]]&amp;".")-1))</f>
        <v/>
      </c>
      <c r="EN178" s="38" t="str">
        <f aca="false">IF(AND(Tasks[[#This Row],[Task Name]]&lt;&gt;"",Tasks[[#This Row],[_Level]]=1),Tasks[[#This Row],[_Row]],"")</f>
        <v/>
      </c>
      <c r="EO178" s="38" t="str">
        <f aca="false">IF(AND(Tasks[[#This Row],[_IsLeaf]]=1,N(Tasks[[#This Row],[Duration]])=0),Tasks[[#This Row],[Planned Finish]]+Tasks[[#This Row],[_Row]]/100000,"")</f>
        <v/>
      </c>
      <c r="EP178" s="38" t="str">
        <f aca="false">IF(AND(Tasks[[#This Row],[_IsLeaf]]=1,Tasks[[#This Row],[_LeafProgress]]&lt;1,OR(N(Tasks[[#This Row],[Finish Var]])&gt;0,Tasks[[#This Row],[Status]]="Late Start")),MAX(0,Tasks[[#This Row],[Finish Var]])+1-Tasks[[#This Row],[_Row]]/1000000,"")</f>
        <v/>
      </c>
      <c r="EQ178" s="38" t="str">
        <f aca="false">IF(AND(Tasks[[#This Row],[_IsLeaf]]=1,N(Tasks[[#This Row],[Actual Start]])=0,Tasks[[#This Row],[_ShownFcstStart]]&gt;=StatusDate,Tasks[[#This Row],[_ShownFcstStart]]&lt;=LookaheadEnd),Tasks[[#This Row],[_ShownFcstStart]]+Tasks[[#This Row],[_Row]]/100000,"")</f>
        <v/>
      </c>
      <c r="ER178" s="38" t="str">
        <f aca="false">IF(AND(Tasks[[#This Row],[_IsLeaf]]=1,Tasks[[#This Row],[_LeafProgress]]&lt;1,Tasks[[#This Row],[_ShownFcstFinish]]&gt;=StatusDate,Tasks[[#This Row],[_ShownFcstFinish]]&lt;=LookaheadEnd),Tasks[[#This Row],[_ShownFcstFinish]]+Tasks[[#This Row],[_Row]]/100000,"")</f>
        <v/>
      </c>
      <c r="ES178" s="38" t="str">
        <f aca="false">IF(Tasks[[#This Row],[_LeafCritical]],Tasks[[#This Row],[_ShownFcstStart]]+Tasks[[#This Row],[_Row]]/100000,"")</f>
        <v/>
      </c>
      <c r="ET178" s="38" t="n">
        <f aca="false">Tasks[[#This Row],[_LeafWork]]*Tasks[[#This Row],[_LeafProgress]]</f>
        <v>0</v>
      </c>
      <c r="EU178" s="115" t="str">
        <f aca="false">IF(AND(Tasks[[#This Row],[_IsLeaf]]=1,Tasks[[#This Row],[_LeafProgress]]&gt;=1),IF(N(Tasks[[#This Row],[Actual Finish]])&gt;0,Tasks[[#This Row],[Actual Finish]],Tasks[[#This Row],[_ShownFcstFinish]]),"")</f>
        <v/>
      </c>
      <c r="EV178" s="38" t="n">
        <f aca="false">IF(Tasks[[#This Row],[_IsLeaf]]=1,N(Tasks[[#This Row],[Story Points]]),0)</f>
        <v>0</v>
      </c>
      <c r="EW178" s="38" t="str">
        <f aca="false">IF(AND(Tasks[[#This Row],[_IsLeaf]]=1,CurrentSprint&lt;&gt;"",Tasks[[#This Row],[Sprint]]=CurrentSprint),Tasks[[#This Row],[_Row]],"")</f>
        <v/>
      </c>
    </row>
    <row r="179" customFormat="false" ht="15" hidden="false" customHeight="false" outlineLevel="0" collapsed="false">
      <c r="A179" s="51" t="str">
        <f aca="false">IF(Tasks[[#This Row],[Task Name]]="","",COUNTA(Tasks[[#Headers],[Task Name]]:Tasks[[#This Row],[Task Name]])-1)</f>
        <v/>
      </c>
      <c r="B179" s="52" t="n">
        <v>174</v>
      </c>
      <c r="C17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52"/>
      <c r="E179" s="53"/>
      <c r="F179" s="52"/>
      <c r="G179" s="52"/>
      <c r="H179" s="52"/>
      <c r="I179" s="52"/>
      <c r="J179" s="52"/>
      <c r="K179" s="52"/>
      <c r="L179" s="52"/>
      <c r="M179" s="52"/>
      <c r="N179" s="52"/>
      <c r="O179" s="52"/>
      <c r="P179" s="52"/>
      <c r="Q179" s="52"/>
      <c r="R179" s="52"/>
      <c r="S179" s="53"/>
      <c r="T179" s="102"/>
      <c r="U179" s="102"/>
      <c r="V179" s="7"/>
      <c r="W179" s="7"/>
      <c r="X179" s="53"/>
      <c r="Y179" s="31" t="str">
        <f aca="false">IF(Tasks[[#This Row],[Task Name]]="","",IF(Tasks[[#This Row],[_IsSummary]],MIN(INDEX(Tasks[_ShownFcstStart],Tasks[[#This Row],[_Row]]+1):INDEX(Tasks[_ShownFcstStart],Tasks[[#This Row],[_Row]]+Tasks[[#This Row],[_Descendants]])),Tasks[[#This Row],[_ShownFcstStart]]))</f>
        <v/>
      </c>
      <c r="Z179" s="31" t="str">
        <f aca="false">IF(Tasks[[#This Row],[Task Name]]="","",IF(Tasks[[#This Row],[_IsSummary]],MAX(INDEX(Tasks[_ShownFcstFinish],Tasks[[#This Row],[_Row]]+1):INDEX(Tasks[_ShownFcstFinish],Tasks[[#This Row],[_Row]]+Tasks[[#This Row],[_Descendants]])),Tasks[[#This Row],[_ShownFcstFinish]]))</f>
        <v/>
      </c>
      <c r="AA179" s="51" t="str">
        <f aca="false">IF(Tasks[[#This Row],[Task Name]]="","",IF(Tasks[[#This Row],[Progress]]&gt;=1,"Complete",IF(OR(N(Tasks[[#This Row],[Actual Start]])&gt;0,Tasks[[#This Row],[Progress]]&gt;0),IF(Tasks[[#This Row],[Finish Var]]&gt;0,"Behind","In Progress"),IF(Tasks[[#This Row],[Planned Start]]&lt;StatusDate,"Late Start","Not Started"))))</f>
        <v/>
      </c>
      <c r="AB179" s="51" t="str">
        <f aca="false">IF(Tasks[[#This Row],[Task Name]]="","",IF(IF(Tasks[[#This Row],[_IsSummary]],COUNTIF(INDEX(Tasks[_LeafCritical],Tasks[[#This Row],[_Row]]+1):INDEX(Tasks[_LeafCritical],Tasks[[#This Row],[_Row]]+Tasks[[#This Row],[_Descendants]]),TRUE())&gt;0,Tasks[[#This Row],[_LeafCritical]]),"Yes",""))</f>
        <v/>
      </c>
      <c r="AC17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9" s="51" t="str">
        <f aca="false">IF(Tasks[[#This Row],[Task Name]]="","",IF(Tasks[[#This Row],[_Level]]&lt;=OutlineShowLevel,"Yes","No"))</f>
        <v/>
      </c>
      <c r="AE179" s="7"/>
      <c r="AF179" s="52"/>
      <c r="AG179" s="53"/>
      <c r="AH179" s="7"/>
      <c r="AI17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9" s="31" t="str">
        <f aca="false">IF(Tasks[[#This Row],[Task Name]]="","",IF(N(Tasks[[#This Row],[Baseline Start]])&gt;0,Tasks[[#This Row],[Baseline Start]],Tasks[[#This Row],[_CalcStart]]))</f>
        <v/>
      </c>
      <c r="AK179" s="31" t="str">
        <f aca="false">IF(Tasks[[#This Row],[Task Name]]="","",IF(N(Tasks[[#This Row],[Baseline Finish]])&gt;0,Tasks[[#This Row],[Baseline Finish]],Tasks[[#This Row],[_CalcFinish]]))</f>
        <v/>
      </c>
      <c r="AL17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9" s="31" t="str">
        <f aca="false">IF(Tasks[[#This Row],[Task Name]]="","",IF(Tasks[[#This Row],[_IsSummary]],MIN(INDEX(Tasks[_LeafLateStart],Tasks[[#This Row],[_Row]]+1):INDEX(Tasks[_LeafLateStart],Tasks[[#This Row],[_Row]]+Tasks[[#This Row],[_Descendants]])),Tasks[[#This Row],[_LeafLateStart]]))</f>
        <v/>
      </c>
      <c r="AN179" s="31" t="str">
        <f aca="false">IF(Tasks[[#This Row],[Task Name]]="","",IF(Tasks[[#This Row],[_IsSummary]],MAX(INDEX(Tasks[_LeafLateFinish],Tasks[[#This Row],[_Row]]+1):INDEX(Tasks[_LeafLateFinish],Tasks[[#This Row],[_Row]]+Tasks[[#This Row],[_Descendants]])),Tasks[[#This Row],[_LeafLateFinish]]))</f>
        <v/>
      </c>
      <c r="AO179" s="51" t="str">
        <f aca="false">IF(Tasks[[#This Row],[Task Name]]="","",IF(Tasks[[#This Row],[_IsSummary]],MIN(INDEX(Tasks[_LeafTotalSlack],Tasks[[#This Row],[_Row]]+1):INDEX(Tasks[_LeafTotalSlack],Tasks[[#This Row],[_Row]]+Tasks[[#This Row],[_Descendants]])),Tasks[[#This Row],[_LeafTotalSlack]]))</f>
        <v/>
      </c>
      <c r="AP17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9" s="110" t="str">
        <f aca="false">IF(Tasks[[#This Row],[Task Name]]="","",IF(Tasks[[#This Row],[_IsSummary]],SUM(INDEX(Tasks[_LeafTotalWork],Tasks[[#This Row],[_Row]]+1):INDEX(Tasks[_LeafTotalWork],Tasks[[#This Row],[_Row]]+Tasks[[#This Row],[_Descendants]])),Tasks[[#This Row],[_LeafTotalWork]]))</f>
        <v/>
      </c>
      <c r="AV17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9" s="111" t="str">
        <f aca="false">IF(Tasks[[#This Row],[Task Name]]="","",IF(Tasks[[#This Row],[_IsSummary]],SUM(INDEX(Tasks[_LeafTotalCost],Tasks[[#This Row],[_Row]]+1):INDEX(Tasks[_LeafTotalCost],Tasks[[#This Row],[_Row]]+Tasks[[#This Row],[_Descendants]])),Tasks[[#This Row],[_LeafTotalCost]]))</f>
        <v/>
      </c>
      <c r="AY179" s="112"/>
      <c r="AZ17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9" s="52"/>
      <c r="BB179" s="98"/>
      <c r="BC179" s="51" t="str">
        <f aca="false">IF(OR(Tasks[[#This Row],[Task Name]]="",Tasks[[#This Row],[Baseline Duration]]=""),"",Tasks[[#This Row],[BL Source Duration]]-N(Tasks[[#This Row],[Baseline Duration]]))</f>
        <v/>
      </c>
      <c r="BD179" s="110" t="str">
        <f aca="false">IF(OR(Tasks[[#This Row],[Task Name]]="",Tasks[[#This Row],[Baseline Work]]=""),"",Tasks[[#This Row],[Work]]-N(Tasks[[#This Row],[Baseline Work]]))</f>
        <v/>
      </c>
      <c r="BE179" s="111" t="str">
        <f aca="false">IF(OR(Tasks[[#This Row],[Task Name]]="",Tasks[[#This Row],[Baseline Cost]]=""),"",Tasks[[#This Row],[Cost]]-N(Tasks[[#This Row],[Baseline Cost]]))</f>
        <v/>
      </c>
      <c r="BF179" s="31" t="str">
        <f aca="false">IF(Tasks[[#This Row],[Task Name]]="","",Tasks[[#This Row],[Forecast Start]])</f>
        <v/>
      </c>
      <c r="BG179" s="31" t="str">
        <f aca="false">IF(Tasks[[#This Row],[Task Name]]="","",Tasks[[#This Row],[Forecast Finish]])</f>
        <v/>
      </c>
      <c r="BH179" s="51" t="str">
        <f aca="false">IF(Tasks[[#This Row],[Task Name]]="","",IF(Tasks[[#This Row],[_IsSummary]],NETWORKDAYS.INTL(Tasks[[#This Row],[Forecast Start]],Tasks[[#This Row],[Forecast Finish]],WorkWeek,Holidays),N(Tasks[[#This Row],[Duration]])))</f>
        <v/>
      </c>
      <c r="BI179" s="110" t="str">
        <f aca="false">IF(Tasks[[#This Row],[Task Name]]="","",Tasks[[#This Row],[Work]])</f>
        <v/>
      </c>
      <c r="BJ179" s="111" t="str">
        <f aca="false">IF(Tasks[[#This Row],[Task Name]]="","",Tasks[[#This Row],[Cost]])</f>
        <v/>
      </c>
      <c r="BK179" s="7"/>
      <c r="BL179" s="7"/>
      <c r="BM179" s="52"/>
      <c r="BN179" s="113"/>
      <c r="BO179" s="112"/>
      <c r="BP179" s="111" t="str">
        <f aca="false">IF(Tasks[[#This Row],[Task Name]]="","",IF(Tasks[[#This Row],[_IsSummary]],SUM(INDEX(Tasks[_LeafEV],Tasks[[#This Row],[_Row]]+1):INDEX(Tasks[_LeafEV],Tasks[[#This Row],[_Row]]+Tasks[[#This Row],[_Descendants]])),Tasks[[#This Row],[_LeafEV]]))</f>
        <v/>
      </c>
      <c r="BQ179" s="111" t="str">
        <f aca="false">IF(Tasks[[#This Row],[Task Name]]="","",IF(Tasks[[#This Row],[_IsSummary]],SUM(INDEX(Tasks[_LeafBudget],Tasks[[#This Row],[_Row]]+1):INDEX(Tasks[_LeafBudget],Tasks[[#This Row],[_Row]]+Tasks[[#This Row],[_Descendants]])),Tasks[[#This Row],[_LeafBudget]]))</f>
        <v/>
      </c>
      <c r="BR179" s="111" t="str">
        <f aca="false">IF(Tasks[[#This Row],[Task Name]]="","",IF(Tasks[[#This Row],[_IsSummary]],SUM(INDEX(Tasks[_LeafPV],Tasks[[#This Row],[_Row]]+1):INDEX(Tasks[_LeafPV],Tasks[[#This Row],[_Row]]+Tasks[[#This Row],[_Descendants]])),Tasks[[#This Row],[_LeafPV]]))</f>
        <v/>
      </c>
      <c r="BS179" s="111" t="str">
        <f aca="false">IF(Tasks[[#This Row],[Task Name]]="","",IF(Tasks[[#This Row],[_IsSummary]],SUM(INDEX(Tasks[_LeafAC],Tasks[[#This Row],[_Row]]+1):INDEX(Tasks[_LeafAC],Tasks[[#This Row],[_Row]]+Tasks[[#This Row],[_Descendants]])),Tasks[[#This Row],[_LeafAC]]))</f>
        <v/>
      </c>
      <c r="BT179" s="38" t="str">
        <f aca="false">IF(Tasks[[#This Row],[Task Name]]="","",MAX(1,N(Tasks[[#This Row],[Level]])))</f>
        <v/>
      </c>
      <c r="BU179" s="38" t="n">
        <f aca="false">ROW()-ROW(Tasks[[#Headers],[ID]])</f>
        <v>174</v>
      </c>
      <c r="BV179" s="38" t="n">
        <f aca="false">IF(OR(Tasks[[#This Row],[Task Name]]="",Tasks[[#This Row],[_Level]]&lt;=1),0,IFERROR(LOOKUP(2,1/(Tasks[[#Headers],[_Level]]:Tasks[[#This Row],[_Level]]=Tasks[[#This Row],[_Level]]-1),ROW(Tasks[[#Headers],[_Level]]:Tasks[[#This Row],[_Level]])),0))</f>
        <v>0</v>
      </c>
      <c r="BW179" s="38" t="n">
        <f aca="false">IFERROR(N(INDEX(Tasks[_Level],Tasks[[#This Row],[_Row]]+1)),0)</f>
        <v>0</v>
      </c>
      <c r="BX179" s="114" t="b">
        <f aca="false">AND(Tasks[[#This Row],[Task Name]]&lt;&gt;"",Tasks[[#This Row],[_NextLevel]]&gt;Tasks[[#This Row],[_Level]])</f>
        <v>0</v>
      </c>
      <c r="BY179" s="38" t="n">
        <f aca="false">IF(Tasks[[#This Row],[_IsSummary]],COUNTIF(Tasks[WBS],Tasks[[#This Row],[WBS]]&amp;".*"),0)</f>
        <v>0</v>
      </c>
      <c r="BZ179" s="38" t="n">
        <f aca="false">IF(AND(Tasks[[#This Row],[Task Name]]&lt;&gt;"",NOT(Tasks[[#This Row],[_IsSummary]])),1,0)</f>
        <v>0</v>
      </c>
      <c r="CA179" s="38" t="n">
        <f aca="false">IF(N(Tasks[[#This Row],[Pred1 UID]])=0,0,IFERROR(MATCH(Tasks[[#This Row],[Pred1 UID]],Tasks[UID],0),-1))</f>
        <v>0</v>
      </c>
      <c r="CB179" s="38" t="n">
        <f aca="false">IF(N(Tasks[[#This Row],[Pred2 UID]])=0,0,IFERROR(MATCH(Tasks[[#This Row],[Pred2 UID]],Tasks[UID],0),-1))</f>
        <v>0</v>
      </c>
      <c r="CC179" s="38" t="n">
        <f aca="false">IF(N(Tasks[[#This Row],[Pred3 UID]])=0,0,IFERROR(MATCH(Tasks[[#This Row],[Pred3 UID]],Tasks[UID],0),-1))</f>
        <v>0</v>
      </c>
      <c r="CD179" s="38" t="n">
        <f aca="false">IF(N(Tasks[[#This Row],[Pred4 UID]])=0,0,IFERROR(MATCH(Tasks[[#This Row],[Pred4 UID]],Tasks[UID],0),-1))</f>
        <v>0</v>
      </c>
      <c r="CE17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9" s="115" t="n">
        <f aca="false">IF(OR(Tasks[[#This Row],[_ConstraintCode]]=2,Tasks[[#This Row],[_ConstraintCode]]=3,Tasks[[#This Row],[_ConstraintCode]]=4,Tasks[[#This Row],[_ConstraintCode]]=6),Tasks[[#This Row],[_ConstraintStart]],0)</f>
        <v>0</v>
      </c>
      <c r="CH179" s="115" t="n">
        <f aca="false">IF(OR(Tasks[[#This Row],[_ConstraintCode]]=2,Tasks[[#This Row],[_ConstraintCode]]=3,Tasks[[#This Row],[_ConstraintCode]]=5,Tasks[[#This Row],[_ConstraintCode]]=7),Tasks[[#This Row],[_ConstraintStart]],2958465)</f>
        <v>2958465</v>
      </c>
      <c r="CI17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9" s="115" t="str">
        <f aca="false">IF(NOT(Tasks[[#This Row],[_IsLeaf]]=1),"",IF(N(Tasks[[#This Row],[Duration]])&lt;=0,Tasks[[#This Row],[_LeafCalcStart]],WORKDAY.INTL(Tasks[[#This Row],[_LeafCalcStart]],Tasks[[#This Row],[Duration]]-1,WorkWeek,Holidays)))</f>
        <v/>
      </c>
      <c r="CK17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9" s="38" t="n">
        <f aca="false">IF(NOT(Tasks[[#This Row],[_IsLeaf]]=1),0,IF(N(Tasks[[#This Row],[Actual Finish]])&gt;0,1,MIN(1,N(Tasks[[#This Row],[% Complete]]))))</f>
        <v>0</v>
      </c>
      <c r="CN179" s="38" t="n">
        <f aca="false">IF(OR(NOT(Tasks[[#This Row],[_IsLeaf]]=1),Tasks[[#This Row],[Resource]]=""),0,N(Tasks[[#This Row],[Duration]])*HoursPerDay*IF(Tasks[[#This Row],[Units]]="",DefaultUnits,Tasks[[#This Row],[Units]]))</f>
        <v>0</v>
      </c>
      <c r="CO179" s="38" t="n">
        <f aca="false">IF(Tasks[[#This Row],[_LeafWork]]=0,0,Tasks[[#This Row],[_LeafWork]]*IFERROR(INDEX(res_Rate,MATCH(Tasks[[#This Row],[Resource]],res_Name,0)),0))</f>
        <v>0</v>
      </c>
      <c r="CP179" s="38" t="n">
        <f aca="false">Tasks[[#This Row],[_LeafWork]]+IF(Tasks[[#This Row],[_IsLeaf]]=1,SUMIFS(asg_Work,asg_TaskUID,Tasks[[#This Row],[UID]],asg_Valid,1),0)</f>
        <v>0</v>
      </c>
      <c r="CQ179" s="38" t="n">
        <f aca="false">Tasks[[#This Row],[_LeafCost]]+IF(Tasks[[#This Row],[_IsLeaf]]=1,SUMIFS(asg_Cost,asg_TaskUID,Tasks[[#This Row],[UID]],asg_Valid,1),0)</f>
        <v>0</v>
      </c>
      <c r="CR179" s="38" t="n">
        <f aca="false">IF(Tasks[[#This Row],[_LeafTotalCost]]=0,Tasks[[#This Row],[_LeafAC]],Tasks[[#This Row],[_LeafAC]]*Tasks[[#This Row],[_LeafCost]]/Tasks[[#This Row],[_LeafTotalCost]])</f>
        <v>0</v>
      </c>
      <c r="CS17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9" s="38" t="n">
        <f aca="false">IF(NOT(Tasks[[#This Row],[_IsLeaf]]=1),0,MAX(_xlfn.MAXIFS(Tasks[_Row],Tasks[Pred1 UID],Tasks[[#This Row],[UID]]),_xlfn.MAXIFS(Tasks[_Row],Tasks[Pred2 UID],Tasks[[#This Row],[UID]]),_xlfn.MAXIFS(Tasks[_Row],Tasks[Pred3 UID],Tasks[[#This Row],[UID]]),_xlfn.MAXIFS(Tasks[_Row],Tasks[Pred4 UID],Tasks[[#This Row],[UID]])))</f>
        <v>0</v>
      </c>
      <c r="DB17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9" s="115" t="str">
        <f aca="false">IF(NOT(Tasks[[#This Row],[_IsLeaf]]=1),"",IF(N(Tasks[[#This Row],[Duration]])&lt;=0,Tasks[[#This Row],[_LeafLateFinish]],WORKDAY.INTL(Tasks[[#This Row],[_LeafLateFinish]],-(Tasks[[#This Row],[Duration]]-1),WorkWeek,Holidays)))</f>
        <v/>
      </c>
      <c r="DE17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9" s="114" t="b">
        <f aca="false">AND(Tasks[[#This Row],[_IsLeaf]]=1,Tasks[[#This Row],[_LeafProgress]]&lt;1,N(Tasks[[#This Row],[_LeafTotalSlack]])&lt;=CriticalSlackDays)</f>
        <v>0</v>
      </c>
      <c r="DG179" s="38" t="n">
        <f aca="false">IF(AND(Tasks[[#This Row],[_IsLeaf]]=1,Tasks[[#This Row],[_ConstraintCode]]=1,Tasks[[#This Row],[Mode]]&lt;&gt;"Manual",N(Tasks[[#This Row],[Actual Start]])=0),MAX(0,N(Tasks[[#This Row],[Free Slack]])),0)</f>
        <v>0</v>
      </c>
      <c r="DH179" s="115" t="str">
        <f aca="false">IF(NOT(Tasks[[#This Row],[_IsLeaf]]=1),"",IF(Tasks[[#This Row],[_AlapShift]]=0,Tasks[[#This Row],[_LeafCalcStart]],WORKDAY.INTL(Tasks[[#This Row],[_LeafCalcStart]],Tasks[[#This Row],[_AlapShift]],WorkWeek,Holidays)))</f>
        <v/>
      </c>
      <c r="DI179" s="115" t="str">
        <f aca="false">IF(NOT(Tasks[[#This Row],[_IsLeaf]]=1),"",IF(Tasks[[#This Row],[_AlapShift]]=0,Tasks[[#This Row],[_LeafCalcFinish]],WORKDAY.INTL(Tasks[[#This Row],[_LeafCalcFinish]],Tasks[[#This Row],[_AlapShift]],WorkWeek,Holidays)))</f>
        <v/>
      </c>
      <c r="DJ179" s="115" t="str">
        <f aca="false">IF(NOT(Tasks[[#This Row],[_IsLeaf]]=1),"",IF(Tasks[[#This Row],[_AlapShift]]=0,Tasks[[#This Row],[_LeafFcstStart]],WORKDAY.INTL(Tasks[[#This Row],[_LeafFcstStart]],Tasks[[#This Row],[_AlapShift]],WorkWeek,Holidays)))</f>
        <v/>
      </c>
      <c r="DK179" s="115" t="str">
        <f aca="false">IF(NOT(Tasks[[#This Row],[_IsLeaf]]=1),"",IF(Tasks[[#This Row],[_AlapShift]]=0,Tasks[[#This Row],[_LeafFcstFinish]],WORKDAY.INTL(Tasks[[#This Row],[_LeafFcstFinish]],Tasks[[#This Row],[_AlapShift]],WorkWeek,Holidays)))</f>
        <v/>
      </c>
      <c r="DL179" s="115" t="str">
        <f aca="false">IF(Tasks[[#This Row],[Task Name]]="","",IF(Tasks[[#This Row],[_IsSummary]],MIN(INDEX(Tasks[_ShownCalcStart],Tasks[[#This Row],[_Row]]+1):INDEX(Tasks[_ShownCalcStart],Tasks[[#This Row],[_Row]]+Tasks[[#This Row],[_Descendants]])),Tasks[[#This Row],[_ShownCalcStart]]))</f>
        <v/>
      </c>
      <c r="DM179" s="115" t="str">
        <f aca="false">IF(Tasks[[#This Row],[Task Name]]="","",IF(Tasks[[#This Row],[_IsSummary]],MAX(INDEX(Tasks[_ShownCalcFinish],Tasks[[#This Row],[_Row]]+1):INDEX(Tasks[_ShownCalcFinish],Tasks[[#This Row],[_Row]]+Tasks[[#This Row],[_Descendants]])),Tasks[[#This Row],[_ShownCalcFinish]]))</f>
        <v/>
      </c>
      <c r="DN17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9" s="38" t="n">
        <f aca="false">IF(AND(Tasks[[#This Row],[_IsLeaf]]=1,Tasks[[#This Row],[_LeafTotalWork]]&gt;0),NETWORKDAYS.INTL(ProjectStart,Tasks[[#This Row],[_ShownFcstStart]],WorkWeek,Holidays),0)</f>
        <v>0</v>
      </c>
      <c r="EA179" s="38" t="n">
        <f aca="false">IF(AND(Tasks[[#This Row],[_IsLeaf]]=1,Tasks[[#This Row],[_LeafTotalWork]]&gt;0),MAX(Tasks[[#This Row],[_StartWorkday]],NETWORKDAYS.INTL(ProjectStart,Tasks[[#This Row],[_ShownFcstFinish]],WorkWeek,Holidays)),0)</f>
        <v>0</v>
      </c>
      <c r="EB179" s="38" t="n">
        <f aca="false">IF(AND(Tasks[[#This Row],[_IsLeaf]]=1,Tasks[[#This Row],[_LeafTotalWork]]&gt;0),Tasks[[#This Row],[_LeafWork]]/(Tasks[[#This Row],[_FinishWorkday]]-Tasks[[#This Row],[_StartWorkday]]+1),0)</f>
        <v>0</v>
      </c>
      <c r="EC179" s="38" t="n">
        <f aca="false">Tasks[[#This Row],[_WorkPerWorkday]]*(Tasks[[#This Row],[_StartWorkday]]-1)</f>
        <v>-0</v>
      </c>
      <c r="ED179" s="38" t="n">
        <f aca="false">IF(Tasks[[#This Row],[_IsLeaf]]=1,MAX(N(Tasks[[#This Row],[Duration]]),0.1),0)</f>
        <v>0</v>
      </c>
      <c r="EE179" s="38" t="n">
        <f aca="false">Tasks[[#This Row],[_WeightDur]]*Tasks[[#This Row],[_LeafProgress]]</f>
        <v>0</v>
      </c>
      <c r="EF17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9" s="38" t="str">
        <f aca="false">IF(AND(Tasks[[#This Row],[_IsLeaf]]=1,N(Tasks[[#This Row],[Duration]])=0,Tasks[[#This Row],[_LeafProgress]]&lt;1),Tasks[[#This Row],[_ShownFcstFinish]]+Tasks[[#This Row],[_Row]]/100000,"")</f>
        <v/>
      </c>
      <c r="EH17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9" s="38" t="n">
        <f aca="false">IF(NOT(Tasks[[#This Row],[_IsLeaf]]=1),0,IF(Tasks[[#This Row],[Baseline Cost]]="",Tasks[[#This Row],[_LeafTotalCost]],N(Tasks[[#This Row],[Baseline Cost]])))</f>
        <v>0</v>
      </c>
      <c r="EJ179" s="38" t="n">
        <f aca="false">Tasks[[#This Row],[_LeafBudget]]*Tasks[[#This Row],[_PlannedPct]]</f>
        <v>0</v>
      </c>
      <c r="EK179" s="38" t="n">
        <f aca="false">Tasks[[#This Row],[_LeafBudget]]*Tasks[[#This Row],[_LeafProgress]]</f>
        <v>0</v>
      </c>
      <c r="EL179" s="38" t="n">
        <f aca="false">IF(NOT(Tasks[[#This Row],[_IsLeaf]]=1),0,IF(Tasks[[#This Row],[Actual Cost]]="",Tasks[[#This Row],[_LeafTotalCost]]*Tasks[[#This Row],[_LeafProgress]],N(Tasks[[#This Row],[Actual Cost]])))</f>
        <v>0</v>
      </c>
      <c r="EM179" s="38" t="str">
        <f aca="false">IF(Tasks[[#This Row],[Task Name]]="","",LEFT(Tasks[[#This Row],[WBS]],FIND(".",Tasks[[#This Row],[WBS]]&amp;".")-1))</f>
        <v/>
      </c>
      <c r="EN179" s="38" t="str">
        <f aca="false">IF(AND(Tasks[[#This Row],[Task Name]]&lt;&gt;"",Tasks[[#This Row],[_Level]]=1),Tasks[[#This Row],[_Row]],"")</f>
        <v/>
      </c>
      <c r="EO179" s="38" t="str">
        <f aca="false">IF(AND(Tasks[[#This Row],[_IsLeaf]]=1,N(Tasks[[#This Row],[Duration]])=0),Tasks[[#This Row],[Planned Finish]]+Tasks[[#This Row],[_Row]]/100000,"")</f>
        <v/>
      </c>
      <c r="EP179" s="38" t="str">
        <f aca="false">IF(AND(Tasks[[#This Row],[_IsLeaf]]=1,Tasks[[#This Row],[_LeafProgress]]&lt;1,OR(N(Tasks[[#This Row],[Finish Var]])&gt;0,Tasks[[#This Row],[Status]]="Late Start")),MAX(0,Tasks[[#This Row],[Finish Var]])+1-Tasks[[#This Row],[_Row]]/1000000,"")</f>
        <v/>
      </c>
      <c r="EQ179" s="38" t="str">
        <f aca="false">IF(AND(Tasks[[#This Row],[_IsLeaf]]=1,N(Tasks[[#This Row],[Actual Start]])=0,Tasks[[#This Row],[_ShownFcstStart]]&gt;=StatusDate,Tasks[[#This Row],[_ShownFcstStart]]&lt;=LookaheadEnd),Tasks[[#This Row],[_ShownFcstStart]]+Tasks[[#This Row],[_Row]]/100000,"")</f>
        <v/>
      </c>
      <c r="ER179" s="38" t="str">
        <f aca="false">IF(AND(Tasks[[#This Row],[_IsLeaf]]=1,Tasks[[#This Row],[_LeafProgress]]&lt;1,Tasks[[#This Row],[_ShownFcstFinish]]&gt;=StatusDate,Tasks[[#This Row],[_ShownFcstFinish]]&lt;=LookaheadEnd),Tasks[[#This Row],[_ShownFcstFinish]]+Tasks[[#This Row],[_Row]]/100000,"")</f>
        <v/>
      </c>
      <c r="ES179" s="38" t="str">
        <f aca="false">IF(Tasks[[#This Row],[_LeafCritical]],Tasks[[#This Row],[_ShownFcstStart]]+Tasks[[#This Row],[_Row]]/100000,"")</f>
        <v/>
      </c>
      <c r="ET179" s="38" t="n">
        <f aca="false">Tasks[[#This Row],[_LeafWork]]*Tasks[[#This Row],[_LeafProgress]]</f>
        <v>0</v>
      </c>
      <c r="EU179" s="115" t="str">
        <f aca="false">IF(AND(Tasks[[#This Row],[_IsLeaf]]=1,Tasks[[#This Row],[_LeafProgress]]&gt;=1),IF(N(Tasks[[#This Row],[Actual Finish]])&gt;0,Tasks[[#This Row],[Actual Finish]],Tasks[[#This Row],[_ShownFcstFinish]]),"")</f>
        <v/>
      </c>
      <c r="EV179" s="38" t="n">
        <f aca="false">IF(Tasks[[#This Row],[_IsLeaf]]=1,N(Tasks[[#This Row],[Story Points]]),0)</f>
        <v>0</v>
      </c>
      <c r="EW179" s="38" t="str">
        <f aca="false">IF(AND(Tasks[[#This Row],[_IsLeaf]]=1,CurrentSprint&lt;&gt;"",Tasks[[#This Row],[Sprint]]=CurrentSprint),Tasks[[#This Row],[_Row]],"")</f>
        <v/>
      </c>
    </row>
    <row r="180" customFormat="false" ht="15" hidden="false" customHeight="false" outlineLevel="0" collapsed="false">
      <c r="A180" s="51" t="str">
        <f aca="false">IF(Tasks[[#This Row],[Task Name]]="","",COUNTA(Tasks[[#Headers],[Task Name]]:Tasks[[#This Row],[Task Name]])-1)</f>
        <v/>
      </c>
      <c r="B180" s="52" t="n">
        <v>175</v>
      </c>
      <c r="C18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52"/>
      <c r="E180" s="53"/>
      <c r="F180" s="52"/>
      <c r="G180" s="52"/>
      <c r="H180" s="52"/>
      <c r="I180" s="52"/>
      <c r="J180" s="52"/>
      <c r="K180" s="52"/>
      <c r="L180" s="52"/>
      <c r="M180" s="52"/>
      <c r="N180" s="52"/>
      <c r="O180" s="52"/>
      <c r="P180" s="52"/>
      <c r="Q180" s="52"/>
      <c r="R180" s="52"/>
      <c r="S180" s="53"/>
      <c r="T180" s="102"/>
      <c r="U180" s="102"/>
      <c r="V180" s="7"/>
      <c r="W180" s="7"/>
      <c r="X180" s="53"/>
      <c r="Y180" s="31" t="str">
        <f aca="false">IF(Tasks[[#This Row],[Task Name]]="","",IF(Tasks[[#This Row],[_IsSummary]],MIN(INDEX(Tasks[_ShownFcstStart],Tasks[[#This Row],[_Row]]+1):INDEX(Tasks[_ShownFcstStart],Tasks[[#This Row],[_Row]]+Tasks[[#This Row],[_Descendants]])),Tasks[[#This Row],[_ShownFcstStart]]))</f>
        <v/>
      </c>
      <c r="Z180" s="31" t="str">
        <f aca="false">IF(Tasks[[#This Row],[Task Name]]="","",IF(Tasks[[#This Row],[_IsSummary]],MAX(INDEX(Tasks[_ShownFcstFinish],Tasks[[#This Row],[_Row]]+1):INDEX(Tasks[_ShownFcstFinish],Tasks[[#This Row],[_Row]]+Tasks[[#This Row],[_Descendants]])),Tasks[[#This Row],[_ShownFcstFinish]]))</f>
        <v/>
      </c>
      <c r="AA180" s="51" t="str">
        <f aca="false">IF(Tasks[[#This Row],[Task Name]]="","",IF(Tasks[[#This Row],[Progress]]&gt;=1,"Complete",IF(OR(N(Tasks[[#This Row],[Actual Start]])&gt;0,Tasks[[#This Row],[Progress]]&gt;0),IF(Tasks[[#This Row],[Finish Var]]&gt;0,"Behind","In Progress"),IF(Tasks[[#This Row],[Planned Start]]&lt;StatusDate,"Late Start","Not Started"))))</f>
        <v/>
      </c>
      <c r="AB180" s="51" t="str">
        <f aca="false">IF(Tasks[[#This Row],[Task Name]]="","",IF(IF(Tasks[[#This Row],[_IsSummary]],COUNTIF(INDEX(Tasks[_LeafCritical],Tasks[[#This Row],[_Row]]+1):INDEX(Tasks[_LeafCritical],Tasks[[#This Row],[_Row]]+Tasks[[#This Row],[_Descendants]]),TRUE())&gt;0,Tasks[[#This Row],[_LeafCritical]]),"Yes",""))</f>
        <v/>
      </c>
      <c r="AC18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0" s="51" t="str">
        <f aca="false">IF(Tasks[[#This Row],[Task Name]]="","",IF(Tasks[[#This Row],[_Level]]&lt;=OutlineShowLevel,"Yes","No"))</f>
        <v/>
      </c>
      <c r="AE180" s="7"/>
      <c r="AF180" s="52"/>
      <c r="AG180" s="53"/>
      <c r="AH180" s="7"/>
      <c r="AI18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0" s="31" t="str">
        <f aca="false">IF(Tasks[[#This Row],[Task Name]]="","",IF(N(Tasks[[#This Row],[Baseline Start]])&gt;0,Tasks[[#This Row],[Baseline Start]],Tasks[[#This Row],[_CalcStart]]))</f>
        <v/>
      </c>
      <c r="AK180" s="31" t="str">
        <f aca="false">IF(Tasks[[#This Row],[Task Name]]="","",IF(N(Tasks[[#This Row],[Baseline Finish]])&gt;0,Tasks[[#This Row],[Baseline Finish]],Tasks[[#This Row],[_CalcFinish]]))</f>
        <v/>
      </c>
      <c r="AL18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0" s="31" t="str">
        <f aca="false">IF(Tasks[[#This Row],[Task Name]]="","",IF(Tasks[[#This Row],[_IsSummary]],MIN(INDEX(Tasks[_LeafLateStart],Tasks[[#This Row],[_Row]]+1):INDEX(Tasks[_LeafLateStart],Tasks[[#This Row],[_Row]]+Tasks[[#This Row],[_Descendants]])),Tasks[[#This Row],[_LeafLateStart]]))</f>
        <v/>
      </c>
      <c r="AN180" s="31" t="str">
        <f aca="false">IF(Tasks[[#This Row],[Task Name]]="","",IF(Tasks[[#This Row],[_IsSummary]],MAX(INDEX(Tasks[_LeafLateFinish],Tasks[[#This Row],[_Row]]+1):INDEX(Tasks[_LeafLateFinish],Tasks[[#This Row],[_Row]]+Tasks[[#This Row],[_Descendants]])),Tasks[[#This Row],[_LeafLateFinish]]))</f>
        <v/>
      </c>
      <c r="AO180" s="51" t="str">
        <f aca="false">IF(Tasks[[#This Row],[Task Name]]="","",IF(Tasks[[#This Row],[_IsSummary]],MIN(INDEX(Tasks[_LeafTotalSlack],Tasks[[#This Row],[_Row]]+1):INDEX(Tasks[_LeafTotalSlack],Tasks[[#This Row],[_Row]]+Tasks[[#This Row],[_Descendants]])),Tasks[[#This Row],[_LeafTotalSlack]]))</f>
        <v/>
      </c>
      <c r="AP18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0" s="110" t="str">
        <f aca="false">IF(Tasks[[#This Row],[Task Name]]="","",IF(Tasks[[#This Row],[_IsSummary]],SUM(INDEX(Tasks[_LeafTotalWork],Tasks[[#This Row],[_Row]]+1):INDEX(Tasks[_LeafTotalWork],Tasks[[#This Row],[_Row]]+Tasks[[#This Row],[_Descendants]])),Tasks[[#This Row],[_LeafTotalWork]]))</f>
        <v/>
      </c>
      <c r="AV18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0" s="111" t="str">
        <f aca="false">IF(Tasks[[#This Row],[Task Name]]="","",IF(Tasks[[#This Row],[_IsSummary]],SUM(INDEX(Tasks[_LeafTotalCost],Tasks[[#This Row],[_Row]]+1):INDEX(Tasks[_LeafTotalCost],Tasks[[#This Row],[_Row]]+Tasks[[#This Row],[_Descendants]])),Tasks[[#This Row],[_LeafTotalCost]]))</f>
        <v/>
      </c>
      <c r="AY180" s="112"/>
      <c r="AZ18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0" s="52"/>
      <c r="BB180" s="98"/>
      <c r="BC180" s="51" t="str">
        <f aca="false">IF(OR(Tasks[[#This Row],[Task Name]]="",Tasks[[#This Row],[Baseline Duration]]=""),"",Tasks[[#This Row],[BL Source Duration]]-N(Tasks[[#This Row],[Baseline Duration]]))</f>
        <v/>
      </c>
      <c r="BD180" s="110" t="str">
        <f aca="false">IF(OR(Tasks[[#This Row],[Task Name]]="",Tasks[[#This Row],[Baseline Work]]=""),"",Tasks[[#This Row],[Work]]-N(Tasks[[#This Row],[Baseline Work]]))</f>
        <v/>
      </c>
      <c r="BE180" s="111" t="str">
        <f aca="false">IF(OR(Tasks[[#This Row],[Task Name]]="",Tasks[[#This Row],[Baseline Cost]]=""),"",Tasks[[#This Row],[Cost]]-N(Tasks[[#This Row],[Baseline Cost]]))</f>
        <v/>
      </c>
      <c r="BF180" s="31" t="str">
        <f aca="false">IF(Tasks[[#This Row],[Task Name]]="","",Tasks[[#This Row],[Forecast Start]])</f>
        <v/>
      </c>
      <c r="BG180" s="31" t="str">
        <f aca="false">IF(Tasks[[#This Row],[Task Name]]="","",Tasks[[#This Row],[Forecast Finish]])</f>
        <v/>
      </c>
      <c r="BH180" s="51" t="str">
        <f aca="false">IF(Tasks[[#This Row],[Task Name]]="","",IF(Tasks[[#This Row],[_IsSummary]],NETWORKDAYS.INTL(Tasks[[#This Row],[Forecast Start]],Tasks[[#This Row],[Forecast Finish]],WorkWeek,Holidays),N(Tasks[[#This Row],[Duration]])))</f>
        <v/>
      </c>
      <c r="BI180" s="110" t="str">
        <f aca="false">IF(Tasks[[#This Row],[Task Name]]="","",Tasks[[#This Row],[Work]])</f>
        <v/>
      </c>
      <c r="BJ180" s="111" t="str">
        <f aca="false">IF(Tasks[[#This Row],[Task Name]]="","",Tasks[[#This Row],[Cost]])</f>
        <v/>
      </c>
      <c r="BK180" s="7"/>
      <c r="BL180" s="7"/>
      <c r="BM180" s="52"/>
      <c r="BN180" s="113"/>
      <c r="BO180" s="112"/>
      <c r="BP180" s="111" t="str">
        <f aca="false">IF(Tasks[[#This Row],[Task Name]]="","",IF(Tasks[[#This Row],[_IsSummary]],SUM(INDEX(Tasks[_LeafEV],Tasks[[#This Row],[_Row]]+1):INDEX(Tasks[_LeafEV],Tasks[[#This Row],[_Row]]+Tasks[[#This Row],[_Descendants]])),Tasks[[#This Row],[_LeafEV]]))</f>
        <v/>
      </c>
      <c r="BQ180" s="111" t="str">
        <f aca="false">IF(Tasks[[#This Row],[Task Name]]="","",IF(Tasks[[#This Row],[_IsSummary]],SUM(INDEX(Tasks[_LeafBudget],Tasks[[#This Row],[_Row]]+1):INDEX(Tasks[_LeafBudget],Tasks[[#This Row],[_Row]]+Tasks[[#This Row],[_Descendants]])),Tasks[[#This Row],[_LeafBudget]]))</f>
        <v/>
      </c>
      <c r="BR180" s="111" t="str">
        <f aca="false">IF(Tasks[[#This Row],[Task Name]]="","",IF(Tasks[[#This Row],[_IsSummary]],SUM(INDEX(Tasks[_LeafPV],Tasks[[#This Row],[_Row]]+1):INDEX(Tasks[_LeafPV],Tasks[[#This Row],[_Row]]+Tasks[[#This Row],[_Descendants]])),Tasks[[#This Row],[_LeafPV]]))</f>
        <v/>
      </c>
      <c r="BS180" s="111" t="str">
        <f aca="false">IF(Tasks[[#This Row],[Task Name]]="","",IF(Tasks[[#This Row],[_IsSummary]],SUM(INDEX(Tasks[_LeafAC],Tasks[[#This Row],[_Row]]+1):INDEX(Tasks[_LeafAC],Tasks[[#This Row],[_Row]]+Tasks[[#This Row],[_Descendants]])),Tasks[[#This Row],[_LeafAC]]))</f>
        <v/>
      </c>
      <c r="BT180" s="38" t="str">
        <f aca="false">IF(Tasks[[#This Row],[Task Name]]="","",MAX(1,N(Tasks[[#This Row],[Level]])))</f>
        <v/>
      </c>
      <c r="BU180" s="38" t="n">
        <f aca="false">ROW()-ROW(Tasks[[#Headers],[ID]])</f>
        <v>175</v>
      </c>
      <c r="BV180" s="38" t="n">
        <f aca="false">IF(OR(Tasks[[#This Row],[Task Name]]="",Tasks[[#This Row],[_Level]]&lt;=1),0,IFERROR(LOOKUP(2,1/(Tasks[[#Headers],[_Level]]:Tasks[[#This Row],[_Level]]=Tasks[[#This Row],[_Level]]-1),ROW(Tasks[[#Headers],[_Level]]:Tasks[[#This Row],[_Level]])),0))</f>
        <v>0</v>
      </c>
      <c r="BW180" s="38" t="n">
        <f aca="false">IFERROR(N(INDEX(Tasks[_Level],Tasks[[#This Row],[_Row]]+1)),0)</f>
        <v>0</v>
      </c>
      <c r="BX180" s="114" t="b">
        <f aca="false">AND(Tasks[[#This Row],[Task Name]]&lt;&gt;"",Tasks[[#This Row],[_NextLevel]]&gt;Tasks[[#This Row],[_Level]])</f>
        <v>0</v>
      </c>
      <c r="BY180" s="38" t="n">
        <f aca="false">IF(Tasks[[#This Row],[_IsSummary]],COUNTIF(Tasks[WBS],Tasks[[#This Row],[WBS]]&amp;".*"),0)</f>
        <v>0</v>
      </c>
      <c r="BZ180" s="38" t="n">
        <f aca="false">IF(AND(Tasks[[#This Row],[Task Name]]&lt;&gt;"",NOT(Tasks[[#This Row],[_IsSummary]])),1,0)</f>
        <v>0</v>
      </c>
      <c r="CA180" s="38" t="n">
        <f aca="false">IF(N(Tasks[[#This Row],[Pred1 UID]])=0,0,IFERROR(MATCH(Tasks[[#This Row],[Pred1 UID]],Tasks[UID],0),-1))</f>
        <v>0</v>
      </c>
      <c r="CB180" s="38" t="n">
        <f aca="false">IF(N(Tasks[[#This Row],[Pred2 UID]])=0,0,IFERROR(MATCH(Tasks[[#This Row],[Pred2 UID]],Tasks[UID],0),-1))</f>
        <v>0</v>
      </c>
      <c r="CC180" s="38" t="n">
        <f aca="false">IF(N(Tasks[[#This Row],[Pred3 UID]])=0,0,IFERROR(MATCH(Tasks[[#This Row],[Pred3 UID]],Tasks[UID],0),-1))</f>
        <v>0</v>
      </c>
      <c r="CD180" s="38" t="n">
        <f aca="false">IF(N(Tasks[[#This Row],[Pred4 UID]])=0,0,IFERROR(MATCH(Tasks[[#This Row],[Pred4 UID]],Tasks[UID],0),-1))</f>
        <v>0</v>
      </c>
      <c r="CE18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0" s="115" t="n">
        <f aca="false">IF(OR(Tasks[[#This Row],[_ConstraintCode]]=2,Tasks[[#This Row],[_ConstraintCode]]=3,Tasks[[#This Row],[_ConstraintCode]]=4,Tasks[[#This Row],[_ConstraintCode]]=6),Tasks[[#This Row],[_ConstraintStart]],0)</f>
        <v>0</v>
      </c>
      <c r="CH180" s="115" t="n">
        <f aca="false">IF(OR(Tasks[[#This Row],[_ConstraintCode]]=2,Tasks[[#This Row],[_ConstraintCode]]=3,Tasks[[#This Row],[_ConstraintCode]]=5,Tasks[[#This Row],[_ConstraintCode]]=7),Tasks[[#This Row],[_ConstraintStart]],2958465)</f>
        <v>2958465</v>
      </c>
      <c r="CI18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0" s="115" t="str">
        <f aca="false">IF(NOT(Tasks[[#This Row],[_IsLeaf]]=1),"",IF(N(Tasks[[#This Row],[Duration]])&lt;=0,Tasks[[#This Row],[_LeafCalcStart]],WORKDAY.INTL(Tasks[[#This Row],[_LeafCalcStart]],Tasks[[#This Row],[Duration]]-1,WorkWeek,Holidays)))</f>
        <v/>
      </c>
      <c r="CK18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0" s="38" t="n">
        <f aca="false">IF(NOT(Tasks[[#This Row],[_IsLeaf]]=1),0,IF(N(Tasks[[#This Row],[Actual Finish]])&gt;0,1,MIN(1,N(Tasks[[#This Row],[% Complete]]))))</f>
        <v>0</v>
      </c>
      <c r="CN180" s="38" t="n">
        <f aca="false">IF(OR(NOT(Tasks[[#This Row],[_IsLeaf]]=1),Tasks[[#This Row],[Resource]]=""),0,N(Tasks[[#This Row],[Duration]])*HoursPerDay*IF(Tasks[[#This Row],[Units]]="",DefaultUnits,Tasks[[#This Row],[Units]]))</f>
        <v>0</v>
      </c>
      <c r="CO180" s="38" t="n">
        <f aca="false">IF(Tasks[[#This Row],[_LeafWork]]=0,0,Tasks[[#This Row],[_LeafWork]]*IFERROR(INDEX(res_Rate,MATCH(Tasks[[#This Row],[Resource]],res_Name,0)),0))</f>
        <v>0</v>
      </c>
      <c r="CP180" s="38" t="n">
        <f aca="false">Tasks[[#This Row],[_LeafWork]]+IF(Tasks[[#This Row],[_IsLeaf]]=1,SUMIFS(asg_Work,asg_TaskUID,Tasks[[#This Row],[UID]],asg_Valid,1),0)</f>
        <v>0</v>
      </c>
      <c r="CQ180" s="38" t="n">
        <f aca="false">Tasks[[#This Row],[_LeafCost]]+IF(Tasks[[#This Row],[_IsLeaf]]=1,SUMIFS(asg_Cost,asg_TaskUID,Tasks[[#This Row],[UID]],asg_Valid,1),0)</f>
        <v>0</v>
      </c>
      <c r="CR180" s="38" t="n">
        <f aca="false">IF(Tasks[[#This Row],[_LeafTotalCost]]=0,Tasks[[#This Row],[_LeafAC]],Tasks[[#This Row],[_LeafAC]]*Tasks[[#This Row],[_LeafCost]]/Tasks[[#This Row],[_LeafTotalCost]])</f>
        <v>0</v>
      </c>
      <c r="CS18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0" s="38" t="n">
        <f aca="false">IF(NOT(Tasks[[#This Row],[_IsLeaf]]=1),0,MAX(_xlfn.MAXIFS(Tasks[_Row],Tasks[Pred1 UID],Tasks[[#This Row],[UID]]),_xlfn.MAXIFS(Tasks[_Row],Tasks[Pred2 UID],Tasks[[#This Row],[UID]]),_xlfn.MAXIFS(Tasks[_Row],Tasks[Pred3 UID],Tasks[[#This Row],[UID]]),_xlfn.MAXIFS(Tasks[_Row],Tasks[Pred4 UID],Tasks[[#This Row],[UID]])))</f>
        <v>0</v>
      </c>
      <c r="DB18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0" s="115" t="str">
        <f aca="false">IF(NOT(Tasks[[#This Row],[_IsLeaf]]=1),"",IF(N(Tasks[[#This Row],[Duration]])&lt;=0,Tasks[[#This Row],[_LeafLateFinish]],WORKDAY.INTL(Tasks[[#This Row],[_LeafLateFinish]],-(Tasks[[#This Row],[Duration]]-1),WorkWeek,Holidays)))</f>
        <v/>
      </c>
      <c r="DE18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0" s="114" t="b">
        <f aca="false">AND(Tasks[[#This Row],[_IsLeaf]]=1,Tasks[[#This Row],[_LeafProgress]]&lt;1,N(Tasks[[#This Row],[_LeafTotalSlack]])&lt;=CriticalSlackDays)</f>
        <v>0</v>
      </c>
      <c r="DG180" s="38" t="n">
        <f aca="false">IF(AND(Tasks[[#This Row],[_IsLeaf]]=1,Tasks[[#This Row],[_ConstraintCode]]=1,Tasks[[#This Row],[Mode]]&lt;&gt;"Manual",N(Tasks[[#This Row],[Actual Start]])=0),MAX(0,N(Tasks[[#This Row],[Free Slack]])),0)</f>
        <v>0</v>
      </c>
      <c r="DH180" s="115" t="str">
        <f aca="false">IF(NOT(Tasks[[#This Row],[_IsLeaf]]=1),"",IF(Tasks[[#This Row],[_AlapShift]]=0,Tasks[[#This Row],[_LeafCalcStart]],WORKDAY.INTL(Tasks[[#This Row],[_LeafCalcStart]],Tasks[[#This Row],[_AlapShift]],WorkWeek,Holidays)))</f>
        <v/>
      </c>
      <c r="DI180" s="115" t="str">
        <f aca="false">IF(NOT(Tasks[[#This Row],[_IsLeaf]]=1),"",IF(Tasks[[#This Row],[_AlapShift]]=0,Tasks[[#This Row],[_LeafCalcFinish]],WORKDAY.INTL(Tasks[[#This Row],[_LeafCalcFinish]],Tasks[[#This Row],[_AlapShift]],WorkWeek,Holidays)))</f>
        <v/>
      </c>
      <c r="DJ180" s="115" t="str">
        <f aca="false">IF(NOT(Tasks[[#This Row],[_IsLeaf]]=1),"",IF(Tasks[[#This Row],[_AlapShift]]=0,Tasks[[#This Row],[_LeafFcstStart]],WORKDAY.INTL(Tasks[[#This Row],[_LeafFcstStart]],Tasks[[#This Row],[_AlapShift]],WorkWeek,Holidays)))</f>
        <v/>
      </c>
      <c r="DK180" s="115" t="str">
        <f aca="false">IF(NOT(Tasks[[#This Row],[_IsLeaf]]=1),"",IF(Tasks[[#This Row],[_AlapShift]]=0,Tasks[[#This Row],[_LeafFcstFinish]],WORKDAY.INTL(Tasks[[#This Row],[_LeafFcstFinish]],Tasks[[#This Row],[_AlapShift]],WorkWeek,Holidays)))</f>
        <v/>
      </c>
      <c r="DL180" s="115" t="str">
        <f aca="false">IF(Tasks[[#This Row],[Task Name]]="","",IF(Tasks[[#This Row],[_IsSummary]],MIN(INDEX(Tasks[_ShownCalcStart],Tasks[[#This Row],[_Row]]+1):INDEX(Tasks[_ShownCalcStart],Tasks[[#This Row],[_Row]]+Tasks[[#This Row],[_Descendants]])),Tasks[[#This Row],[_ShownCalcStart]]))</f>
        <v/>
      </c>
      <c r="DM180" s="115" t="str">
        <f aca="false">IF(Tasks[[#This Row],[Task Name]]="","",IF(Tasks[[#This Row],[_IsSummary]],MAX(INDEX(Tasks[_ShownCalcFinish],Tasks[[#This Row],[_Row]]+1):INDEX(Tasks[_ShownCalcFinish],Tasks[[#This Row],[_Row]]+Tasks[[#This Row],[_Descendants]])),Tasks[[#This Row],[_ShownCalcFinish]]))</f>
        <v/>
      </c>
      <c r="DN18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0" s="38" t="n">
        <f aca="false">IF(AND(Tasks[[#This Row],[_IsLeaf]]=1,Tasks[[#This Row],[_LeafTotalWork]]&gt;0),NETWORKDAYS.INTL(ProjectStart,Tasks[[#This Row],[_ShownFcstStart]],WorkWeek,Holidays),0)</f>
        <v>0</v>
      </c>
      <c r="EA180" s="38" t="n">
        <f aca="false">IF(AND(Tasks[[#This Row],[_IsLeaf]]=1,Tasks[[#This Row],[_LeafTotalWork]]&gt;0),MAX(Tasks[[#This Row],[_StartWorkday]],NETWORKDAYS.INTL(ProjectStart,Tasks[[#This Row],[_ShownFcstFinish]],WorkWeek,Holidays)),0)</f>
        <v>0</v>
      </c>
      <c r="EB180" s="38" t="n">
        <f aca="false">IF(AND(Tasks[[#This Row],[_IsLeaf]]=1,Tasks[[#This Row],[_LeafTotalWork]]&gt;0),Tasks[[#This Row],[_LeafWork]]/(Tasks[[#This Row],[_FinishWorkday]]-Tasks[[#This Row],[_StartWorkday]]+1),0)</f>
        <v>0</v>
      </c>
      <c r="EC180" s="38" t="n">
        <f aca="false">Tasks[[#This Row],[_WorkPerWorkday]]*(Tasks[[#This Row],[_StartWorkday]]-1)</f>
        <v>-0</v>
      </c>
      <c r="ED180" s="38" t="n">
        <f aca="false">IF(Tasks[[#This Row],[_IsLeaf]]=1,MAX(N(Tasks[[#This Row],[Duration]]),0.1),0)</f>
        <v>0</v>
      </c>
      <c r="EE180" s="38" t="n">
        <f aca="false">Tasks[[#This Row],[_WeightDur]]*Tasks[[#This Row],[_LeafProgress]]</f>
        <v>0</v>
      </c>
      <c r="EF18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0" s="38" t="str">
        <f aca="false">IF(AND(Tasks[[#This Row],[_IsLeaf]]=1,N(Tasks[[#This Row],[Duration]])=0,Tasks[[#This Row],[_LeafProgress]]&lt;1),Tasks[[#This Row],[_ShownFcstFinish]]+Tasks[[#This Row],[_Row]]/100000,"")</f>
        <v/>
      </c>
      <c r="EH18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0" s="38" t="n">
        <f aca="false">IF(NOT(Tasks[[#This Row],[_IsLeaf]]=1),0,IF(Tasks[[#This Row],[Baseline Cost]]="",Tasks[[#This Row],[_LeafTotalCost]],N(Tasks[[#This Row],[Baseline Cost]])))</f>
        <v>0</v>
      </c>
      <c r="EJ180" s="38" t="n">
        <f aca="false">Tasks[[#This Row],[_LeafBudget]]*Tasks[[#This Row],[_PlannedPct]]</f>
        <v>0</v>
      </c>
      <c r="EK180" s="38" t="n">
        <f aca="false">Tasks[[#This Row],[_LeafBudget]]*Tasks[[#This Row],[_LeafProgress]]</f>
        <v>0</v>
      </c>
      <c r="EL180" s="38" t="n">
        <f aca="false">IF(NOT(Tasks[[#This Row],[_IsLeaf]]=1),0,IF(Tasks[[#This Row],[Actual Cost]]="",Tasks[[#This Row],[_LeafTotalCost]]*Tasks[[#This Row],[_LeafProgress]],N(Tasks[[#This Row],[Actual Cost]])))</f>
        <v>0</v>
      </c>
      <c r="EM180" s="38" t="str">
        <f aca="false">IF(Tasks[[#This Row],[Task Name]]="","",LEFT(Tasks[[#This Row],[WBS]],FIND(".",Tasks[[#This Row],[WBS]]&amp;".")-1))</f>
        <v/>
      </c>
      <c r="EN180" s="38" t="str">
        <f aca="false">IF(AND(Tasks[[#This Row],[Task Name]]&lt;&gt;"",Tasks[[#This Row],[_Level]]=1),Tasks[[#This Row],[_Row]],"")</f>
        <v/>
      </c>
      <c r="EO180" s="38" t="str">
        <f aca="false">IF(AND(Tasks[[#This Row],[_IsLeaf]]=1,N(Tasks[[#This Row],[Duration]])=0),Tasks[[#This Row],[Planned Finish]]+Tasks[[#This Row],[_Row]]/100000,"")</f>
        <v/>
      </c>
      <c r="EP180" s="38" t="str">
        <f aca="false">IF(AND(Tasks[[#This Row],[_IsLeaf]]=1,Tasks[[#This Row],[_LeafProgress]]&lt;1,OR(N(Tasks[[#This Row],[Finish Var]])&gt;0,Tasks[[#This Row],[Status]]="Late Start")),MAX(0,Tasks[[#This Row],[Finish Var]])+1-Tasks[[#This Row],[_Row]]/1000000,"")</f>
        <v/>
      </c>
      <c r="EQ180" s="38" t="str">
        <f aca="false">IF(AND(Tasks[[#This Row],[_IsLeaf]]=1,N(Tasks[[#This Row],[Actual Start]])=0,Tasks[[#This Row],[_ShownFcstStart]]&gt;=StatusDate,Tasks[[#This Row],[_ShownFcstStart]]&lt;=LookaheadEnd),Tasks[[#This Row],[_ShownFcstStart]]+Tasks[[#This Row],[_Row]]/100000,"")</f>
        <v/>
      </c>
      <c r="ER180" s="38" t="str">
        <f aca="false">IF(AND(Tasks[[#This Row],[_IsLeaf]]=1,Tasks[[#This Row],[_LeafProgress]]&lt;1,Tasks[[#This Row],[_ShownFcstFinish]]&gt;=StatusDate,Tasks[[#This Row],[_ShownFcstFinish]]&lt;=LookaheadEnd),Tasks[[#This Row],[_ShownFcstFinish]]+Tasks[[#This Row],[_Row]]/100000,"")</f>
        <v/>
      </c>
      <c r="ES180" s="38" t="str">
        <f aca="false">IF(Tasks[[#This Row],[_LeafCritical]],Tasks[[#This Row],[_ShownFcstStart]]+Tasks[[#This Row],[_Row]]/100000,"")</f>
        <v/>
      </c>
      <c r="ET180" s="38" t="n">
        <f aca="false">Tasks[[#This Row],[_LeafWork]]*Tasks[[#This Row],[_LeafProgress]]</f>
        <v>0</v>
      </c>
      <c r="EU180" s="115" t="str">
        <f aca="false">IF(AND(Tasks[[#This Row],[_IsLeaf]]=1,Tasks[[#This Row],[_LeafProgress]]&gt;=1),IF(N(Tasks[[#This Row],[Actual Finish]])&gt;0,Tasks[[#This Row],[Actual Finish]],Tasks[[#This Row],[_ShownFcstFinish]]),"")</f>
        <v/>
      </c>
      <c r="EV180" s="38" t="n">
        <f aca="false">IF(Tasks[[#This Row],[_IsLeaf]]=1,N(Tasks[[#This Row],[Story Points]]),0)</f>
        <v>0</v>
      </c>
      <c r="EW180" s="38" t="str">
        <f aca="false">IF(AND(Tasks[[#This Row],[_IsLeaf]]=1,CurrentSprint&lt;&gt;"",Tasks[[#This Row],[Sprint]]=CurrentSprint),Tasks[[#This Row],[_Row]],"")</f>
        <v/>
      </c>
    </row>
    <row r="181" customFormat="false" ht="15" hidden="false" customHeight="false" outlineLevel="0" collapsed="false">
      <c r="A181" s="51" t="str">
        <f aca="false">IF(Tasks[[#This Row],[Task Name]]="","",COUNTA(Tasks[[#Headers],[Task Name]]:Tasks[[#This Row],[Task Name]])-1)</f>
        <v/>
      </c>
      <c r="B181" s="52" t="n">
        <v>176</v>
      </c>
      <c r="C18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52"/>
      <c r="E181" s="53"/>
      <c r="F181" s="52"/>
      <c r="G181" s="52"/>
      <c r="H181" s="52"/>
      <c r="I181" s="52"/>
      <c r="J181" s="52"/>
      <c r="K181" s="52"/>
      <c r="L181" s="52"/>
      <c r="M181" s="52"/>
      <c r="N181" s="52"/>
      <c r="O181" s="52"/>
      <c r="P181" s="52"/>
      <c r="Q181" s="52"/>
      <c r="R181" s="52"/>
      <c r="S181" s="53"/>
      <c r="T181" s="102"/>
      <c r="U181" s="102"/>
      <c r="V181" s="7"/>
      <c r="W181" s="7"/>
      <c r="X181" s="53"/>
      <c r="Y181" s="31" t="str">
        <f aca="false">IF(Tasks[[#This Row],[Task Name]]="","",IF(Tasks[[#This Row],[_IsSummary]],MIN(INDEX(Tasks[_ShownFcstStart],Tasks[[#This Row],[_Row]]+1):INDEX(Tasks[_ShownFcstStart],Tasks[[#This Row],[_Row]]+Tasks[[#This Row],[_Descendants]])),Tasks[[#This Row],[_ShownFcstStart]]))</f>
        <v/>
      </c>
      <c r="Z181" s="31" t="str">
        <f aca="false">IF(Tasks[[#This Row],[Task Name]]="","",IF(Tasks[[#This Row],[_IsSummary]],MAX(INDEX(Tasks[_ShownFcstFinish],Tasks[[#This Row],[_Row]]+1):INDEX(Tasks[_ShownFcstFinish],Tasks[[#This Row],[_Row]]+Tasks[[#This Row],[_Descendants]])),Tasks[[#This Row],[_ShownFcstFinish]]))</f>
        <v/>
      </c>
      <c r="AA181" s="51" t="str">
        <f aca="false">IF(Tasks[[#This Row],[Task Name]]="","",IF(Tasks[[#This Row],[Progress]]&gt;=1,"Complete",IF(OR(N(Tasks[[#This Row],[Actual Start]])&gt;0,Tasks[[#This Row],[Progress]]&gt;0),IF(Tasks[[#This Row],[Finish Var]]&gt;0,"Behind","In Progress"),IF(Tasks[[#This Row],[Planned Start]]&lt;StatusDate,"Late Start","Not Started"))))</f>
        <v/>
      </c>
      <c r="AB181" s="51" t="str">
        <f aca="false">IF(Tasks[[#This Row],[Task Name]]="","",IF(IF(Tasks[[#This Row],[_IsSummary]],COUNTIF(INDEX(Tasks[_LeafCritical],Tasks[[#This Row],[_Row]]+1):INDEX(Tasks[_LeafCritical],Tasks[[#This Row],[_Row]]+Tasks[[#This Row],[_Descendants]]),TRUE())&gt;0,Tasks[[#This Row],[_LeafCritical]]),"Yes",""))</f>
        <v/>
      </c>
      <c r="AC18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1" s="51" t="str">
        <f aca="false">IF(Tasks[[#This Row],[Task Name]]="","",IF(Tasks[[#This Row],[_Level]]&lt;=OutlineShowLevel,"Yes","No"))</f>
        <v/>
      </c>
      <c r="AE181" s="7"/>
      <c r="AF181" s="52"/>
      <c r="AG181" s="53"/>
      <c r="AH181" s="7"/>
      <c r="AI18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1" s="31" t="str">
        <f aca="false">IF(Tasks[[#This Row],[Task Name]]="","",IF(N(Tasks[[#This Row],[Baseline Start]])&gt;0,Tasks[[#This Row],[Baseline Start]],Tasks[[#This Row],[_CalcStart]]))</f>
        <v/>
      </c>
      <c r="AK181" s="31" t="str">
        <f aca="false">IF(Tasks[[#This Row],[Task Name]]="","",IF(N(Tasks[[#This Row],[Baseline Finish]])&gt;0,Tasks[[#This Row],[Baseline Finish]],Tasks[[#This Row],[_CalcFinish]]))</f>
        <v/>
      </c>
      <c r="AL18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1" s="31" t="str">
        <f aca="false">IF(Tasks[[#This Row],[Task Name]]="","",IF(Tasks[[#This Row],[_IsSummary]],MIN(INDEX(Tasks[_LeafLateStart],Tasks[[#This Row],[_Row]]+1):INDEX(Tasks[_LeafLateStart],Tasks[[#This Row],[_Row]]+Tasks[[#This Row],[_Descendants]])),Tasks[[#This Row],[_LeafLateStart]]))</f>
        <v/>
      </c>
      <c r="AN181" s="31" t="str">
        <f aca="false">IF(Tasks[[#This Row],[Task Name]]="","",IF(Tasks[[#This Row],[_IsSummary]],MAX(INDEX(Tasks[_LeafLateFinish],Tasks[[#This Row],[_Row]]+1):INDEX(Tasks[_LeafLateFinish],Tasks[[#This Row],[_Row]]+Tasks[[#This Row],[_Descendants]])),Tasks[[#This Row],[_LeafLateFinish]]))</f>
        <v/>
      </c>
      <c r="AO181" s="51" t="str">
        <f aca="false">IF(Tasks[[#This Row],[Task Name]]="","",IF(Tasks[[#This Row],[_IsSummary]],MIN(INDEX(Tasks[_LeafTotalSlack],Tasks[[#This Row],[_Row]]+1):INDEX(Tasks[_LeafTotalSlack],Tasks[[#This Row],[_Row]]+Tasks[[#This Row],[_Descendants]])),Tasks[[#This Row],[_LeafTotalSlack]]))</f>
        <v/>
      </c>
      <c r="AP18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1" s="110" t="str">
        <f aca="false">IF(Tasks[[#This Row],[Task Name]]="","",IF(Tasks[[#This Row],[_IsSummary]],SUM(INDEX(Tasks[_LeafTotalWork],Tasks[[#This Row],[_Row]]+1):INDEX(Tasks[_LeafTotalWork],Tasks[[#This Row],[_Row]]+Tasks[[#This Row],[_Descendants]])),Tasks[[#This Row],[_LeafTotalWork]]))</f>
        <v/>
      </c>
      <c r="AV18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1" s="111" t="str">
        <f aca="false">IF(Tasks[[#This Row],[Task Name]]="","",IF(Tasks[[#This Row],[_IsSummary]],SUM(INDEX(Tasks[_LeafTotalCost],Tasks[[#This Row],[_Row]]+1):INDEX(Tasks[_LeafTotalCost],Tasks[[#This Row],[_Row]]+Tasks[[#This Row],[_Descendants]])),Tasks[[#This Row],[_LeafTotalCost]]))</f>
        <v/>
      </c>
      <c r="AY181" s="112"/>
      <c r="AZ18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1" s="52"/>
      <c r="BB181" s="98"/>
      <c r="BC181" s="51" t="str">
        <f aca="false">IF(OR(Tasks[[#This Row],[Task Name]]="",Tasks[[#This Row],[Baseline Duration]]=""),"",Tasks[[#This Row],[BL Source Duration]]-N(Tasks[[#This Row],[Baseline Duration]]))</f>
        <v/>
      </c>
      <c r="BD181" s="110" t="str">
        <f aca="false">IF(OR(Tasks[[#This Row],[Task Name]]="",Tasks[[#This Row],[Baseline Work]]=""),"",Tasks[[#This Row],[Work]]-N(Tasks[[#This Row],[Baseline Work]]))</f>
        <v/>
      </c>
      <c r="BE181" s="111" t="str">
        <f aca="false">IF(OR(Tasks[[#This Row],[Task Name]]="",Tasks[[#This Row],[Baseline Cost]]=""),"",Tasks[[#This Row],[Cost]]-N(Tasks[[#This Row],[Baseline Cost]]))</f>
        <v/>
      </c>
      <c r="BF181" s="31" t="str">
        <f aca="false">IF(Tasks[[#This Row],[Task Name]]="","",Tasks[[#This Row],[Forecast Start]])</f>
        <v/>
      </c>
      <c r="BG181" s="31" t="str">
        <f aca="false">IF(Tasks[[#This Row],[Task Name]]="","",Tasks[[#This Row],[Forecast Finish]])</f>
        <v/>
      </c>
      <c r="BH181" s="51" t="str">
        <f aca="false">IF(Tasks[[#This Row],[Task Name]]="","",IF(Tasks[[#This Row],[_IsSummary]],NETWORKDAYS.INTL(Tasks[[#This Row],[Forecast Start]],Tasks[[#This Row],[Forecast Finish]],WorkWeek,Holidays),N(Tasks[[#This Row],[Duration]])))</f>
        <v/>
      </c>
      <c r="BI181" s="110" t="str">
        <f aca="false">IF(Tasks[[#This Row],[Task Name]]="","",Tasks[[#This Row],[Work]])</f>
        <v/>
      </c>
      <c r="BJ181" s="111" t="str">
        <f aca="false">IF(Tasks[[#This Row],[Task Name]]="","",Tasks[[#This Row],[Cost]])</f>
        <v/>
      </c>
      <c r="BK181" s="7"/>
      <c r="BL181" s="7"/>
      <c r="BM181" s="52"/>
      <c r="BN181" s="113"/>
      <c r="BO181" s="112"/>
      <c r="BP181" s="111" t="str">
        <f aca="false">IF(Tasks[[#This Row],[Task Name]]="","",IF(Tasks[[#This Row],[_IsSummary]],SUM(INDEX(Tasks[_LeafEV],Tasks[[#This Row],[_Row]]+1):INDEX(Tasks[_LeafEV],Tasks[[#This Row],[_Row]]+Tasks[[#This Row],[_Descendants]])),Tasks[[#This Row],[_LeafEV]]))</f>
        <v/>
      </c>
      <c r="BQ181" s="111" t="str">
        <f aca="false">IF(Tasks[[#This Row],[Task Name]]="","",IF(Tasks[[#This Row],[_IsSummary]],SUM(INDEX(Tasks[_LeafBudget],Tasks[[#This Row],[_Row]]+1):INDEX(Tasks[_LeafBudget],Tasks[[#This Row],[_Row]]+Tasks[[#This Row],[_Descendants]])),Tasks[[#This Row],[_LeafBudget]]))</f>
        <v/>
      </c>
      <c r="BR181" s="111" t="str">
        <f aca="false">IF(Tasks[[#This Row],[Task Name]]="","",IF(Tasks[[#This Row],[_IsSummary]],SUM(INDEX(Tasks[_LeafPV],Tasks[[#This Row],[_Row]]+1):INDEX(Tasks[_LeafPV],Tasks[[#This Row],[_Row]]+Tasks[[#This Row],[_Descendants]])),Tasks[[#This Row],[_LeafPV]]))</f>
        <v/>
      </c>
      <c r="BS181" s="111" t="str">
        <f aca="false">IF(Tasks[[#This Row],[Task Name]]="","",IF(Tasks[[#This Row],[_IsSummary]],SUM(INDEX(Tasks[_LeafAC],Tasks[[#This Row],[_Row]]+1):INDEX(Tasks[_LeafAC],Tasks[[#This Row],[_Row]]+Tasks[[#This Row],[_Descendants]])),Tasks[[#This Row],[_LeafAC]]))</f>
        <v/>
      </c>
      <c r="BT181" s="38" t="str">
        <f aca="false">IF(Tasks[[#This Row],[Task Name]]="","",MAX(1,N(Tasks[[#This Row],[Level]])))</f>
        <v/>
      </c>
      <c r="BU181" s="38" t="n">
        <f aca="false">ROW()-ROW(Tasks[[#Headers],[ID]])</f>
        <v>176</v>
      </c>
      <c r="BV181" s="38" t="n">
        <f aca="false">IF(OR(Tasks[[#This Row],[Task Name]]="",Tasks[[#This Row],[_Level]]&lt;=1),0,IFERROR(LOOKUP(2,1/(Tasks[[#Headers],[_Level]]:Tasks[[#This Row],[_Level]]=Tasks[[#This Row],[_Level]]-1),ROW(Tasks[[#Headers],[_Level]]:Tasks[[#This Row],[_Level]])),0))</f>
        <v>0</v>
      </c>
      <c r="BW181" s="38" t="n">
        <f aca="false">IFERROR(N(INDEX(Tasks[_Level],Tasks[[#This Row],[_Row]]+1)),0)</f>
        <v>0</v>
      </c>
      <c r="BX181" s="114" t="b">
        <f aca="false">AND(Tasks[[#This Row],[Task Name]]&lt;&gt;"",Tasks[[#This Row],[_NextLevel]]&gt;Tasks[[#This Row],[_Level]])</f>
        <v>0</v>
      </c>
      <c r="BY181" s="38" t="n">
        <f aca="false">IF(Tasks[[#This Row],[_IsSummary]],COUNTIF(Tasks[WBS],Tasks[[#This Row],[WBS]]&amp;".*"),0)</f>
        <v>0</v>
      </c>
      <c r="BZ181" s="38" t="n">
        <f aca="false">IF(AND(Tasks[[#This Row],[Task Name]]&lt;&gt;"",NOT(Tasks[[#This Row],[_IsSummary]])),1,0)</f>
        <v>0</v>
      </c>
      <c r="CA181" s="38" t="n">
        <f aca="false">IF(N(Tasks[[#This Row],[Pred1 UID]])=0,0,IFERROR(MATCH(Tasks[[#This Row],[Pred1 UID]],Tasks[UID],0),-1))</f>
        <v>0</v>
      </c>
      <c r="CB181" s="38" t="n">
        <f aca="false">IF(N(Tasks[[#This Row],[Pred2 UID]])=0,0,IFERROR(MATCH(Tasks[[#This Row],[Pred2 UID]],Tasks[UID],0),-1))</f>
        <v>0</v>
      </c>
      <c r="CC181" s="38" t="n">
        <f aca="false">IF(N(Tasks[[#This Row],[Pred3 UID]])=0,0,IFERROR(MATCH(Tasks[[#This Row],[Pred3 UID]],Tasks[UID],0),-1))</f>
        <v>0</v>
      </c>
      <c r="CD181" s="38" t="n">
        <f aca="false">IF(N(Tasks[[#This Row],[Pred4 UID]])=0,0,IFERROR(MATCH(Tasks[[#This Row],[Pred4 UID]],Tasks[UID],0),-1))</f>
        <v>0</v>
      </c>
      <c r="CE18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1" s="115" t="n">
        <f aca="false">IF(OR(Tasks[[#This Row],[_ConstraintCode]]=2,Tasks[[#This Row],[_ConstraintCode]]=3,Tasks[[#This Row],[_ConstraintCode]]=4,Tasks[[#This Row],[_ConstraintCode]]=6),Tasks[[#This Row],[_ConstraintStart]],0)</f>
        <v>0</v>
      </c>
      <c r="CH181" s="115" t="n">
        <f aca="false">IF(OR(Tasks[[#This Row],[_ConstraintCode]]=2,Tasks[[#This Row],[_ConstraintCode]]=3,Tasks[[#This Row],[_ConstraintCode]]=5,Tasks[[#This Row],[_ConstraintCode]]=7),Tasks[[#This Row],[_ConstraintStart]],2958465)</f>
        <v>2958465</v>
      </c>
      <c r="CI18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1" s="115" t="str">
        <f aca="false">IF(NOT(Tasks[[#This Row],[_IsLeaf]]=1),"",IF(N(Tasks[[#This Row],[Duration]])&lt;=0,Tasks[[#This Row],[_LeafCalcStart]],WORKDAY.INTL(Tasks[[#This Row],[_LeafCalcStart]],Tasks[[#This Row],[Duration]]-1,WorkWeek,Holidays)))</f>
        <v/>
      </c>
      <c r="CK18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1" s="38" t="n">
        <f aca="false">IF(NOT(Tasks[[#This Row],[_IsLeaf]]=1),0,IF(N(Tasks[[#This Row],[Actual Finish]])&gt;0,1,MIN(1,N(Tasks[[#This Row],[% Complete]]))))</f>
        <v>0</v>
      </c>
      <c r="CN181" s="38" t="n">
        <f aca="false">IF(OR(NOT(Tasks[[#This Row],[_IsLeaf]]=1),Tasks[[#This Row],[Resource]]=""),0,N(Tasks[[#This Row],[Duration]])*HoursPerDay*IF(Tasks[[#This Row],[Units]]="",DefaultUnits,Tasks[[#This Row],[Units]]))</f>
        <v>0</v>
      </c>
      <c r="CO181" s="38" t="n">
        <f aca="false">IF(Tasks[[#This Row],[_LeafWork]]=0,0,Tasks[[#This Row],[_LeafWork]]*IFERROR(INDEX(res_Rate,MATCH(Tasks[[#This Row],[Resource]],res_Name,0)),0))</f>
        <v>0</v>
      </c>
      <c r="CP181" s="38" t="n">
        <f aca="false">Tasks[[#This Row],[_LeafWork]]+IF(Tasks[[#This Row],[_IsLeaf]]=1,SUMIFS(asg_Work,asg_TaskUID,Tasks[[#This Row],[UID]],asg_Valid,1),0)</f>
        <v>0</v>
      </c>
      <c r="CQ181" s="38" t="n">
        <f aca="false">Tasks[[#This Row],[_LeafCost]]+IF(Tasks[[#This Row],[_IsLeaf]]=1,SUMIFS(asg_Cost,asg_TaskUID,Tasks[[#This Row],[UID]],asg_Valid,1),0)</f>
        <v>0</v>
      </c>
      <c r="CR181" s="38" t="n">
        <f aca="false">IF(Tasks[[#This Row],[_LeafTotalCost]]=0,Tasks[[#This Row],[_LeafAC]],Tasks[[#This Row],[_LeafAC]]*Tasks[[#This Row],[_LeafCost]]/Tasks[[#This Row],[_LeafTotalCost]])</f>
        <v>0</v>
      </c>
      <c r="CS18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1" s="38" t="n">
        <f aca="false">IF(NOT(Tasks[[#This Row],[_IsLeaf]]=1),0,MAX(_xlfn.MAXIFS(Tasks[_Row],Tasks[Pred1 UID],Tasks[[#This Row],[UID]]),_xlfn.MAXIFS(Tasks[_Row],Tasks[Pred2 UID],Tasks[[#This Row],[UID]]),_xlfn.MAXIFS(Tasks[_Row],Tasks[Pred3 UID],Tasks[[#This Row],[UID]]),_xlfn.MAXIFS(Tasks[_Row],Tasks[Pred4 UID],Tasks[[#This Row],[UID]])))</f>
        <v>0</v>
      </c>
      <c r="DB18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1" s="115" t="str">
        <f aca="false">IF(NOT(Tasks[[#This Row],[_IsLeaf]]=1),"",IF(N(Tasks[[#This Row],[Duration]])&lt;=0,Tasks[[#This Row],[_LeafLateFinish]],WORKDAY.INTL(Tasks[[#This Row],[_LeafLateFinish]],-(Tasks[[#This Row],[Duration]]-1),WorkWeek,Holidays)))</f>
        <v/>
      </c>
      <c r="DE18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1" s="114" t="b">
        <f aca="false">AND(Tasks[[#This Row],[_IsLeaf]]=1,Tasks[[#This Row],[_LeafProgress]]&lt;1,N(Tasks[[#This Row],[_LeafTotalSlack]])&lt;=CriticalSlackDays)</f>
        <v>0</v>
      </c>
      <c r="DG181" s="38" t="n">
        <f aca="false">IF(AND(Tasks[[#This Row],[_IsLeaf]]=1,Tasks[[#This Row],[_ConstraintCode]]=1,Tasks[[#This Row],[Mode]]&lt;&gt;"Manual",N(Tasks[[#This Row],[Actual Start]])=0),MAX(0,N(Tasks[[#This Row],[Free Slack]])),0)</f>
        <v>0</v>
      </c>
      <c r="DH181" s="115" t="str">
        <f aca="false">IF(NOT(Tasks[[#This Row],[_IsLeaf]]=1),"",IF(Tasks[[#This Row],[_AlapShift]]=0,Tasks[[#This Row],[_LeafCalcStart]],WORKDAY.INTL(Tasks[[#This Row],[_LeafCalcStart]],Tasks[[#This Row],[_AlapShift]],WorkWeek,Holidays)))</f>
        <v/>
      </c>
      <c r="DI181" s="115" t="str">
        <f aca="false">IF(NOT(Tasks[[#This Row],[_IsLeaf]]=1),"",IF(Tasks[[#This Row],[_AlapShift]]=0,Tasks[[#This Row],[_LeafCalcFinish]],WORKDAY.INTL(Tasks[[#This Row],[_LeafCalcFinish]],Tasks[[#This Row],[_AlapShift]],WorkWeek,Holidays)))</f>
        <v/>
      </c>
      <c r="DJ181" s="115" t="str">
        <f aca="false">IF(NOT(Tasks[[#This Row],[_IsLeaf]]=1),"",IF(Tasks[[#This Row],[_AlapShift]]=0,Tasks[[#This Row],[_LeafFcstStart]],WORKDAY.INTL(Tasks[[#This Row],[_LeafFcstStart]],Tasks[[#This Row],[_AlapShift]],WorkWeek,Holidays)))</f>
        <v/>
      </c>
      <c r="DK181" s="115" t="str">
        <f aca="false">IF(NOT(Tasks[[#This Row],[_IsLeaf]]=1),"",IF(Tasks[[#This Row],[_AlapShift]]=0,Tasks[[#This Row],[_LeafFcstFinish]],WORKDAY.INTL(Tasks[[#This Row],[_LeafFcstFinish]],Tasks[[#This Row],[_AlapShift]],WorkWeek,Holidays)))</f>
        <v/>
      </c>
      <c r="DL181" s="115" t="str">
        <f aca="false">IF(Tasks[[#This Row],[Task Name]]="","",IF(Tasks[[#This Row],[_IsSummary]],MIN(INDEX(Tasks[_ShownCalcStart],Tasks[[#This Row],[_Row]]+1):INDEX(Tasks[_ShownCalcStart],Tasks[[#This Row],[_Row]]+Tasks[[#This Row],[_Descendants]])),Tasks[[#This Row],[_ShownCalcStart]]))</f>
        <v/>
      </c>
      <c r="DM181" s="115" t="str">
        <f aca="false">IF(Tasks[[#This Row],[Task Name]]="","",IF(Tasks[[#This Row],[_IsSummary]],MAX(INDEX(Tasks[_ShownCalcFinish],Tasks[[#This Row],[_Row]]+1):INDEX(Tasks[_ShownCalcFinish],Tasks[[#This Row],[_Row]]+Tasks[[#This Row],[_Descendants]])),Tasks[[#This Row],[_ShownCalcFinish]]))</f>
        <v/>
      </c>
      <c r="DN18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1" s="38" t="n">
        <f aca="false">IF(AND(Tasks[[#This Row],[_IsLeaf]]=1,Tasks[[#This Row],[_LeafTotalWork]]&gt;0),NETWORKDAYS.INTL(ProjectStart,Tasks[[#This Row],[_ShownFcstStart]],WorkWeek,Holidays),0)</f>
        <v>0</v>
      </c>
      <c r="EA181" s="38" t="n">
        <f aca="false">IF(AND(Tasks[[#This Row],[_IsLeaf]]=1,Tasks[[#This Row],[_LeafTotalWork]]&gt;0),MAX(Tasks[[#This Row],[_StartWorkday]],NETWORKDAYS.INTL(ProjectStart,Tasks[[#This Row],[_ShownFcstFinish]],WorkWeek,Holidays)),0)</f>
        <v>0</v>
      </c>
      <c r="EB181" s="38" t="n">
        <f aca="false">IF(AND(Tasks[[#This Row],[_IsLeaf]]=1,Tasks[[#This Row],[_LeafTotalWork]]&gt;0),Tasks[[#This Row],[_LeafWork]]/(Tasks[[#This Row],[_FinishWorkday]]-Tasks[[#This Row],[_StartWorkday]]+1),0)</f>
        <v>0</v>
      </c>
      <c r="EC181" s="38" t="n">
        <f aca="false">Tasks[[#This Row],[_WorkPerWorkday]]*(Tasks[[#This Row],[_StartWorkday]]-1)</f>
        <v>-0</v>
      </c>
      <c r="ED181" s="38" t="n">
        <f aca="false">IF(Tasks[[#This Row],[_IsLeaf]]=1,MAX(N(Tasks[[#This Row],[Duration]]),0.1),0)</f>
        <v>0</v>
      </c>
      <c r="EE181" s="38" t="n">
        <f aca="false">Tasks[[#This Row],[_WeightDur]]*Tasks[[#This Row],[_LeafProgress]]</f>
        <v>0</v>
      </c>
      <c r="EF18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1" s="38" t="str">
        <f aca="false">IF(AND(Tasks[[#This Row],[_IsLeaf]]=1,N(Tasks[[#This Row],[Duration]])=0,Tasks[[#This Row],[_LeafProgress]]&lt;1),Tasks[[#This Row],[_ShownFcstFinish]]+Tasks[[#This Row],[_Row]]/100000,"")</f>
        <v/>
      </c>
      <c r="EH18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1" s="38" t="n">
        <f aca="false">IF(NOT(Tasks[[#This Row],[_IsLeaf]]=1),0,IF(Tasks[[#This Row],[Baseline Cost]]="",Tasks[[#This Row],[_LeafTotalCost]],N(Tasks[[#This Row],[Baseline Cost]])))</f>
        <v>0</v>
      </c>
      <c r="EJ181" s="38" t="n">
        <f aca="false">Tasks[[#This Row],[_LeafBudget]]*Tasks[[#This Row],[_PlannedPct]]</f>
        <v>0</v>
      </c>
      <c r="EK181" s="38" t="n">
        <f aca="false">Tasks[[#This Row],[_LeafBudget]]*Tasks[[#This Row],[_LeafProgress]]</f>
        <v>0</v>
      </c>
      <c r="EL181" s="38" t="n">
        <f aca="false">IF(NOT(Tasks[[#This Row],[_IsLeaf]]=1),0,IF(Tasks[[#This Row],[Actual Cost]]="",Tasks[[#This Row],[_LeafTotalCost]]*Tasks[[#This Row],[_LeafProgress]],N(Tasks[[#This Row],[Actual Cost]])))</f>
        <v>0</v>
      </c>
      <c r="EM181" s="38" t="str">
        <f aca="false">IF(Tasks[[#This Row],[Task Name]]="","",LEFT(Tasks[[#This Row],[WBS]],FIND(".",Tasks[[#This Row],[WBS]]&amp;".")-1))</f>
        <v/>
      </c>
      <c r="EN181" s="38" t="str">
        <f aca="false">IF(AND(Tasks[[#This Row],[Task Name]]&lt;&gt;"",Tasks[[#This Row],[_Level]]=1),Tasks[[#This Row],[_Row]],"")</f>
        <v/>
      </c>
      <c r="EO181" s="38" t="str">
        <f aca="false">IF(AND(Tasks[[#This Row],[_IsLeaf]]=1,N(Tasks[[#This Row],[Duration]])=0),Tasks[[#This Row],[Planned Finish]]+Tasks[[#This Row],[_Row]]/100000,"")</f>
        <v/>
      </c>
      <c r="EP181" s="38" t="str">
        <f aca="false">IF(AND(Tasks[[#This Row],[_IsLeaf]]=1,Tasks[[#This Row],[_LeafProgress]]&lt;1,OR(N(Tasks[[#This Row],[Finish Var]])&gt;0,Tasks[[#This Row],[Status]]="Late Start")),MAX(0,Tasks[[#This Row],[Finish Var]])+1-Tasks[[#This Row],[_Row]]/1000000,"")</f>
        <v/>
      </c>
      <c r="EQ181" s="38" t="str">
        <f aca="false">IF(AND(Tasks[[#This Row],[_IsLeaf]]=1,N(Tasks[[#This Row],[Actual Start]])=0,Tasks[[#This Row],[_ShownFcstStart]]&gt;=StatusDate,Tasks[[#This Row],[_ShownFcstStart]]&lt;=LookaheadEnd),Tasks[[#This Row],[_ShownFcstStart]]+Tasks[[#This Row],[_Row]]/100000,"")</f>
        <v/>
      </c>
      <c r="ER181" s="38" t="str">
        <f aca="false">IF(AND(Tasks[[#This Row],[_IsLeaf]]=1,Tasks[[#This Row],[_LeafProgress]]&lt;1,Tasks[[#This Row],[_ShownFcstFinish]]&gt;=StatusDate,Tasks[[#This Row],[_ShownFcstFinish]]&lt;=LookaheadEnd),Tasks[[#This Row],[_ShownFcstFinish]]+Tasks[[#This Row],[_Row]]/100000,"")</f>
        <v/>
      </c>
      <c r="ES181" s="38" t="str">
        <f aca="false">IF(Tasks[[#This Row],[_LeafCritical]],Tasks[[#This Row],[_ShownFcstStart]]+Tasks[[#This Row],[_Row]]/100000,"")</f>
        <v/>
      </c>
      <c r="ET181" s="38" t="n">
        <f aca="false">Tasks[[#This Row],[_LeafWork]]*Tasks[[#This Row],[_LeafProgress]]</f>
        <v>0</v>
      </c>
      <c r="EU181" s="115" t="str">
        <f aca="false">IF(AND(Tasks[[#This Row],[_IsLeaf]]=1,Tasks[[#This Row],[_LeafProgress]]&gt;=1),IF(N(Tasks[[#This Row],[Actual Finish]])&gt;0,Tasks[[#This Row],[Actual Finish]],Tasks[[#This Row],[_ShownFcstFinish]]),"")</f>
        <v/>
      </c>
      <c r="EV181" s="38" t="n">
        <f aca="false">IF(Tasks[[#This Row],[_IsLeaf]]=1,N(Tasks[[#This Row],[Story Points]]),0)</f>
        <v>0</v>
      </c>
      <c r="EW181" s="38" t="str">
        <f aca="false">IF(AND(Tasks[[#This Row],[_IsLeaf]]=1,CurrentSprint&lt;&gt;"",Tasks[[#This Row],[Sprint]]=CurrentSprint),Tasks[[#This Row],[_Row]],"")</f>
        <v/>
      </c>
    </row>
    <row r="182" customFormat="false" ht="15" hidden="false" customHeight="false" outlineLevel="0" collapsed="false">
      <c r="A182" s="51" t="str">
        <f aca="false">IF(Tasks[[#This Row],[Task Name]]="","",COUNTA(Tasks[[#Headers],[Task Name]]:Tasks[[#This Row],[Task Name]])-1)</f>
        <v/>
      </c>
      <c r="B182" s="52" t="n">
        <v>177</v>
      </c>
      <c r="C18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52"/>
      <c r="E182" s="53"/>
      <c r="F182" s="52"/>
      <c r="G182" s="52"/>
      <c r="H182" s="52"/>
      <c r="I182" s="52"/>
      <c r="J182" s="52"/>
      <c r="K182" s="52"/>
      <c r="L182" s="52"/>
      <c r="M182" s="52"/>
      <c r="N182" s="52"/>
      <c r="O182" s="52"/>
      <c r="P182" s="52"/>
      <c r="Q182" s="52"/>
      <c r="R182" s="52"/>
      <c r="S182" s="53"/>
      <c r="T182" s="102"/>
      <c r="U182" s="102"/>
      <c r="V182" s="7"/>
      <c r="W182" s="7"/>
      <c r="X182" s="53"/>
      <c r="Y182" s="31" t="str">
        <f aca="false">IF(Tasks[[#This Row],[Task Name]]="","",IF(Tasks[[#This Row],[_IsSummary]],MIN(INDEX(Tasks[_ShownFcstStart],Tasks[[#This Row],[_Row]]+1):INDEX(Tasks[_ShownFcstStart],Tasks[[#This Row],[_Row]]+Tasks[[#This Row],[_Descendants]])),Tasks[[#This Row],[_ShownFcstStart]]))</f>
        <v/>
      </c>
      <c r="Z182" s="31" t="str">
        <f aca="false">IF(Tasks[[#This Row],[Task Name]]="","",IF(Tasks[[#This Row],[_IsSummary]],MAX(INDEX(Tasks[_ShownFcstFinish],Tasks[[#This Row],[_Row]]+1):INDEX(Tasks[_ShownFcstFinish],Tasks[[#This Row],[_Row]]+Tasks[[#This Row],[_Descendants]])),Tasks[[#This Row],[_ShownFcstFinish]]))</f>
        <v/>
      </c>
      <c r="AA182" s="51" t="str">
        <f aca="false">IF(Tasks[[#This Row],[Task Name]]="","",IF(Tasks[[#This Row],[Progress]]&gt;=1,"Complete",IF(OR(N(Tasks[[#This Row],[Actual Start]])&gt;0,Tasks[[#This Row],[Progress]]&gt;0),IF(Tasks[[#This Row],[Finish Var]]&gt;0,"Behind","In Progress"),IF(Tasks[[#This Row],[Planned Start]]&lt;StatusDate,"Late Start","Not Started"))))</f>
        <v/>
      </c>
      <c r="AB182" s="51" t="str">
        <f aca="false">IF(Tasks[[#This Row],[Task Name]]="","",IF(IF(Tasks[[#This Row],[_IsSummary]],COUNTIF(INDEX(Tasks[_LeafCritical],Tasks[[#This Row],[_Row]]+1):INDEX(Tasks[_LeafCritical],Tasks[[#This Row],[_Row]]+Tasks[[#This Row],[_Descendants]]),TRUE())&gt;0,Tasks[[#This Row],[_LeafCritical]]),"Yes",""))</f>
        <v/>
      </c>
      <c r="AC18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2" s="51" t="str">
        <f aca="false">IF(Tasks[[#This Row],[Task Name]]="","",IF(Tasks[[#This Row],[_Level]]&lt;=OutlineShowLevel,"Yes","No"))</f>
        <v/>
      </c>
      <c r="AE182" s="7"/>
      <c r="AF182" s="52"/>
      <c r="AG182" s="53"/>
      <c r="AH182" s="7"/>
      <c r="AI18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2" s="31" t="str">
        <f aca="false">IF(Tasks[[#This Row],[Task Name]]="","",IF(N(Tasks[[#This Row],[Baseline Start]])&gt;0,Tasks[[#This Row],[Baseline Start]],Tasks[[#This Row],[_CalcStart]]))</f>
        <v/>
      </c>
      <c r="AK182" s="31" t="str">
        <f aca="false">IF(Tasks[[#This Row],[Task Name]]="","",IF(N(Tasks[[#This Row],[Baseline Finish]])&gt;0,Tasks[[#This Row],[Baseline Finish]],Tasks[[#This Row],[_CalcFinish]]))</f>
        <v/>
      </c>
      <c r="AL18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2" s="31" t="str">
        <f aca="false">IF(Tasks[[#This Row],[Task Name]]="","",IF(Tasks[[#This Row],[_IsSummary]],MIN(INDEX(Tasks[_LeafLateStart],Tasks[[#This Row],[_Row]]+1):INDEX(Tasks[_LeafLateStart],Tasks[[#This Row],[_Row]]+Tasks[[#This Row],[_Descendants]])),Tasks[[#This Row],[_LeafLateStart]]))</f>
        <v/>
      </c>
      <c r="AN182" s="31" t="str">
        <f aca="false">IF(Tasks[[#This Row],[Task Name]]="","",IF(Tasks[[#This Row],[_IsSummary]],MAX(INDEX(Tasks[_LeafLateFinish],Tasks[[#This Row],[_Row]]+1):INDEX(Tasks[_LeafLateFinish],Tasks[[#This Row],[_Row]]+Tasks[[#This Row],[_Descendants]])),Tasks[[#This Row],[_LeafLateFinish]]))</f>
        <v/>
      </c>
      <c r="AO182" s="51" t="str">
        <f aca="false">IF(Tasks[[#This Row],[Task Name]]="","",IF(Tasks[[#This Row],[_IsSummary]],MIN(INDEX(Tasks[_LeafTotalSlack],Tasks[[#This Row],[_Row]]+1):INDEX(Tasks[_LeafTotalSlack],Tasks[[#This Row],[_Row]]+Tasks[[#This Row],[_Descendants]])),Tasks[[#This Row],[_LeafTotalSlack]]))</f>
        <v/>
      </c>
      <c r="AP18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2" s="110" t="str">
        <f aca="false">IF(Tasks[[#This Row],[Task Name]]="","",IF(Tasks[[#This Row],[_IsSummary]],SUM(INDEX(Tasks[_LeafTotalWork],Tasks[[#This Row],[_Row]]+1):INDEX(Tasks[_LeafTotalWork],Tasks[[#This Row],[_Row]]+Tasks[[#This Row],[_Descendants]])),Tasks[[#This Row],[_LeafTotalWork]]))</f>
        <v/>
      </c>
      <c r="AV18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2" s="111" t="str">
        <f aca="false">IF(Tasks[[#This Row],[Task Name]]="","",IF(Tasks[[#This Row],[_IsSummary]],SUM(INDEX(Tasks[_LeafTotalCost],Tasks[[#This Row],[_Row]]+1):INDEX(Tasks[_LeafTotalCost],Tasks[[#This Row],[_Row]]+Tasks[[#This Row],[_Descendants]])),Tasks[[#This Row],[_LeafTotalCost]]))</f>
        <v/>
      </c>
      <c r="AY182" s="112"/>
      <c r="AZ18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2" s="52"/>
      <c r="BB182" s="98"/>
      <c r="BC182" s="51" t="str">
        <f aca="false">IF(OR(Tasks[[#This Row],[Task Name]]="",Tasks[[#This Row],[Baseline Duration]]=""),"",Tasks[[#This Row],[BL Source Duration]]-N(Tasks[[#This Row],[Baseline Duration]]))</f>
        <v/>
      </c>
      <c r="BD182" s="110" t="str">
        <f aca="false">IF(OR(Tasks[[#This Row],[Task Name]]="",Tasks[[#This Row],[Baseline Work]]=""),"",Tasks[[#This Row],[Work]]-N(Tasks[[#This Row],[Baseline Work]]))</f>
        <v/>
      </c>
      <c r="BE182" s="111" t="str">
        <f aca="false">IF(OR(Tasks[[#This Row],[Task Name]]="",Tasks[[#This Row],[Baseline Cost]]=""),"",Tasks[[#This Row],[Cost]]-N(Tasks[[#This Row],[Baseline Cost]]))</f>
        <v/>
      </c>
      <c r="BF182" s="31" t="str">
        <f aca="false">IF(Tasks[[#This Row],[Task Name]]="","",Tasks[[#This Row],[Forecast Start]])</f>
        <v/>
      </c>
      <c r="BG182" s="31" t="str">
        <f aca="false">IF(Tasks[[#This Row],[Task Name]]="","",Tasks[[#This Row],[Forecast Finish]])</f>
        <v/>
      </c>
      <c r="BH182" s="51" t="str">
        <f aca="false">IF(Tasks[[#This Row],[Task Name]]="","",IF(Tasks[[#This Row],[_IsSummary]],NETWORKDAYS.INTL(Tasks[[#This Row],[Forecast Start]],Tasks[[#This Row],[Forecast Finish]],WorkWeek,Holidays),N(Tasks[[#This Row],[Duration]])))</f>
        <v/>
      </c>
      <c r="BI182" s="110" t="str">
        <f aca="false">IF(Tasks[[#This Row],[Task Name]]="","",Tasks[[#This Row],[Work]])</f>
        <v/>
      </c>
      <c r="BJ182" s="111" t="str">
        <f aca="false">IF(Tasks[[#This Row],[Task Name]]="","",Tasks[[#This Row],[Cost]])</f>
        <v/>
      </c>
      <c r="BK182" s="7"/>
      <c r="BL182" s="7"/>
      <c r="BM182" s="52"/>
      <c r="BN182" s="113"/>
      <c r="BO182" s="112"/>
      <c r="BP182" s="111" t="str">
        <f aca="false">IF(Tasks[[#This Row],[Task Name]]="","",IF(Tasks[[#This Row],[_IsSummary]],SUM(INDEX(Tasks[_LeafEV],Tasks[[#This Row],[_Row]]+1):INDEX(Tasks[_LeafEV],Tasks[[#This Row],[_Row]]+Tasks[[#This Row],[_Descendants]])),Tasks[[#This Row],[_LeafEV]]))</f>
        <v/>
      </c>
      <c r="BQ182" s="111" t="str">
        <f aca="false">IF(Tasks[[#This Row],[Task Name]]="","",IF(Tasks[[#This Row],[_IsSummary]],SUM(INDEX(Tasks[_LeafBudget],Tasks[[#This Row],[_Row]]+1):INDEX(Tasks[_LeafBudget],Tasks[[#This Row],[_Row]]+Tasks[[#This Row],[_Descendants]])),Tasks[[#This Row],[_LeafBudget]]))</f>
        <v/>
      </c>
      <c r="BR182" s="111" t="str">
        <f aca="false">IF(Tasks[[#This Row],[Task Name]]="","",IF(Tasks[[#This Row],[_IsSummary]],SUM(INDEX(Tasks[_LeafPV],Tasks[[#This Row],[_Row]]+1):INDEX(Tasks[_LeafPV],Tasks[[#This Row],[_Row]]+Tasks[[#This Row],[_Descendants]])),Tasks[[#This Row],[_LeafPV]]))</f>
        <v/>
      </c>
      <c r="BS182" s="111" t="str">
        <f aca="false">IF(Tasks[[#This Row],[Task Name]]="","",IF(Tasks[[#This Row],[_IsSummary]],SUM(INDEX(Tasks[_LeafAC],Tasks[[#This Row],[_Row]]+1):INDEX(Tasks[_LeafAC],Tasks[[#This Row],[_Row]]+Tasks[[#This Row],[_Descendants]])),Tasks[[#This Row],[_LeafAC]]))</f>
        <v/>
      </c>
      <c r="BT182" s="38" t="str">
        <f aca="false">IF(Tasks[[#This Row],[Task Name]]="","",MAX(1,N(Tasks[[#This Row],[Level]])))</f>
        <v/>
      </c>
      <c r="BU182" s="38" t="n">
        <f aca="false">ROW()-ROW(Tasks[[#Headers],[ID]])</f>
        <v>177</v>
      </c>
      <c r="BV182" s="38" t="n">
        <f aca="false">IF(OR(Tasks[[#This Row],[Task Name]]="",Tasks[[#This Row],[_Level]]&lt;=1),0,IFERROR(LOOKUP(2,1/(Tasks[[#Headers],[_Level]]:Tasks[[#This Row],[_Level]]=Tasks[[#This Row],[_Level]]-1),ROW(Tasks[[#Headers],[_Level]]:Tasks[[#This Row],[_Level]])),0))</f>
        <v>0</v>
      </c>
      <c r="BW182" s="38" t="n">
        <f aca="false">IFERROR(N(INDEX(Tasks[_Level],Tasks[[#This Row],[_Row]]+1)),0)</f>
        <v>0</v>
      </c>
      <c r="BX182" s="114" t="b">
        <f aca="false">AND(Tasks[[#This Row],[Task Name]]&lt;&gt;"",Tasks[[#This Row],[_NextLevel]]&gt;Tasks[[#This Row],[_Level]])</f>
        <v>0</v>
      </c>
      <c r="BY182" s="38" t="n">
        <f aca="false">IF(Tasks[[#This Row],[_IsSummary]],COUNTIF(Tasks[WBS],Tasks[[#This Row],[WBS]]&amp;".*"),0)</f>
        <v>0</v>
      </c>
      <c r="BZ182" s="38" t="n">
        <f aca="false">IF(AND(Tasks[[#This Row],[Task Name]]&lt;&gt;"",NOT(Tasks[[#This Row],[_IsSummary]])),1,0)</f>
        <v>0</v>
      </c>
      <c r="CA182" s="38" t="n">
        <f aca="false">IF(N(Tasks[[#This Row],[Pred1 UID]])=0,0,IFERROR(MATCH(Tasks[[#This Row],[Pred1 UID]],Tasks[UID],0),-1))</f>
        <v>0</v>
      </c>
      <c r="CB182" s="38" t="n">
        <f aca="false">IF(N(Tasks[[#This Row],[Pred2 UID]])=0,0,IFERROR(MATCH(Tasks[[#This Row],[Pred2 UID]],Tasks[UID],0),-1))</f>
        <v>0</v>
      </c>
      <c r="CC182" s="38" t="n">
        <f aca="false">IF(N(Tasks[[#This Row],[Pred3 UID]])=0,0,IFERROR(MATCH(Tasks[[#This Row],[Pred3 UID]],Tasks[UID],0),-1))</f>
        <v>0</v>
      </c>
      <c r="CD182" s="38" t="n">
        <f aca="false">IF(N(Tasks[[#This Row],[Pred4 UID]])=0,0,IFERROR(MATCH(Tasks[[#This Row],[Pred4 UID]],Tasks[UID],0),-1))</f>
        <v>0</v>
      </c>
      <c r="CE18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2" s="115" t="n">
        <f aca="false">IF(OR(Tasks[[#This Row],[_ConstraintCode]]=2,Tasks[[#This Row],[_ConstraintCode]]=3,Tasks[[#This Row],[_ConstraintCode]]=4,Tasks[[#This Row],[_ConstraintCode]]=6),Tasks[[#This Row],[_ConstraintStart]],0)</f>
        <v>0</v>
      </c>
      <c r="CH182" s="115" t="n">
        <f aca="false">IF(OR(Tasks[[#This Row],[_ConstraintCode]]=2,Tasks[[#This Row],[_ConstraintCode]]=3,Tasks[[#This Row],[_ConstraintCode]]=5,Tasks[[#This Row],[_ConstraintCode]]=7),Tasks[[#This Row],[_ConstraintStart]],2958465)</f>
        <v>2958465</v>
      </c>
      <c r="CI18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2" s="115" t="str">
        <f aca="false">IF(NOT(Tasks[[#This Row],[_IsLeaf]]=1),"",IF(N(Tasks[[#This Row],[Duration]])&lt;=0,Tasks[[#This Row],[_LeafCalcStart]],WORKDAY.INTL(Tasks[[#This Row],[_LeafCalcStart]],Tasks[[#This Row],[Duration]]-1,WorkWeek,Holidays)))</f>
        <v/>
      </c>
      <c r="CK18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2" s="38" t="n">
        <f aca="false">IF(NOT(Tasks[[#This Row],[_IsLeaf]]=1),0,IF(N(Tasks[[#This Row],[Actual Finish]])&gt;0,1,MIN(1,N(Tasks[[#This Row],[% Complete]]))))</f>
        <v>0</v>
      </c>
      <c r="CN182" s="38" t="n">
        <f aca="false">IF(OR(NOT(Tasks[[#This Row],[_IsLeaf]]=1),Tasks[[#This Row],[Resource]]=""),0,N(Tasks[[#This Row],[Duration]])*HoursPerDay*IF(Tasks[[#This Row],[Units]]="",DefaultUnits,Tasks[[#This Row],[Units]]))</f>
        <v>0</v>
      </c>
      <c r="CO182" s="38" t="n">
        <f aca="false">IF(Tasks[[#This Row],[_LeafWork]]=0,0,Tasks[[#This Row],[_LeafWork]]*IFERROR(INDEX(res_Rate,MATCH(Tasks[[#This Row],[Resource]],res_Name,0)),0))</f>
        <v>0</v>
      </c>
      <c r="CP182" s="38" t="n">
        <f aca="false">Tasks[[#This Row],[_LeafWork]]+IF(Tasks[[#This Row],[_IsLeaf]]=1,SUMIFS(asg_Work,asg_TaskUID,Tasks[[#This Row],[UID]],asg_Valid,1),0)</f>
        <v>0</v>
      </c>
      <c r="CQ182" s="38" t="n">
        <f aca="false">Tasks[[#This Row],[_LeafCost]]+IF(Tasks[[#This Row],[_IsLeaf]]=1,SUMIFS(asg_Cost,asg_TaskUID,Tasks[[#This Row],[UID]],asg_Valid,1),0)</f>
        <v>0</v>
      </c>
      <c r="CR182" s="38" t="n">
        <f aca="false">IF(Tasks[[#This Row],[_LeafTotalCost]]=0,Tasks[[#This Row],[_LeafAC]],Tasks[[#This Row],[_LeafAC]]*Tasks[[#This Row],[_LeafCost]]/Tasks[[#This Row],[_LeafTotalCost]])</f>
        <v>0</v>
      </c>
      <c r="CS18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2" s="38" t="n">
        <f aca="false">IF(NOT(Tasks[[#This Row],[_IsLeaf]]=1),0,MAX(_xlfn.MAXIFS(Tasks[_Row],Tasks[Pred1 UID],Tasks[[#This Row],[UID]]),_xlfn.MAXIFS(Tasks[_Row],Tasks[Pred2 UID],Tasks[[#This Row],[UID]]),_xlfn.MAXIFS(Tasks[_Row],Tasks[Pred3 UID],Tasks[[#This Row],[UID]]),_xlfn.MAXIFS(Tasks[_Row],Tasks[Pred4 UID],Tasks[[#This Row],[UID]])))</f>
        <v>0</v>
      </c>
      <c r="DB18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2" s="115" t="str">
        <f aca="false">IF(NOT(Tasks[[#This Row],[_IsLeaf]]=1),"",IF(N(Tasks[[#This Row],[Duration]])&lt;=0,Tasks[[#This Row],[_LeafLateFinish]],WORKDAY.INTL(Tasks[[#This Row],[_LeafLateFinish]],-(Tasks[[#This Row],[Duration]]-1),WorkWeek,Holidays)))</f>
        <v/>
      </c>
      <c r="DE18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2" s="114" t="b">
        <f aca="false">AND(Tasks[[#This Row],[_IsLeaf]]=1,Tasks[[#This Row],[_LeafProgress]]&lt;1,N(Tasks[[#This Row],[_LeafTotalSlack]])&lt;=CriticalSlackDays)</f>
        <v>0</v>
      </c>
      <c r="DG182" s="38" t="n">
        <f aca="false">IF(AND(Tasks[[#This Row],[_IsLeaf]]=1,Tasks[[#This Row],[_ConstraintCode]]=1,Tasks[[#This Row],[Mode]]&lt;&gt;"Manual",N(Tasks[[#This Row],[Actual Start]])=0),MAX(0,N(Tasks[[#This Row],[Free Slack]])),0)</f>
        <v>0</v>
      </c>
      <c r="DH182" s="115" t="str">
        <f aca="false">IF(NOT(Tasks[[#This Row],[_IsLeaf]]=1),"",IF(Tasks[[#This Row],[_AlapShift]]=0,Tasks[[#This Row],[_LeafCalcStart]],WORKDAY.INTL(Tasks[[#This Row],[_LeafCalcStart]],Tasks[[#This Row],[_AlapShift]],WorkWeek,Holidays)))</f>
        <v/>
      </c>
      <c r="DI182" s="115" t="str">
        <f aca="false">IF(NOT(Tasks[[#This Row],[_IsLeaf]]=1),"",IF(Tasks[[#This Row],[_AlapShift]]=0,Tasks[[#This Row],[_LeafCalcFinish]],WORKDAY.INTL(Tasks[[#This Row],[_LeafCalcFinish]],Tasks[[#This Row],[_AlapShift]],WorkWeek,Holidays)))</f>
        <v/>
      </c>
      <c r="DJ182" s="115" t="str">
        <f aca="false">IF(NOT(Tasks[[#This Row],[_IsLeaf]]=1),"",IF(Tasks[[#This Row],[_AlapShift]]=0,Tasks[[#This Row],[_LeafFcstStart]],WORKDAY.INTL(Tasks[[#This Row],[_LeafFcstStart]],Tasks[[#This Row],[_AlapShift]],WorkWeek,Holidays)))</f>
        <v/>
      </c>
      <c r="DK182" s="115" t="str">
        <f aca="false">IF(NOT(Tasks[[#This Row],[_IsLeaf]]=1),"",IF(Tasks[[#This Row],[_AlapShift]]=0,Tasks[[#This Row],[_LeafFcstFinish]],WORKDAY.INTL(Tasks[[#This Row],[_LeafFcstFinish]],Tasks[[#This Row],[_AlapShift]],WorkWeek,Holidays)))</f>
        <v/>
      </c>
      <c r="DL182" s="115" t="str">
        <f aca="false">IF(Tasks[[#This Row],[Task Name]]="","",IF(Tasks[[#This Row],[_IsSummary]],MIN(INDEX(Tasks[_ShownCalcStart],Tasks[[#This Row],[_Row]]+1):INDEX(Tasks[_ShownCalcStart],Tasks[[#This Row],[_Row]]+Tasks[[#This Row],[_Descendants]])),Tasks[[#This Row],[_ShownCalcStart]]))</f>
        <v/>
      </c>
      <c r="DM182" s="115" t="str">
        <f aca="false">IF(Tasks[[#This Row],[Task Name]]="","",IF(Tasks[[#This Row],[_IsSummary]],MAX(INDEX(Tasks[_ShownCalcFinish],Tasks[[#This Row],[_Row]]+1):INDEX(Tasks[_ShownCalcFinish],Tasks[[#This Row],[_Row]]+Tasks[[#This Row],[_Descendants]])),Tasks[[#This Row],[_ShownCalcFinish]]))</f>
        <v/>
      </c>
      <c r="DN18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2" s="38" t="n">
        <f aca="false">IF(AND(Tasks[[#This Row],[_IsLeaf]]=1,Tasks[[#This Row],[_LeafTotalWork]]&gt;0),NETWORKDAYS.INTL(ProjectStart,Tasks[[#This Row],[_ShownFcstStart]],WorkWeek,Holidays),0)</f>
        <v>0</v>
      </c>
      <c r="EA182" s="38" t="n">
        <f aca="false">IF(AND(Tasks[[#This Row],[_IsLeaf]]=1,Tasks[[#This Row],[_LeafTotalWork]]&gt;0),MAX(Tasks[[#This Row],[_StartWorkday]],NETWORKDAYS.INTL(ProjectStart,Tasks[[#This Row],[_ShownFcstFinish]],WorkWeek,Holidays)),0)</f>
        <v>0</v>
      </c>
      <c r="EB182" s="38" t="n">
        <f aca="false">IF(AND(Tasks[[#This Row],[_IsLeaf]]=1,Tasks[[#This Row],[_LeafTotalWork]]&gt;0),Tasks[[#This Row],[_LeafWork]]/(Tasks[[#This Row],[_FinishWorkday]]-Tasks[[#This Row],[_StartWorkday]]+1),0)</f>
        <v>0</v>
      </c>
      <c r="EC182" s="38" t="n">
        <f aca="false">Tasks[[#This Row],[_WorkPerWorkday]]*(Tasks[[#This Row],[_StartWorkday]]-1)</f>
        <v>-0</v>
      </c>
      <c r="ED182" s="38" t="n">
        <f aca="false">IF(Tasks[[#This Row],[_IsLeaf]]=1,MAX(N(Tasks[[#This Row],[Duration]]),0.1),0)</f>
        <v>0</v>
      </c>
      <c r="EE182" s="38" t="n">
        <f aca="false">Tasks[[#This Row],[_WeightDur]]*Tasks[[#This Row],[_LeafProgress]]</f>
        <v>0</v>
      </c>
      <c r="EF18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2" s="38" t="str">
        <f aca="false">IF(AND(Tasks[[#This Row],[_IsLeaf]]=1,N(Tasks[[#This Row],[Duration]])=0,Tasks[[#This Row],[_LeafProgress]]&lt;1),Tasks[[#This Row],[_ShownFcstFinish]]+Tasks[[#This Row],[_Row]]/100000,"")</f>
        <v/>
      </c>
      <c r="EH18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2" s="38" t="n">
        <f aca="false">IF(NOT(Tasks[[#This Row],[_IsLeaf]]=1),0,IF(Tasks[[#This Row],[Baseline Cost]]="",Tasks[[#This Row],[_LeafTotalCost]],N(Tasks[[#This Row],[Baseline Cost]])))</f>
        <v>0</v>
      </c>
      <c r="EJ182" s="38" t="n">
        <f aca="false">Tasks[[#This Row],[_LeafBudget]]*Tasks[[#This Row],[_PlannedPct]]</f>
        <v>0</v>
      </c>
      <c r="EK182" s="38" t="n">
        <f aca="false">Tasks[[#This Row],[_LeafBudget]]*Tasks[[#This Row],[_LeafProgress]]</f>
        <v>0</v>
      </c>
      <c r="EL182" s="38" t="n">
        <f aca="false">IF(NOT(Tasks[[#This Row],[_IsLeaf]]=1),0,IF(Tasks[[#This Row],[Actual Cost]]="",Tasks[[#This Row],[_LeafTotalCost]]*Tasks[[#This Row],[_LeafProgress]],N(Tasks[[#This Row],[Actual Cost]])))</f>
        <v>0</v>
      </c>
      <c r="EM182" s="38" t="str">
        <f aca="false">IF(Tasks[[#This Row],[Task Name]]="","",LEFT(Tasks[[#This Row],[WBS]],FIND(".",Tasks[[#This Row],[WBS]]&amp;".")-1))</f>
        <v/>
      </c>
      <c r="EN182" s="38" t="str">
        <f aca="false">IF(AND(Tasks[[#This Row],[Task Name]]&lt;&gt;"",Tasks[[#This Row],[_Level]]=1),Tasks[[#This Row],[_Row]],"")</f>
        <v/>
      </c>
      <c r="EO182" s="38" t="str">
        <f aca="false">IF(AND(Tasks[[#This Row],[_IsLeaf]]=1,N(Tasks[[#This Row],[Duration]])=0),Tasks[[#This Row],[Planned Finish]]+Tasks[[#This Row],[_Row]]/100000,"")</f>
        <v/>
      </c>
      <c r="EP182" s="38" t="str">
        <f aca="false">IF(AND(Tasks[[#This Row],[_IsLeaf]]=1,Tasks[[#This Row],[_LeafProgress]]&lt;1,OR(N(Tasks[[#This Row],[Finish Var]])&gt;0,Tasks[[#This Row],[Status]]="Late Start")),MAX(0,Tasks[[#This Row],[Finish Var]])+1-Tasks[[#This Row],[_Row]]/1000000,"")</f>
        <v/>
      </c>
      <c r="EQ182" s="38" t="str">
        <f aca="false">IF(AND(Tasks[[#This Row],[_IsLeaf]]=1,N(Tasks[[#This Row],[Actual Start]])=0,Tasks[[#This Row],[_ShownFcstStart]]&gt;=StatusDate,Tasks[[#This Row],[_ShownFcstStart]]&lt;=LookaheadEnd),Tasks[[#This Row],[_ShownFcstStart]]+Tasks[[#This Row],[_Row]]/100000,"")</f>
        <v/>
      </c>
      <c r="ER182" s="38" t="str">
        <f aca="false">IF(AND(Tasks[[#This Row],[_IsLeaf]]=1,Tasks[[#This Row],[_LeafProgress]]&lt;1,Tasks[[#This Row],[_ShownFcstFinish]]&gt;=StatusDate,Tasks[[#This Row],[_ShownFcstFinish]]&lt;=LookaheadEnd),Tasks[[#This Row],[_ShownFcstFinish]]+Tasks[[#This Row],[_Row]]/100000,"")</f>
        <v/>
      </c>
      <c r="ES182" s="38" t="str">
        <f aca="false">IF(Tasks[[#This Row],[_LeafCritical]],Tasks[[#This Row],[_ShownFcstStart]]+Tasks[[#This Row],[_Row]]/100000,"")</f>
        <v/>
      </c>
      <c r="ET182" s="38" t="n">
        <f aca="false">Tasks[[#This Row],[_LeafWork]]*Tasks[[#This Row],[_LeafProgress]]</f>
        <v>0</v>
      </c>
      <c r="EU182" s="115" t="str">
        <f aca="false">IF(AND(Tasks[[#This Row],[_IsLeaf]]=1,Tasks[[#This Row],[_LeafProgress]]&gt;=1),IF(N(Tasks[[#This Row],[Actual Finish]])&gt;0,Tasks[[#This Row],[Actual Finish]],Tasks[[#This Row],[_ShownFcstFinish]]),"")</f>
        <v/>
      </c>
      <c r="EV182" s="38" t="n">
        <f aca="false">IF(Tasks[[#This Row],[_IsLeaf]]=1,N(Tasks[[#This Row],[Story Points]]),0)</f>
        <v>0</v>
      </c>
      <c r="EW182" s="38" t="str">
        <f aca="false">IF(AND(Tasks[[#This Row],[_IsLeaf]]=1,CurrentSprint&lt;&gt;"",Tasks[[#This Row],[Sprint]]=CurrentSprint),Tasks[[#This Row],[_Row]],"")</f>
        <v/>
      </c>
    </row>
    <row r="183" customFormat="false" ht="15" hidden="false" customHeight="false" outlineLevel="0" collapsed="false">
      <c r="A183" s="51" t="str">
        <f aca="false">IF(Tasks[[#This Row],[Task Name]]="","",COUNTA(Tasks[[#Headers],[Task Name]]:Tasks[[#This Row],[Task Name]])-1)</f>
        <v/>
      </c>
      <c r="B183" s="52" t="n">
        <v>178</v>
      </c>
      <c r="C18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52"/>
      <c r="E183" s="53"/>
      <c r="F183" s="52"/>
      <c r="G183" s="52"/>
      <c r="H183" s="52"/>
      <c r="I183" s="52"/>
      <c r="J183" s="52"/>
      <c r="K183" s="52"/>
      <c r="L183" s="52"/>
      <c r="M183" s="52"/>
      <c r="N183" s="52"/>
      <c r="O183" s="52"/>
      <c r="P183" s="52"/>
      <c r="Q183" s="52"/>
      <c r="R183" s="52"/>
      <c r="S183" s="53"/>
      <c r="T183" s="102"/>
      <c r="U183" s="102"/>
      <c r="V183" s="7"/>
      <c r="W183" s="7"/>
      <c r="X183" s="53"/>
      <c r="Y183" s="31" t="str">
        <f aca="false">IF(Tasks[[#This Row],[Task Name]]="","",IF(Tasks[[#This Row],[_IsSummary]],MIN(INDEX(Tasks[_ShownFcstStart],Tasks[[#This Row],[_Row]]+1):INDEX(Tasks[_ShownFcstStart],Tasks[[#This Row],[_Row]]+Tasks[[#This Row],[_Descendants]])),Tasks[[#This Row],[_ShownFcstStart]]))</f>
        <v/>
      </c>
      <c r="Z183" s="31" t="str">
        <f aca="false">IF(Tasks[[#This Row],[Task Name]]="","",IF(Tasks[[#This Row],[_IsSummary]],MAX(INDEX(Tasks[_ShownFcstFinish],Tasks[[#This Row],[_Row]]+1):INDEX(Tasks[_ShownFcstFinish],Tasks[[#This Row],[_Row]]+Tasks[[#This Row],[_Descendants]])),Tasks[[#This Row],[_ShownFcstFinish]]))</f>
        <v/>
      </c>
      <c r="AA183" s="51" t="str">
        <f aca="false">IF(Tasks[[#This Row],[Task Name]]="","",IF(Tasks[[#This Row],[Progress]]&gt;=1,"Complete",IF(OR(N(Tasks[[#This Row],[Actual Start]])&gt;0,Tasks[[#This Row],[Progress]]&gt;0),IF(Tasks[[#This Row],[Finish Var]]&gt;0,"Behind","In Progress"),IF(Tasks[[#This Row],[Planned Start]]&lt;StatusDate,"Late Start","Not Started"))))</f>
        <v/>
      </c>
      <c r="AB183" s="51" t="str">
        <f aca="false">IF(Tasks[[#This Row],[Task Name]]="","",IF(IF(Tasks[[#This Row],[_IsSummary]],COUNTIF(INDEX(Tasks[_LeafCritical],Tasks[[#This Row],[_Row]]+1):INDEX(Tasks[_LeafCritical],Tasks[[#This Row],[_Row]]+Tasks[[#This Row],[_Descendants]]),TRUE())&gt;0,Tasks[[#This Row],[_LeafCritical]]),"Yes",""))</f>
        <v/>
      </c>
      <c r="AC18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3" s="51" t="str">
        <f aca="false">IF(Tasks[[#This Row],[Task Name]]="","",IF(Tasks[[#This Row],[_Level]]&lt;=OutlineShowLevel,"Yes","No"))</f>
        <v/>
      </c>
      <c r="AE183" s="7"/>
      <c r="AF183" s="52"/>
      <c r="AG183" s="53"/>
      <c r="AH183" s="7"/>
      <c r="AI18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3" s="31" t="str">
        <f aca="false">IF(Tasks[[#This Row],[Task Name]]="","",IF(N(Tasks[[#This Row],[Baseline Start]])&gt;0,Tasks[[#This Row],[Baseline Start]],Tasks[[#This Row],[_CalcStart]]))</f>
        <v/>
      </c>
      <c r="AK183" s="31" t="str">
        <f aca="false">IF(Tasks[[#This Row],[Task Name]]="","",IF(N(Tasks[[#This Row],[Baseline Finish]])&gt;0,Tasks[[#This Row],[Baseline Finish]],Tasks[[#This Row],[_CalcFinish]]))</f>
        <v/>
      </c>
      <c r="AL18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3" s="31" t="str">
        <f aca="false">IF(Tasks[[#This Row],[Task Name]]="","",IF(Tasks[[#This Row],[_IsSummary]],MIN(INDEX(Tasks[_LeafLateStart],Tasks[[#This Row],[_Row]]+1):INDEX(Tasks[_LeafLateStart],Tasks[[#This Row],[_Row]]+Tasks[[#This Row],[_Descendants]])),Tasks[[#This Row],[_LeafLateStart]]))</f>
        <v/>
      </c>
      <c r="AN183" s="31" t="str">
        <f aca="false">IF(Tasks[[#This Row],[Task Name]]="","",IF(Tasks[[#This Row],[_IsSummary]],MAX(INDEX(Tasks[_LeafLateFinish],Tasks[[#This Row],[_Row]]+1):INDEX(Tasks[_LeafLateFinish],Tasks[[#This Row],[_Row]]+Tasks[[#This Row],[_Descendants]])),Tasks[[#This Row],[_LeafLateFinish]]))</f>
        <v/>
      </c>
      <c r="AO183" s="51" t="str">
        <f aca="false">IF(Tasks[[#This Row],[Task Name]]="","",IF(Tasks[[#This Row],[_IsSummary]],MIN(INDEX(Tasks[_LeafTotalSlack],Tasks[[#This Row],[_Row]]+1):INDEX(Tasks[_LeafTotalSlack],Tasks[[#This Row],[_Row]]+Tasks[[#This Row],[_Descendants]])),Tasks[[#This Row],[_LeafTotalSlack]]))</f>
        <v/>
      </c>
      <c r="AP18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3" s="110" t="str">
        <f aca="false">IF(Tasks[[#This Row],[Task Name]]="","",IF(Tasks[[#This Row],[_IsSummary]],SUM(INDEX(Tasks[_LeafTotalWork],Tasks[[#This Row],[_Row]]+1):INDEX(Tasks[_LeafTotalWork],Tasks[[#This Row],[_Row]]+Tasks[[#This Row],[_Descendants]])),Tasks[[#This Row],[_LeafTotalWork]]))</f>
        <v/>
      </c>
      <c r="AV18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3" s="111" t="str">
        <f aca="false">IF(Tasks[[#This Row],[Task Name]]="","",IF(Tasks[[#This Row],[_IsSummary]],SUM(INDEX(Tasks[_LeafTotalCost],Tasks[[#This Row],[_Row]]+1):INDEX(Tasks[_LeafTotalCost],Tasks[[#This Row],[_Row]]+Tasks[[#This Row],[_Descendants]])),Tasks[[#This Row],[_LeafTotalCost]]))</f>
        <v/>
      </c>
      <c r="AY183" s="112"/>
      <c r="AZ18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3" s="52"/>
      <c r="BB183" s="98"/>
      <c r="BC183" s="51" t="str">
        <f aca="false">IF(OR(Tasks[[#This Row],[Task Name]]="",Tasks[[#This Row],[Baseline Duration]]=""),"",Tasks[[#This Row],[BL Source Duration]]-N(Tasks[[#This Row],[Baseline Duration]]))</f>
        <v/>
      </c>
      <c r="BD183" s="110" t="str">
        <f aca="false">IF(OR(Tasks[[#This Row],[Task Name]]="",Tasks[[#This Row],[Baseline Work]]=""),"",Tasks[[#This Row],[Work]]-N(Tasks[[#This Row],[Baseline Work]]))</f>
        <v/>
      </c>
      <c r="BE183" s="111" t="str">
        <f aca="false">IF(OR(Tasks[[#This Row],[Task Name]]="",Tasks[[#This Row],[Baseline Cost]]=""),"",Tasks[[#This Row],[Cost]]-N(Tasks[[#This Row],[Baseline Cost]]))</f>
        <v/>
      </c>
      <c r="BF183" s="31" t="str">
        <f aca="false">IF(Tasks[[#This Row],[Task Name]]="","",Tasks[[#This Row],[Forecast Start]])</f>
        <v/>
      </c>
      <c r="BG183" s="31" t="str">
        <f aca="false">IF(Tasks[[#This Row],[Task Name]]="","",Tasks[[#This Row],[Forecast Finish]])</f>
        <v/>
      </c>
      <c r="BH183" s="51" t="str">
        <f aca="false">IF(Tasks[[#This Row],[Task Name]]="","",IF(Tasks[[#This Row],[_IsSummary]],NETWORKDAYS.INTL(Tasks[[#This Row],[Forecast Start]],Tasks[[#This Row],[Forecast Finish]],WorkWeek,Holidays),N(Tasks[[#This Row],[Duration]])))</f>
        <v/>
      </c>
      <c r="BI183" s="110" t="str">
        <f aca="false">IF(Tasks[[#This Row],[Task Name]]="","",Tasks[[#This Row],[Work]])</f>
        <v/>
      </c>
      <c r="BJ183" s="111" t="str">
        <f aca="false">IF(Tasks[[#This Row],[Task Name]]="","",Tasks[[#This Row],[Cost]])</f>
        <v/>
      </c>
      <c r="BK183" s="7"/>
      <c r="BL183" s="7"/>
      <c r="BM183" s="52"/>
      <c r="BN183" s="113"/>
      <c r="BO183" s="112"/>
      <c r="BP183" s="111" t="str">
        <f aca="false">IF(Tasks[[#This Row],[Task Name]]="","",IF(Tasks[[#This Row],[_IsSummary]],SUM(INDEX(Tasks[_LeafEV],Tasks[[#This Row],[_Row]]+1):INDEX(Tasks[_LeafEV],Tasks[[#This Row],[_Row]]+Tasks[[#This Row],[_Descendants]])),Tasks[[#This Row],[_LeafEV]]))</f>
        <v/>
      </c>
      <c r="BQ183" s="111" t="str">
        <f aca="false">IF(Tasks[[#This Row],[Task Name]]="","",IF(Tasks[[#This Row],[_IsSummary]],SUM(INDEX(Tasks[_LeafBudget],Tasks[[#This Row],[_Row]]+1):INDEX(Tasks[_LeafBudget],Tasks[[#This Row],[_Row]]+Tasks[[#This Row],[_Descendants]])),Tasks[[#This Row],[_LeafBudget]]))</f>
        <v/>
      </c>
      <c r="BR183" s="111" t="str">
        <f aca="false">IF(Tasks[[#This Row],[Task Name]]="","",IF(Tasks[[#This Row],[_IsSummary]],SUM(INDEX(Tasks[_LeafPV],Tasks[[#This Row],[_Row]]+1):INDEX(Tasks[_LeafPV],Tasks[[#This Row],[_Row]]+Tasks[[#This Row],[_Descendants]])),Tasks[[#This Row],[_LeafPV]]))</f>
        <v/>
      </c>
      <c r="BS183" s="111" t="str">
        <f aca="false">IF(Tasks[[#This Row],[Task Name]]="","",IF(Tasks[[#This Row],[_IsSummary]],SUM(INDEX(Tasks[_LeafAC],Tasks[[#This Row],[_Row]]+1):INDEX(Tasks[_LeafAC],Tasks[[#This Row],[_Row]]+Tasks[[#This Row],[_Descendants]])),Tasks[[#This Row],[_LeafAC]]))</f>
        <v/>
      </c>
      <c r="BT183" s="38" t="str">
        <f aca="false">IF(Tasks[[#This Row],[Task Name]]="","",MAX(1,N(Tasks[[#This Row],[Level]])))</f>
        <v/>
      </c>
      <c r="BU183" s="38" t="n">
        <f aca="false">ROW()-ROW(Tasks[[#Headers],[ID]])</f>
        <v>178</v>
      </c>
      <c r="BV183" s="38" t="n">
        <f aca="false">IF(OR(Tasks[[#This Row],[Task Name]]="",Tasks[[#This Row],[_Level]]&lt;=1),0,IFERROR(LOOKUP(2,1/(Tasks[[#Headers],[_Level]]:Tasks[[#This Row],[_Level]]=Tasks[[#This Row],[_Level]]-1),ROW(Tasks[[#Headers],[_Level]]:Tasks[[#This Row],[_Level]])),0))</f>
        <v>0</v>
      </c>
      <c r="BW183" s="38" t="n">
        <f aca="false">IFERROR(N(INDEX(Tasks[_Level],Tasks[[#This Row],[_Row]]+1)),0)</f>
        <v>0</v>
      </c>
      <c r="BX183" s="114" t="b">
        <f aca="false">AND(Tasks[[#This Row],[Task Name]]&lt;&gt;"",Tasks[[#This Row],[_NextLevel]]&gt;Tasks[[#This Row],[_Level]])</f>
        <v>0</v>
      </c>
      <c r="BY183" s="38" t="n">
        <f aca="false">IF(Tasks[[#This Row],[_IsSummary]],COUNTIF(Tasks[WBS],Tasks[[#This Row],[WBS]]&amp;".*"),0)</f>
        <v>0</v>
      </c>
      <c r="BZ183" s="38" t="n">
        <f aca="false">IF(AND(Tasks[[#This Row],[Task Name]]&lt;&gt;"",NOT(Tasks[[#This Row],[_IsSummary]])),1,0)</f>
        <v>0</v>
      </c>
      <c r="CA183" s="38" t="n">
        <f aca="false">IF(N(Tasks[[#This Row],[Pred1 UID]])=0,0,IFERROR(MATCH(Tasks[[#This Row],[Pred1 UID]],Tasks[UID],0),-1))</f>
        <v>0</v>
      </c>
      <c r="CB183" s="38" t="n">
        <f aca="false">IF(N(Tasks[[#This Row],[Pred2 UID]])=0,0,IFERROR(MATCH(Tasks[[#This Row],[Pred2 UID]],Tasks[UID],0),-1))</f>
        <v>0</v>
      </c>
      <c r="CC183" s="38" t="n">
        <f aca="false">IF(N(Tasks[[#This Row],[Pred3 UID]])=0,0,IFERROR(MATCH(Tasks[[#This Row],[Pred3 UID]],Tasks[UID],0),-1))</f>
        <v>0</v>
      </c>
      <c r="CD183" s="38" t="n">
        <f aca="false">IF(N(Tasks[[#This Row],[Pred4 UID]])=0,0,IFERROR(MATCH(Tasks[[#This Row],[Pred4 UID]],Tasks[UID],0),-1))</f>
        <v>0</v>
      </c>
      <c r="CE18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3" s="115" t="n">
        <f aca="false">IF(OR(Tasks[[#This Row],[_ConstraintCode]]=2,Tasks[[#This Row],[_ConstraintCode]]=3,Tasks[[#This Row],[_ConstraintCode]]=4,Tasks[[#This Row],[_ConstraintCode]]=6),Tasks[[#This Row],[_ConstraintStart]],0)</f>
        <v>0</v>
      </c>
      <c r="CH183" s="115" t="n">
        <f aca="false">IF(OR(Tasks[[#This Row],[_ConstraintCode]]=2,Tasks[[#This Row],[_ConstraintCode]]=3,Tasks[[#This Row],[_ConstraintCode]]=5,Tasks[[#This Row],[_ConstraintCode]]=7),Tasks[[#This Row],[_ConstraintStart]],2958465)</f>
        <v>2958465</v>
      </c>
      <c r="CI18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3" s="115" t="str">
        <f aca="false">IF(NOT(Tasks[[#This Row],[_IsLeaf]]=1),"",IF(N(Tasks[[#This Row],[Duration]])&lt;=0,Tasks[[#This Row],[_LeafCalcStart]],WORKDAY.INTL(Tasks[[#This Row],[_LeafCalcStart]],Tasks[[#This Row],[Duration]]-1,WorkWeek,Holidays)))</f>
        <v/>
      </c>
      <c r="CK18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3" s="38" t="n">
        <f aca="false">IF(NOT(Tasks[[#This Row],[_IsLeaf]]=1),0,IF(N(Tasks[[#This Row],[Actual Finish]])&gt;0,1,MIN(1,N(Tasks[[#This Row],[% Complete]]))))</f>
        <v>0</v>
      </c>
      <c r="CN183" s="38" t="n">
        <f aca="false">IF(OR(NOT(Tasks[[#This Row],[_IsLeaf]]=1),Tasks[[#This Row],[Resource]]=""),0,N(Tasks[[#This Row],[Duration]])*HoursPerDay*IF(Tasks[[#This Row],[Units]]="",DefaultUnits,Tasks[[#This Row],[Units]]))</f>
        <v>0</v>
      </c>
      <c r="CO183" s="38" t="n">
        <f aca="false">IF(Tasks[[#This Row],[_LeafWork]]=0,0,Tasks[[#This Row],[_LeafWork]]*IFERROR(INDEX(res_Rate,MATCH(Tasks[[#This Row],[Resource]],res_Name,0)),0))</f>
        <v>0</v>
      </c>
      <c r="CP183" s="38" t="n">
        <f aca="false">Tasks[[#This Row],[_LeafWork]]+IF(Tasks[[#This Row],[_IsLeaf]]=1,SUMIFS(asg_Work,asg_TaskUID,Tasks[[#This Row],[UID]],asg_Valid,1),0)</f>
        <v>0</v>
      </c>
      <c r="CQ183" s="38" t="n">
        <f aca="false">Tasks[[#This Row],[_LeafCost]]+IF(Tasks[[#This Row],[_IsLeaf]]=1,SUMIFS(asg_Cost,asg_TaskUID,Tasks[[#This Row],[UID]],asg_Valid,1),0)</f>
        <v>0</v>
      </c>
      <c r="CR183" s="38" t="n">
        <f aca="false">IF(Tasks[[#This Row],[_LeafTotalCost]]=0,Tasks[[#This Row],[_LeafAC]],Tasks[[#This Row],[_LeafAC]]*Tasks[[#This Row],[_LeafCost]]/Tasks[[#This Row],[_LeafTotalCost]])</f>
        <v>0</v>
      </c>
      <c r="CS18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3" s="38" t="n">
        <f aca="false">IF(NOT(Tasks[[#This Row],[_IsLeaf]]=1),0,MAX(_xlfn.MAXIFS(Tasks[_Row],Tasks[Pred1 UID],Tasks[[#This Row],[UID]]),_xlfn.MAXIFS(Tasks[_Row],Tasks[Pred2 UID],Tasks[[#This Row],[UID]]),_xlfn.MAXIFS(Tasks[_Row],Tasks[Pred3 UID],Tasks[[#This Row],[UID]]),_xlfn.MAXIFS(Tasks[_Row],Tasks[Pred4 UID],Tasks[[#This Row],[UID]])))</f>
        <v>0</v>
      </c>
      <c r="DB18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3" s="115" t="str">
        <f aca="false">IF(NOT(Tasks[[#This Row],[_IsLeaf]]=1),"",IF(N(Tasks[[#This Row],[Duration]])&lt;=0,Tasks[[#This Row],[_LeafLateFinish]],WORKDAY.INTL(Tasks[[#This Row],[_LeafLateFinish]],-(Tasks[[#This Row],[Duration]]-1),WorkWeek,Holidays)))</f>
        <v/>
      </c>
      <c r="DE18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3" s="114" t="b">
        <f aca="false">AND(Tasks[[#This Row],[_IsLeaf]]=1,Tasks[[#This Row],[_LeafProgress]]&lt;1,N(Tasks[[#This Row],[_LeafTotalSlack]])&lt;=CriticalSlackDays)</f>
        <v>0</v>
      </c>
      <c r="DG183" s="38" t="n">
        <f aca="false">IF(AND(Tasks[[#This Row],[_IsLeaf]]=1,Tasks[[#This Row],[_ConstraintCode]]=1,Tasks[[#This Row],[Mode]]&lt;&gt;"Manual",N(Tasks[[#This Row],[Actual Start]])=0),MAX(0,N(Tasks[[#This Row],[Free Slack]])),0)</f>
        <v>0</v>
      </c>
      <c r="DH183" s="115" t="str">
        <f aca="false">IF(NOT(Tasks[[#This Row],[_IsLeaf]]=1),"",IF(Tasks[[#This Row],[_AlapShift]]=0,Tasks[[#This Row],[_LeafCalcStart]],WORKDAY.INTL(Tasks[[#This Row],[_LeafCalcStart]],Tasks[[#This Row],[_AlapShift]],WorkWeek,Holidays)))</f>
        <v/>
      </c>
      <c r="DI183" s="115" t="str">
        <f aca="false">IF(NOT(Tasks[[#This Row],[_IsLeaf]]=1),"",IF(Tasks[[#This Row],[_AlapShift]]=0,Tasks[[#This Row],[_LeafCalcFinish]],WORKDAY.INTL(Tasks[[#This Row],[_LeafCalcFinish]],Tasks[[#This Row],[_AlapShift]],WorkWeek,Holidays)))</f>
        <v/>
      </c>
      <c r="DJ183" s="115" t="str">
        <f aca="false">IF(NOT(Tasks[[#This Row],[_IsLeaf]]=1),"",IF(Tasks[[#This Row],[_AlapShift]]=0,Tasks[[#This Row],[_LeafFcstStart]],WORKDAY.INTL(Tasks[[#This Row],[_LeafFcstStart]],Tasks[[#This Row],[_AlapShift]],WorkWeek,Holidays)))</f>
        <v/>
      </c>
      <c r="DK183" s="115" t="str">
        <f aca="false">IF(NOT(Tasks[[#This Row],[_IsLeaf]]=1),"",IF(Tasks[[#This Row],[_AlapShift]]=0,Tasks[[#This Row],[_LeafFcstFinish]],WORKDAY.INTL(Tasks[[#This Row],[_LeafFcstFinish]],Tasks[[#This Row],[_AlapShift]],WorkWeek,Holidays)))</f>
        <v/>
      </c>
      <c r="DL183" s="115" t="str">
        <f aca="false">IF(Tasks[[#This Row],[Task Name]]="","",IF(Tasks[[#This Row],[_IsSummary]],MIN(INDEX(Tasks[_ShownCalcStart],Tasks[[#This Row],[_Row]]+1):INDEX(Tasks[_ShownCalcStart],Tasks[[#This Row],[_Row]]+Tasks[[#This Row],[_Descendants]])),Tasks[[#This Row],[_ShownCalcStart]]))</f>
        <v/>
      </c>
      <c r="DM183" s="115" t="str">
        <f aca="false">IF(Tasks[[#This Row],[Task Name]]="","",IF(Tasks[[#This Row],[_IsSummary]],MAX(INDEX(Tasks[_ShownCalcFinish],Tasks[[#This Row],[_Row]]+1):INDEX(Tasks[_ShownCalcFinish],Tasks[[#This Row],[_Row]]+Tasks[[#This Row],[_Descendants]])),Tasks[[#This Row],[_ShownCalcFinish]]))</f>
        <v/>
      </c>
      <c r="DN18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3" s="38" t="n">
        <f aca="false">IF(AND(Tasks[[#This Row],[_IsLeaf]]=1,Tasks[[#This Row],[_LeafTotalWork]]&gt;0),NETWORKDAYS.INTL(ProjectStart,Tasks[[#This Row],[_ShownFcstStart]],WorkWeek,Holidays),0)</f>
        <v>0</v>
      </c>
      <c r="EA183" s="38" t="n">
        <f aca="false">IF(AND(Tasks[[#This Row],[_IsLeaf]]=1,Tasks[[#This Row],[_LeafTotalWork]]&gt;0),MAX(Tasks[[#This Row],[_StartWorkday]],NETWORKDAYS.INTL(ProjectStart,Tasks[[#This Row],[_ShownFcstFinish]],WorkWeek,Holidays)),0)</f>
        <v>0</v>
      </c>
      <c r="EB183" s="38" t="n">
        <f aca="false">IF(AND(Tasks[[#This Row],[_IsLeaf]]=1,Tasks[[#This Row],[_LeafTotalWork]]&gt;0),Tasks[[#This Row],[_LeafWork]]/(Tasks[[#This Row],[_FinishWorkday]]-Tasks[[#This Row],[_StartWorkday]]+1),0)</f>
        <v>0</v>
      </c>
      <c r="EC183" s="38" t="n">
        <f aca="false">Tasks[[#This Row],[_WorkPerWorkday]]*(Tasks[[#This Row],[_StartWorkday]]-1)</f>
        <v>-0</v>
      </c>
      <c r="ED183" s="38" t="n">
        <f aca="false">IF(Tasks[[#This Row],[_IsLeaf]]=1,MAX(N(Tasks[[#This Row],[Duration]]),0.1),0)</f>
        <v>0</v>
      </c>
      <c r="EE183" s="38" t="n">
        <f aca="false">Tasks[[#This Row],[_WeightDur]]*Tasks[[#This Row],[_LeafProgress]]</f>
        <v>0</v>
      </c>
      <c r="EF18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3" s="38" t="str">
        <f aca="false">IF(AND(Tasks[[#This Row],[_IsLeaf]]=1,N(Tasks[[#This Row],[Duration]])=0,Tasks[[#This Row],[_LeafProgress]]&lt;1),Tasks[[#This Row],[_ShownFcstFinish]]+Tasks[[#This Row],[_Row]]/100000,"")</f>
        <v/>
      </c>
      <c r="EH18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3" s="38" t="n">
        <f aca="false">IF(NOT(Tasks[[#This Row],[_IsLeaf]]=1),0,IF(Tasks[[#This Row],[Baseline Cost]]="",Tasks[[#This Row],[_LeafTotalCost]],N(Tasks[[#This Row],[Baseline Cost]])))</f>
        <v>0</v>
      </c>
      <c r="EJ183" s="38" t="n">
        <f aca="false">Tasks[[#This Row],[_LeafBudget]]*Tasks[[#This Row],[_PlannedPct]]</f>
        <v>0</v>
      </c>
      <c r="EK183" s="38" t="n">
        <f aca="false">Tasks[[#This Row],[_LeafBudget]]*Tasks[[#This Row],[_LeafProgress]]</f>
        <v>0</v>
      </c>
      <c r="EL183" s="38" t="n">
        <f aca="false">IF(NOT(Tasks[[#This Row],[_IsLeaf]]=1),0,IF(Tasks[[#This Row],[Actual Cost]]="",Tasks[[#This Row],[_LeafTotalCost]]*Tasks[[#This Row],[_LeafProgress]],N(Tasks[[#This Row],[Actual Cost]])))</f>
        <v>0</v>
      </c>
      <c r="EM183" s="38" t="str">
        <f aca="false">IF(Tasks[[#This Row],[Task Name]]="","",LEFT(Tasks[[#This Row],[WBS]],FIND(".",Tasks[[#This Row],[WBS]]&amp;".")-1))</f>
        <v/>
      </c>
      <c r="EN183" s="38" t="str">
        <f aca="false">IF(AND(Tasks[[#This Row],[Task Name]]&lt;&gt;"",Tasks[[#This Row],[_Level]]=1),Tasks[[#This Row],[_Row]],"")</f>
        <v/>
      </c>
      <c r="EO183" s="38" t="str">
        <f aca="false">IF(AND(Tasks[[#This Row],[_IsLeaf]]=1,N(Tasks[[#This Row],[Duration]])=0),Tasks[[#This Row],[Planned Finish]]+Tasks[[#This Row],[_Row]]/100000,"")</f>
        <v/>
      </c>
      <c r="EP183" s="38" t="str">
        <f aca="false">IF(AND(Tasks[[#This Row],[_IsLeaf]]=1,Tasks[[#This Row],[_LeafProgress]]&lt;1,OR(N(Tasks[[#This Row],[Finish Var]])&gt;0,Tasks[[#This Row],[Status]]="Late Start")),MAX(0,Tasks[[#This Row],[Finish Var]])+1-Tasks[[#This Row],[_Row]]/1000000,"")</f>
        <v/>
      </c>
      <c r="EQ183" s="38" t="str">
        <f aca="false">IF(AND(Tasks[[#This Row],[_IsLeaf]]=1,N(Tasks[[#This Row],[Actual Start]])=0,Tasks[[#This Row],[_ShownFcstStart]]&gt;=StatusDate,Tasks[[#This Row],[_ShownFcstStart]]&lt;=LookaheadEnd),Tasks[[#This Row],[_ShownFcstStart]]+Tasks[[#This Row],[_Row]]/100000,"")</f>
        <v/>
      </c>
      <c r="ER183" s="38" t="str">
        <f aca="false">IF(AND(Tasks[[#This Row],[_IsLeaf]]=1,Tasks[[#This Row],[_LeafProgress]]&lt;1,Tasks[[#This Row],[_ShownFcstFinish]]&gt;=StatusDate,Tasks[[#This Row],[_ShownFcstFinish]]&lt;=LookaheadEnd),Tasks[[#This Row],[_ShownFcstFinish]]+Tasks[[#This Row],[_Row]]/100000,"")</f>
        <v/>
      </c>
      <c r="ES183" s="38" t="str">
        <f aca="false">IF(Tasks[[#This Row],[_LeafCritical]],Tasks[[#This Row],[_ShownFcstStart]]+Tasks[[#This Row],[_Row]]/100000,"")</f>
        <v/>
      </c>
      <c r="ET183" s="38" t="n">
        <f aca="false">Tasks[[#This Row],[_LeafWork]]*Tasks[[#This Row],[_LeafProgress]]</f>
        <v>0</v>
      </c>
      <c r="EU183" s="115" t="str">
        <f aca="false">IF(AND(Tasks[[#This Row],[_IsLeaf]]=1,Tasks[[#This Row],[_LeafProgress]]&gt;=1),IF(N(Tasks[[#This Row],[Actual Finish]])&gt;0,Tasks[[#This Row],[Actual Finish]],Tasks[[#This Row],[_ShownFcstFinish]]),"")</f>
        <v/>
      </c>
      <c r="EV183" s="38" t="n">
        <f aca="false">IF(Tasks[[#This Row],[_IsLeaf]]=1,N(Tasks[[#This Row],[Story Points]]),0)</f>
        <v>0</v>
      </c>
      <c r="EW183" s="38" t="str">
        <f aca="false">IF(AND(Tasks[[#This Row],[_IsLeaf]]=1,CurrentSprint&lt;&gt;"",Tasks[[#This Row],[Sprint]]=CurrentSprint),Tasks[[#This Row],[_Row]],"")</f>
        <v/>
      </c>
    </row>
    <row r="184" customFormat="false" ht="15" hidden="false" customHeight="false" outlineLevel="0" collapsed="false">
      <c r="A184" s="51" t="str">
        <f aca="false">IF(Tasks[[#This Row],[Task Name]]="","",COUNTA(Tasks[[#Headers],[Task Name]]:Tasks[[#This Row],[Task Name]])-1)</f>
        <v/>
      </c>
      <c r="B184" s="52" t="n">
        <v>179</v>
      </c>
      <c r="C18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52"/>
      <c r="E184" s="53"/>
      <c r="F184" s="52"/>
      <c r="G184" s="52"/>
      <c r="H184" s="52"/>
      <c r="I184" s="52"/>
      <c r="J184" s="52"/>
      <c r="K184" s="52"/>
      <c r="L184" s="52"/>
      <c r="M184" s="52"/>
      <c r="N184" s="52"/>
      <c r="O184" s="52"/>
      <c r="P184" s="52"/>
      <c r="Q184" s="52"/>
      <c r="R184" s="52"/>
      <c r="S184" s="53"/>
      <c r="T184" s="102"/>
      <c r="U184" s="102"/>
      <c r="V184" s="7"/>
      <c r="W184" s="7"/>
      <c r="X184" s="53"/>
      <c r="Y184" s="31" t="str">
        <f aca="false">IF(Tasks[[#This Row],[Task Name]]="","",IF(Tasks[[#This Row],[_IsSummary]],MIN(INDEX(Tasks[_ShownFcstStart],Tasks[[#This Row],[_Row]]+1):INDEX(Tasks[_ShownFcstStart],Tasks[[#This Row],[_Row]]+Tasks[[#This Row],[_Descendants]])),Tasks[[#This Row],[_ShownFcstStart]]))</f>
        <v/>
      </c>
      <c r="Z184" s="31" t="str">
        <f aca="false">IF(Tasks[[#This Row],[Task Name]]="","",IF(Tasks[[#This Row],[_IsSummary]],MAX(INDEX(Tasks[_ShownFcstFinish],Tasks[[#This Row],[_Row]]+1):INDEX(Tasks[_ShownFcstFinish],Tasks[[#This Row],[_Row]]+Tasks[[#This Row],[_Descendants]])),Tasks[[#This Row],[_ShownFcstFinish]]))</f>
        <v/>
      </c>
      <c r="AA184" s="51" t="str">
        <f aca="false">IF(Tasks[[#This Row],[Task Name]]="","",IF(Tasks[[#This Row],[Progress]]&gt;=1,"Complete",IF(OR(N(Tasks[[#This Row],[Actual Start]])&gt;0,Tasks[[#This Row],[Progress]]&gt;0),IF(Tasks[[#This Row],[Finish Var]]&gt;0,"Behind","In Progress"),IF(Tasks[[#This Row],[Planned Start]]&lt;StatusDate,"Late Start","Not Started"))))</f>
        <v/>
      </c>
      <c r="AB184" s="51" t="str">
        <f aca="false">IF(Tasks[[#This Row],[Task Name]]="","",IF(IF(Tasks[[#This Row],[_IsSummary]],COUNTIF(INDEX(Tasks[_LeafCritical],Tasks[[#This Row],[_Row]]+1):INDEX(Tasks[_LeafCritical],Tasks[[#This Row],[_Row]]+Tasks[[#This Row],[_Descendants]]),TRUE())&gt;0,Tasks[[#This Row],[_LeafCritical]]),"Yes",""))</f>
        <v/>
      </c>
      <c r="AC18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4" s="51" t="str">
        <f aca="false">IF(Tasks[[#This Row],[Task Name]]="","",IF(Tasks[[#This Row],[_Level]]&lt;=OutlineShowLevel,"Yes","No"))</f>
        <v/>
      </c>
      <c r="AE184" s="7"/>
      <c r="AF184" s="52"/>
      <c r="AG184" s="53"/>
      <c r="AH184" s="7"/>
      <c r="AI18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4" s="31" t="str">
        <f aca="false">IF(Tasks[[#This Row],[Task Name]]="","",IF(N(Tasks[[#This Row],[Baseline Start]])&gt;0,Tasks[[#This Row],[Baseline Start]],Tasks[[#This Row],[_CalcStart]]))</f>
        <v/>
      </c>
      <c r="AK184" s="31" t="str">
        <f aca="false">IF(Tasks[[#This Row],[Task Name]]="","",IF(N(Tasks[[#This Row],[Baseline Finish]])&gt;0,Tasks[[#This Row],[Baseline Finish]],Tasks[[#This Row],[_CalcFinish]]))</f>
        <v/>
      </c>
      <c r="AL18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4" s="31" t="str">
        <f aca="false">IF(Tasks[[#This Row],[Task Name]]="","",IF(Tasks[[#This Row],[_IsSummary]],MIN(INDEX(Tasks[_LeafLateStart],Tasks[[#This Row],[_Row]]+1):INDEX(Tasks[_LeafLateStart],Tasks[[#This Row],[_Row]]+Tasks[[#This Row],[_Descendants]])),Tasks[[#This Row],[_LeafLateStart]]))</f>
        <v/>
      </c>
      <c r="AN184" s="31" t="str">
        <f aca="false">IF(Tasks[[#This Row],[Task Name]]="","",IF(Tasks[[#This Row],[_IsSummary]],MAX(INDEX(Tasks[_LeafLateFinish],Tasks[[#This Row],[_Row]]+1):INDEX(Tasks[_LeafLateFinish],Tasks[[#This Row],[_Row]]+Tasks[[#This Row],[_Descendants]])),Tasks[[#This Row],[_LeafLateFinish]]))</f>
        <v/>
      </c>
      <c r="AO184" s="51" t="str">
        <f aca="false">IF(Tasks[[#This Row],[Task Name]]="","",IF(Tasks[[#This Row],[_IsSummary]],MIN(INDEX(Tasks[_LeafTotalSlack],Tasks[[#This Row],[_Row]]+1):INDEX(Tasks[_LeafTotalSlack],Tasks[[#This Row],[_Row]]+Tasks[[#This Row],[_Descendants]])),Tasks[[#This Row],[_LeafTotalSlack]]))</f>
        <v/>
      </c>
      <c r="AP18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4" s="110" t="str">
        <f aca="false">IF(Tasks[[#This Row],[Task Name]]="","",IF(Tasks[[#This Row],[_IsSummary]],SUM(INDEX(Tasks[_LeafTotalWork],Tasks[[#This Row],[_Row]]+1):INDEX(Tasks[_LeafTotalWork],Tasks[[#This Row],[_Row]]+Tasks[[#This Row],[_Descendants]])),Tasks[[#This Row],[_LeafTotalWork]]))</f>
        <v/>
      </c>
      <c r="AV18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4" s="111" t="str">
        <f aca="false">IF(Tasks[[#This Row],[Task Name]]="","",IF(Tasks[[#This Row],[_IsSummary]],SUM(INDEX(Tasks[_LeafTotalCost],Tasks[[#This Row],[_Row]]+1):INDEX(Tasks[_LeafTotalCost],Tasks[[#This Row],[_Row]]+Tasks[[#This Row],[_Descendants]])),Tasks[[#This Row],[_LeafTotalCost]]))</f>
        <v/>
      </c>
      <c r="AY184" s="112"/>
      <c r="AZ18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4" s="52"/>
      <c r="BB184" s="98"/>
      <c r="BC184" s="51" t="str">
        <f aca="false">IF(OR(Tasks[[#This Row],[Task Name]]="",Tasks[[#This Row],[Baseline Duration]]=""),"",Tasks[[#This Row],[BL Source Duration]]-N(Tasks[[#This Row],[Baseline Duration]]))</f>
        <v/>
      </c>
      <c r="BD184" s="110" t="str">
        <f aca="false">IF(OR(Tasks[[#This Row],[Task Name]]="",Tasks[[#This Row],[Baseline Work]]=""),"",Tasks[[#This Row],[Work]]-N(Tasks[[#This Row],[Baseline Work]]))</f>
        <v/>
      </c>
      <c r="BE184" s="111" t="str">
        <f aca="false">IF(OR(Tasks[[#This Row],[Task Name]]="",Tasks[[#This Row],[Baseline Cost]]=""),"",Tasks[[#This Row],[Cost]]-N(Tasks[[#This Row],[Baseline Cost]]))</f>
        <v/>
      </c>
      <c r="BF184" s="31" t="str">
        <f aca="false">IF(Tasks[[#This Row],[Task Name]]="","",Tasks[[#This Row],[Forecast Start]])</f>
        <v/>
      </c>
      <c r="BG184" s="31" t="str">
        <f aca="false">IF(Tasks[[#This Row],[Task Name]]="","",Tasks[[#This Row],[Forecast Finish]])</f>
        <v/>
      </c>
      <c r="BH184" s="51" t="str">
        <f aca="false">IF(Tasks[[#This Row],[Task Name]]="","",IF(Tasks[[#This Row],[_IsSummary]],NETWORKDAYS.INTL(Tasks[[#This Row],[Forecast Start]],Tasks[[#This Row],[Forecast Finish]],WorkWeek,Holidays),N(Tasks[[#This Row],[Duration]])))</f>
        <v/>
      </c>
      <c r="BI184" s="110" t="str">
        <f aca="false">IF(Tasks[[#This Row],[Task Name]]="","",Tasks[[#This Row],[Work]])</f>
        <v/>
      </c>
      <c r="BJ184" s="111" t="str">
        <f aca="false">IF(Tasks[[#This Row],[Task Name]]="","",Tasks[[#This Row],[Cost]])</f>
        <v/>
      </c>
      <c r="BK184" s="7"/>
      <c r="BL184" s="7"/>
      <c r="BM184" s="52"/>
      <c r="BN184" s="113"/>
      <c r="BO184" s="112"/>
      <c r="BP184" s="111" t="str">
        <f aca="false">IF(Tasks[[#This Row],[Task Name]]="","",IF(Tasks[[#This Row],[_IsSummary]],SUM(INDEX(Tasks[_LeafEV],Tasks[[#This Row],[_Row]]+1):INDEX(Tasks[_LeafEV],Tasks[[#This Row],[_Row]]+Tasks[[#This Row],[_Descendants]])),Tasks[[#This Row],[_LeafEV]]))</f>
        <v/>
      </c>
      <c r="BQ184" s="111" t="str">
        <f aca="false">IF(Tasks[[#This Row],[Task Name]]="","",IF(Tasks[[#This Row],[_IsSummary]],SUM(INDEX(Tasks[_LeafBudget],Tasks[[#This Row],[_Row]]+1):INDEX(Tasks[_LeafBudget],Tasks[[#This Row],[_Row]]+Tasks[[#This Row],[_Descendants]])),Tasks[[#This Row],[_LeafBudget]]))</f>
        <v/>
      </c>
      <c r="BR184" s="111" t="str">
        <f aca="false">IF(Tasks[[#This Row],[Task Name]]="","",IF(Tasks[[#This Row],[_IsSummary]],SUM(INDEX(Tasks[_LeafPV],Tasks[[#This Row],[_Row]]+1):INDEX(Tasks[_LeafPV],Tasks[[#This Row],[_Row]]+Tasks[[#This Row],[_Descendants]])),Tasks[[#This Row],[_LeafPV]]))</f>
        <v/>
      </c>
      <c r="BS184" s="111" t="str">
        <f aca="false">IF(Tasks[[#This Row],[Task Name]]="","",IF(Tasks[[#This Row],[_IsSummary]],SUM(INDEX(Tasks[_LeafAC],Tasks[[#This Row],[_Row]]+1):INDEX(Tasks[_LeafAC],Tasks[[#This Row],[_Row]]+Tasks[[#This Row],[_Descendants]])),Tasks[[#This Row],[_LeafAC]]))</f>
        <v/>
      </c>
      <c r="BT184" s="38" t="str">
        <f aca="false">IF(Tasks[[#This Row],[Task Name]]="","",MAX(1,N(Tasks[[#This Row],[Level]])))</f>
        <v/>
      </c>
      <c r="BU184" s="38" t="n">
        <f aca="false">ROW()-ROW(Tasks[[#Headers],[ID]])</f>
        <v>179</v>
      </c>
      <c r="BV184" s="38" t="n">
        <f aca="false">IF(OR(Tasks[[#This Row],[Task Name]]="",Tasks[[#This Row],[_Level]]&lt;=1),0,IFERROR(LOOKUP(2,1/(Tasks[[#Headers],[_Level]]:Tasks[[#This Row],[_Level]]=Tasks[[#This Row],[_Level]]-1),ROW(Tasks[[#Headers],[_Level]]:Tasks[[#This Row],[_Level]])),0))</f>
        <v>0</v>
      </c>
      <c r="BW184" s="38" t="n">
        <f aca="false">IFERROR(N(INDEX(Tasks[_Level],Tasks[[#This Row],[_Row]]+1)),0)</f>
        <v>0</v>
      </c>
      <c r="BX184" s="114" t="b">
        <f aca="false">AND(Tasks[[#This Row],[Task Name]]&lt;&gt;"",Tasks[[#This Row],[_NextLevel]]&gt;Tasks[[#This Row],[_Level]])</f>
        <v>0</v>
      </c>
      <c r="BY184" s="38" t="n">
        <f aca="false">IF(Tasks[[#This Row],[_IsSummary]],COUNTIF(Tasks[WBS],Tasks[[#This Row],[WBS]]&amp;".*"),0)</f>
        <v>0</v>
      </c>
      <c r="BZ184" s="38" t="n">
        <f aca="false">IF(AND(Tasks[[#This Row],[Task Name]]&lt;&gt;"",NOT(Tasks[[#This Row],[_IsSummary]])),1,0)</f>
        <v>0</v>
      </c>
      <c r="CA184" s="38" t="n">
        <f aca="false">IF(N(Tasks[[#This Row],[Pred1 UID]])=0,0,IFERROR(MATCH(Tasks[[#This Row],[Pred1 UID]],Tasks[UID],0),-1))</f>
        <v>0</v>
      </c>
      <c r="CB184" s="38" t="n">
        <f aca="false">IF(N(Tasks[[#This Row],[Pred2 UID]])=0,0,IFERROR(MATCH(Tasks[[#This Row],[Pred2 UID]],Tasks[UID],0),-1))</f>
        <v>0</v>
      </c>
      <c r="CC184" s="38" t="n">
        <f aca="false">IF(N(Tasks[[#This Row],[Pred3 UID]])=0,0,IFERROR(MATCH(Tasks[[#This Row],[Pred3 UID]],Tasks[UID],0),-1))</f>
        <v>0</v>
      </c>
      <c r="CD184" s="38" t="n">
        <f aca="false">IF(N(Tasks[[#This Row],[Pred4 UID]])=0,0,IFERROR(MATCH(Tasks[[#This Row],[Pred4 UID]],Tasks[UID],0),-1))</f>
        <v>0</v>
      </c>
      <c r="CE18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4" s="115" t="n">
        <f aca="false">IF(OR(Tasks[[#This Row],[_ConstraintCode]]=2,Tasks[[#This Row],[_ConstraintCode]]=3,Tasks[[#This Row],[_ConstraintCode]]=4,Tasks[[#This Row],[_ConstraintCode]]=6),Tasks[[#This Row],[_ConstraintStart]],0)</f>
        <v>0</v>
      </c>
      <c r="CH184" s="115" t="n">
        <f aca="false">IF(OR(Tasks[[#This Row],[_ConstraintCode]]=2,Tasks[[#This Row],[_ConstraintCode]]=3,Tasks[[#This Row],[_ConstraintCode]]=5,Tasks[[#This Row],[_ConstraintCode]]=7),Tasks[[#This Row],[_ConstraintStart]],2958465)</f>
        <v>2958465</v>
      </c>
      <c r="CI18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4" s="115" t="str">
        <f aca="false">IF(NOT(Tasks[[#This Row],[_IsLeaf]]=1),"",IF(N(Tasks[[#This Row],[Duration]])&lt;=0,Tasks[[#This Row],[_LeafCalcStart]],WORKDAY.INTL(Tasks[[#This Row],[_LeafCalcStart]],Tasks[[#This Row],[Duration]]-1,WorkWeek,Holidays)))</f>
        <v/>
      </c>
      <c r="CK18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4" s="38" t="n">
        <f aca="false">IF(NOT(Tasks[[#This Row],[_IsLeaf]]=1),0,IF(N(Tasks[[#This Row],[Actual Finish]])&gt;0,1,MIN(1,N(Tasks[[#This Row],[% Complete]]))))</f>
        <v>0</v>
      </c>
      <c r="CN184" s="38" t="n">
        <f aca="false">IF(OR(NOT(Tasks[[#This Row],[_IsLeaf]]=1),Tasks[[#This Row],[Resource]]=""),0,N(Tasks[[#This Row],[Duration]])*HoursPerDay*IF(Tasks[[#This Row],[Units]]="",DefaultUnits,Tasks[[#This Row],[Units]]))</f>
        <v>0</v>
      </c>
      <c r="CO184" s="38" t="n">
        <f aca="false">IF(Tasks[[#This Row],[_LeafWork]]=0,0,Tasks[[#This Row],[_LeafWork]]*IFERROR(INDEX(res_Rate,MATCH(Tasks[[#This Row],[Resource]],res_Name,0)),0))</f>
        <v>0</v>
      </c>
      <c r="CP184" s="38" t="n">
        <f aca="false">Tasks[[#This Row],[_LeafWork]]+IF(Tasks[[#This Row],[_IsLeaf]]=1,SUMIFS(asg_Work,asg_TaskUID,Tasks[[#This Row],[UID]],asg_Valid,1),0)</f>
        <v>0</v>
      </c>
      <c r="CQ184" s="38" t="n">
        <f aca="false">Tasks[[#This Row],[_LeafCost]]+IF(Tasks[[#This Row],[_IsLeaf]]=1,SUMIFS(asg_Cost,asg_TaskUID,Tasks[[#This Row],[UID]],asg_Valid,1),0)</f>
        <v>0</v>
      </c>
      <c r="CR184" s="38" t="n">
        <f aca="false">IF(Tasks[[#This Row],[_LeafTotalCost]]=0,Tasks[[#This Row],[_LeafAC]],Tasks[[#This Row],[_LeafAC]]*Tasks[[#This Row],[_LeafCost]]/Tasks[[#This Row],[_LeafTotalCost]])</f>
        <v>0</v>
      </c>
      <c r="CS18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4" s="38" t="n">
        <f aca="false">IF(NOT(Tasks[[#This Row],[_IsLeaf]]=1),0,MAX(_xlfn.MAXIFS(Tasks[_Row],Tasks[Pred1 UID],Tasks[[#This Row],[UID]]),_xlfn.MAXIFS(Tasks[_Row],Tasks[Pred2 UID],Tasks[[#This Row],[UID]]),_xlfn.MAXIFS(Tasks[_Row],Tasks[Pred3 UID],Tasks[[#This Row],[UID]]),_xlfn.MAXIFS(Tasks[_Row],Tasks[Pred4 UID],Tasks[[#This Row],[UID]])))</f>
        <v>0</v>
      </c>
      <c r="DB18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4" s="115" t="str">
        <f aca="false">IF(NOT(Tasks[[#This Row],[_IsLeaf]]=1),"",IF(N(Tasks[[#This Row],[Duration]])&lt;=0,Tasks[[#This Row],[_LeafLateFinish]],WORKDAY.INTL(Tasks[[#This Row],[_LeafLateFinish]],-(Tasks[[#This Row],[Duration]]-1),WorkWeek,Holidays)))</f>
        <v/>
      </c>
      <c r="DE18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4" s="114" t="b">
        <f aca="false">AND(Tasks[[#This Row],[_IsLeaf]]=1,Tasks[[#This Row],[_LeafProgress]]&lt;1,N(Tasks[[#This Row],[_LeafTotalSlack]])&lt;=CriticalSlackDays)</f>
        <v>0</v>
      </c>
      <c r="DG184" s="38" t="n">
        <f aca="false">IF(AND(Tasks[[#This Row],[_IsLeaf]]=1,Tasks[[#This Row],[_ConstraintCode]]=1,Tasks[[#This Row],[Mode]]&lt;&gt;"Manual",N(Tasks[[#This Row],[Actual Start]])=0),MAX(0,N(Tasks[[#This Row],[Free Slack]])),0)</f>
        <v>0</v>
      </c>
      <c r="DH184" s="115" t="str">
        <f aca="false">IF(NOT(Tasks[[#This Row],[_IsLeaf]]=1),"",IF(Tasks[[#This Row],[_AlapShift]]=0,Tasks[[#This Row],[_LeafCalcStart]],WORKDAY.INTL(Tasks[[#This Row],[_LeafCalcStart]],Tasks[[#This Row],[_AlapShift]],WorkWeek,Holidays)))</f>
        <v/>
      </c>
      <c r="DI184" s="115" t="str">
        <f aca="false">IF(NOT(Tasks[[#This Row],[_IsLeaf]]=1),"",IF(Tasks[[#This Row],[_AlapShift]]=0,Tasks[[#This Row],[_LeafCalcFinish]],WORKDAY.INTL(Tasks[[#This Row],[_LeafCalcFinish]],Tasks[[#This Row],[_AlapShift]],WorkWeek,Holidays)))</f>
        <v/>
      </c>
      <c r="DJ184" s="115" t="str">
        <f aca="false">IF(NOT(Tasks[[#This Row],[_IsLeaf]]=1),"",IF(Tasks[[#This Row],[_AlapShift]]=0,Tasks[[#This Row],[_LeafFcstStart]],WORKDAY.INTL(Tasks[[#This Row],[_LeafFcstStart]],Tasks[[#This Row],[_AlapShift]],WorkWeek,Holidays)))</f>
        <v/>
      </c>
      <c r="DK184" s="115" t="str">
        <f aca="false">IF(NOT(Tasks[[#This Row],[_IsLeaf]]=1),"",IF(Tasks[[#This Row],[_AlapShift]]=0,Tasks[[#This Row],[_LeafFcstFinish]],WORKDAY.INTL(Tasks[[#This Row],[_LeafFcstFinish]],Tasks[[#This Row],[_AlapShift]],WorkWeek,Holidays)))</f>
        <v/>
      </c>
      <c r="DL184" s="115" t="str">
        <f aca="false">IF(Tasks[[#This Row],[Task Name]]="","",IF(Tasks[[#This Row],[_IsSummary]],MIN(INDEX(Tasks[_ShownCalcStart],Tasks[[#This Row],[_Row]]+1):INDEX(Tasks[_ShownCalcStart],Tasks[[#This Row],[_Row]]+Tasks[[#This Row],[_Descendants]])),Tasks[[#This Row],[_ShownCalcStart]]))</f>
        <v/>
      </c>
      <c r="DM184" s="115" t="str">
        <f aca="false">IF(Tasks[[#This Row],[Task Name]]="","",IF(Tasks[[#This Row],[_IsSummary]],MAX(INDEX(Tasks[_ShownCalcFinish],Tasks[[#This Row],[_Row]]+1):INDEX(Tasks[_ShownCalcFinish],Tasks[[#This Row],[_Row]]+Tasks[[#This Row],[_Descendants]])),Tasks[[#This Row],[_ShownCalcFinish]]))</f>
        <v/>
      </c>
      <c r="DN18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4" s="38" t="n">
        <f aca="false">IF(AND(Tasks[[#This Row],[_IsLeaf]]=1,Tasks[[#This Row],[_LeafTotalWork]]&gt;0),NETWORKDAYS.INTL(ProjectStart,Tasks[[#This Row],[_ShownFcstStart]],WorkWeek,Holidays),0)</f>
        <v>0</v>
      </c>
      <c r="EA184" s="38" t="n">
        <f aca="false">IF(AND(Tasks[[#This Row],[_IsLeaf]]=1,Tasks[[#This Row],[_LeafTotalWork]]&gt;0),MAX(Tasks[[#This Row],[_StartWorkday]],NETWORKDAYS.INTL(ProjectStart,Tasks[[#This Row],[_ShownFcstFinish]],WorkWeek,Holidays)),0)</f>
        <v>0</v>
      </c>
      <c r="EB184" s="38" t="n">
        <f aca="false">IF(AND(Tasks[[#This Row],[_IsLeaf]]=1,Tasks[[#This Row],[_LeafTotalWork]]&gt;0),Tasks[[#This Row],[_LeafWork]]/(Tasks[[#This Row],[_FinishWorkday]]-Tasks[[#This Row],[_StartWorkday]]+1),0)</f>
        <v>0</v>
      </c>
      <c r="EC184" s="38" t="n">
        <f aca="false">Tasks[[#This Row],[_WorkPerWorkday]]*(Tasks[[#This Row],[_StartWorkday]]-1)</f>
        <v>-0</v>
      </c>
      <c r="ED184" s="38" t="n">
        <f aca="false">IF(Tasks[[#This Row],[_IsLeaf]]=1,MAX(N(Tasks[[#This Row],[Duration]]),0.1),0)</f>
        <v>0</v>
      </c>
      <c r="EE184" s="38" t="n">
        <f aca="false">Tasks[[#This Row],[_WeightDur]]*Tasks[[#This Row],[_LeafProgress]]</f>
        <v>0</v>
      </c>
      <c r="EF18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4" s="38" t="str">
        <f aca="false">IF(AND(Tasks[[#This Row],[_IsLeaf]]=1,N(Tasks[[#This Row],[Duration]])=0,Tasks[[#This Row],[_LeafProgress]]&lt;1),Tasks[[#This Row],[_ShownFcstFinish]]+Tasks[[#This Row],[_Row]]/100000,"")</f>
        <v/>
      </c>
      <c r="EH18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4" s="38" t="n">
        <f aca="false">IF(NOT(Tasks[[#This Row],[_IsLeaf]]=1),0,IF(Tasks[[#This Row],[Baseline Cost]]="",Tasks[[#This Row],[_LeafTotalCost]],N(Tasks[[#This Row],[Baseline Cost]])))</f>
        <v>0</v>
      </c>
      <c r="EJ184" s="38" t="n">
        <f aca="false">Tasks[[#This Row],[_LeafBudget]]*Tasks[[#This Row],[_PlannedPct]]</f>
        <v>0</v>
      </c>
      <c r="EK184" s="38" t="n">
        <f aca="false">Tasks[[#This Row],[_LeafBudget]]*Tasks[[#This Row],[_LeafProgress]]</f>
        <v>0</v>
      </c>
      <c r="EL184" s="38" t="n">
        <f aca="false">IF(NOT(Tasks[[#This Row],[_IsLeaf]]=1),0,IF(Tasks[[#This Row],[Actual Cost]]="",Tasks[[#This Row],[_LeafTotalCost]]*Tasks[[#This Row],[_LeafProgress]],N(Tasks[[#This Row],[Actual Cost]])))</f>
        <v>0</v>
      </c>
      <c r="EM184" s="38" t="str">
        <f aca="false">IF(Tasks[[#This Row],[Task Name]]="","",LEFT(Tasks[[#This Row],[WBS]],FIND(".",Tasks[[#This Row],[WBS]]&amp;".")-1))</f>
        <v/>
      </c>
      <c r="EN184" s="38" t="str">
        <f aca="false">IF(AND(Tasks[[#This Row],[Task Name]]&lt;&gt;"",Tasks[[#This Row],[_Level]]=1),Tasks[[#This Row],[_Row]],"")</f>
        <v/>
      </c>
      <c r="EO184" s="38" t="str">
        <f aca="false">IF(AND(Tasks[[#This Row],[_IsLeaf]]=1,N(Tasks[[#This Row],[Duration]])=0),Tasks[[#This Row],[Planned Finish]]+Tasks[[#This Row],[_Row]]/100000,"")</f>
        <v/>
      </c>
      <c r="EP184" s="38" t="str">
        <f aca="false">IF(AND(Tasks[[#This Row],[_IsLeaf]]=1,Tasks[[#This Row],[_LeafProgress]]&lt;1,OR(N(Tasks[[#This Row],[Finish Var]])&gt;0,Tasks[[#This Row],[Status]]="Late Start")),MAX(0,Tasks[[#This Row],[Finish Var]])+1-Tasks[[#This Row],[_Row]]/1000000,"")</f>
        <v/>
      </c>
      <c r="EQ184" s="38" t="str">
        <f aca="false">IF(AND(Tasks[[#This Row],[_IsLeaf]]=1,N(Tasks[[#This Row],[Actual Start]])=0,Tasks[[#This Row],[_ShownFcstStart]]&gt;=StatusDate,Tasks[[#This Row],[_ShownFcstStart]]&lt;=LookaheadEnd),Tasks[[#This Row],[_ShownFcstStart]]+Tasks[[#This Row],[_Row]]/100000,"")</f>
        <v/>
      </c>
      <c r="ER184" s="38" t="str">
        <f aca="false">IF(AND(Tasks[[#This Row],[_IsLeaf]]=1,Tasks[[#This Row],[_LeafProgress]]&lt;1,Tasks[[#This Row],[_ShownFcstFinish]]&gt;=StatusDate,Tasks[[#This Row],[_ShownFcstFinish]]&lt;=LookaheadEnd),Tasks[[#This Row],[_ShownFcstFinish]]+Tasks[[#This Row],[_Row]]/100000,"")</f>
        <v/>
      </c>
      <c r="ES184" s="38" t="str">
        <f aca="false">IF(Tasks[[#This Row],[_LeafCritical]],Tasks[[#This Row],[_ShownFcstStart]]+Tasks[[#This Row],[_Row]]/100000,"")</f>
        <v/>
      </c>
      <c r="ET184" s="38" t="n">
        <f aca="false">Tasks[[#This Row],[_LeafWork]]*Tasks[[#This Row],[_LeafProgress]]</f>
        <v>0</v>
      </c>
      <c r="EU184" s="115" t="str">
        <f aca="false">IF(AND(Tasks[[#This Row],[_IsLeaf]]=1,Tasks[[#This Row],[_LeafProgress]]&gt;=1),IF(N(Tasks[[#This Row],[Actual Finish]])&gt;0,Tasks[[#This Row],[Actual Finish]],Tasks[[#This Row],[_ShownFcstFinish]]),"")</f>
        <v/>
      </c>
      <c r="EV184" s="38" t="n">
        <f aca="false">IF(Tasks[[#This Row],[_IsLeaf]]=1,N(Tasks[[#This Row],[Story Points]]),0)</f>
        <v>0</v>
      </c>
      <c r="EW184" s="38" t="str">
        <f aca="false">IF(AND(Tasks[[#This Row],[_IsLeaf]]=1,CurrentSprint&lt;&gt;"",Tasks[[#This Row],[Sprint]]=CurrentSprint),Tasks[[#This Row],[_Row]],"")</f>
        <v/>
      </c>
    </row>
    <row r="185" customFormat="false" ht="15" hidden="false" customHeight="false" outlineLevel="0" collapsed="false">
      <c r="A185" s="51" t="str">
        <f aca="false">IF(Tasks[[#This Row],[Task Name]]="","",COUNTA(Tasks[[#Headers],[Task Name]]:Tasks[[#This Row],[Task Name]])-1)</f>
        <v/>
      </c>
      <c r="B185" s="52" t="n">
        <v>180</v>
      </c>
      <c r="C18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52"/>
      <c r="E185" s="53"/>
      <c r="F185" s="52"/>
      <c r="G185" s="52"/>
      <c r="H185" s="52"/>
      <c r="I185" s="52"/>
      <c r="J185" s="52"/>
      <c r="K185" s="52"/>
      <c r="L185" s="52"/>
      <c r="M185" s="52"/>
      <c r="N185" s="52"/>
      <c r="O185" s="52"/>
      <c r="P185" s="52"/>
      <c r="Q185" s="52"/>
      <c r="R185" s="52"/>
      <c r="S185" s="53"/>
      <c r="T185" s="102"/>
      <c r="U185" s="102"/>
      <c r="V185" s="7"/>
      <c r="W185" s="7"/>
      <c r="X185" s="53"/>
      <c r="Y185" s="31" t="str">
        <f aca="false">IF(Tasks[[#This Row],[Task Name]]="","",IF(Tasks[[#This Row],[_IsSummary]],MIN(INDEX(Tasks[_ShownFcstStart],Tasks[[#This Row],[_Row]]+1):INDEX(Tasks[_ShownFcstStart],Tasks[[#This Row],[_Row]]+Tasks[[#This Row],[_Descendants]])),Tasks[[#This Row],[_ShownFcstStart]]))</f>
        <v/>
      </c>
      <c r="Z185" s="31" t="str">
        <f aca="false">IF(Tasks[[#This Row],[Task Name]]="","",IF(Tasks[[#This Row],[_IsSummary]],MAX(INDEX(Tasks[_ShownFcstFinish],Tasks[[#This Row],[_Row]]+1):INDEX(Tasks[_ShownFcstFinish],Tasks[[#This Row],[_Row]]+Tasks[[#This Row],[_Descendants]])),Tasks[[#This Row],[_ShownFcstFinish]]))</f>
        <v/>
      </c>
      <c r="AA185" s="51" t="str">
        <f aca="false">IF(Tasks[[#This Row],[Task Name]]="","",IF(Tasks[[#This Row],[Progress]]&gt;=1,"Complete",IF(OR(N(Tasks[[#This Row],[Actual Start]])&gt;0,Tasks[[#This Row],[Progress]]&gt;0),IF(Tasks[[#This Row],[Finish Var]]&gt;0,"Behind","In Progress"),IF(Tasks[[#This Row],[Planned Start]]&lt;StatusDate,"Late Start","Not Started"))))</f>
        <v/>
      </c>
      <c r="AB185" s="51" t="str">
        <f aca="false">IF(Tasks[[#This Row],[Task Name]]="","",IF(IF(Tasks[[#This Row],[_IsSummary]],COUNTIF(INDEX(Tasks[_LeafCritical],Tasks[[#This Row],[_Row]]+1):INDEX(Tasks[_LeafCritical],Tasks[[#This Row],[_Row]]+Tasks[[#This Row],[_Descendants]]),TRUE())&gt;0,Tasks[[#This Row],[_LeafCritical]]),"Yes",""))</f>
        <v/>
      </c>
      <c r="AC18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5" s="51" t="str">
        <f aca="false">IF(Tasks[[#This Row],[Task Name]]="","",IF(Tasks[[#This Row],[_Level]]&lt;=OutlineShowLevel,"Yes","No"))</f>
        <v/>
      </c>
      <c r="AE185" s="7"/>
      <c r="AF185" s="52"/>
      <c r="AG185" s="53"/>
      <c r="AH185" s="7"/>
      <c r="AI18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5" s="31" t="str">
        <f aca="false">IF(Tasks[[#This Row],[Task Name]]="","",IF(N(Tasks[[#This Row],[Baseline Start]])&gt;0,Tasks[[#This Row],[Baseline Start]],Tasks[[#This Row],[_CalcStart]]))</f>
        <v/>
      </c>
      <c r="AK185" s="31" t="str">
        <f aca="false">IF(Tasks[[#This Row],[Task Name]]="","",IF(N(Tasks[[#This Row],[Baseline Finish]])&gt;0,Tasks[[#This Row],[Baseline Finish]],Tasks[[#This Row],[_CalcFinish]]))</f>
        <v/>
      </c>
      <c r="AL18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5" s="31" t="str">
        <f aca="false">IF(Tasks[[#This Row],[Task Name]]="","",IF(Tasks[[#This Row],[_IsSummary]],MIN(INDEX(Tasks[_LeafLateStart],Tasks[[#This Row],[_Row]]+1):INDEX(Tasks[_LeafLateStart],Tasks[[#This Row],[_Row]]+Tasks[[#This Row],[_Descendants]])),Tasks[[#This Row],[_LeafLateStart]]))</f>
        <v/>
      </c>
      <c r="AN185" s="31" t="str">
        <f aca="false">IF(Tasks[[#This Row],[Task Name]]="","",IF(Tasks[[#This Row],[_IsSummary]],MAX(INDEX(Tasks[_LeafLateFinish],Tasks[[#This Row],[_Row]]+1):INDEX(Tasks[_LeafLateFinish],Tasks[[#This Row],[_Row]]+Tasks[[#This Row],[_Descendants]])),Tasks[[#This Row],[_LeafLateFinish]]))</f>
        <v/>
      </c>
      <c r="AO185" s="51" t="str">
        <f aca="false">IF(Tasks[[#This Row],[Task Name]]="","",IF(Tasks[[#This Row],[_IsSummary]],MIN(INDEX(Tasks[_LeafTotalSlack],Tasks[[#This Row],[_Row]]+1):INDEX(Tasks[_LeafTotalSlack],Tasks[[#This Row],[_Row]]+Tasks[[#This Row],[_Descendants]])),Tasks[[#This Row],[_LeafTotalSlack]]))</f>
        <v/>
      </c>
      <c r="AP18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5" s="110" t="str">
        <f aca="false">IF(Tasks[[#This Row],[Task Name]]="","",IF(Tasks[[#This Row],[_IsSummary]],SUM(INDEX(Tasks[_LeafTotalWork],Tasks[[#This Row],[_Row]]+1):INDEX(Tasks[_LeafTotalWork],Tasks[[#This Row],[_Row]]+Tasks[[#This Row],[_Descendants]])),Tasks[[#This Row],[_LeafTotalWork]]))</f>
        <v/>
      </c>
      <c r="AV18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5" s="111" t="str">
        <f aca="false">IF(Tasks[[#This Row],[Task Name]]="","",IF(Tasks[[#This Row],[_IsSummary]],SUM(INDEX(Tasks[_LeafTotalCost],Tasks[[#This Row],[_Row]]+1):INDEX(Tasks[_LeafTotalCost],Tasks[[#This Row],[_Row]]+Tasks[[#This Row],[_Descendants]])),Tasks[[#This Row],[_LeafTotalCost]]))</f>
        <v/>
      </c>
      <c r="AY185" s="112"/>
      <c r="AZ18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5" s="52"/>
      <c r="BB185" s="98"/>
      <c r="BC185" s="51" t="str">
        <f aca="false">IF(OR(Tasks[[#This Row],[Task Name]]="",Tasks[[#This Row],[Baseline Duration]]=""),"",Tasks[[#This Row],[BL Source Duration]]-N(Tasks[[#This Row],[Baseline Duration]]))</f>
        <v/>
      </c>
      <c r="BD185" s="110" t="str">
        <f aca="false">IF(OR(Tasks[[#This Row],[Task Name]]="",Tasks[[#This Row],[Baseline Work]]=""),"",Tasks[[#This Row],[Work]]-N(Tasks[[#This Row],[Baseline Work]]))</f>
        <v/>
      </c>
      <c r="BE185" s="111" t="str">
        <f aca="false">IF(OR(Tasks[[#This Row],[Task Name]]="",Tasks[[#This Row],[Baseline Cost]]=""),"",Tasks[[#This Row],[Cost]]-N(Tasks[[#This Row],[Baseline Cost]]))</f>
        <v/>
      </c>
      <c r="BF185" s="31" t="str">
        <f aca="false">IF(Tasks[[#This Row],[Task Name]]="","",Tasks[[#This Row],[Forecast Start]])</f>
        <v/>
      </c>
      <c r="BG185" s="31" t="str">
        <f aca="false">IF(Tasks[[#This Row],[Task Name]]="","",Tasks[[#This Row],[Forecast Finish]])</f>
        <v/>
      </c>
      <c r="BH185" s="51" t="str">
        <f aca="false">IF(Tasks[[#This Row],[Task Name]]="","",IF(Tasks[[#This Row],[_IsSummary]],NETWORKDAYS.INTL(Tasks[[#This Row],[Forecast Start]],Tasks[[#This Row],[Forecast Finish]],WorkWeek,Holidays),N(Tasks[[#This Row],[Duration]])))</f>
        <v/>
      </c>
      <c r="BI185" s="110" t="str">
        <f aca="false">IF(Tasks[[#This Row],[Task Name]]="","",Tasks[[#This Row],[Work]])</f>
        <v/>
      </c>
      <c r="BJ185" s="111" t="str">
        <f aca="false">IF(Tasks[[#This Row],[Task Name]]="","",Tasks[[#This Row],[Cost]])</f>
        <v/>
      </c>
      <c r="BK185" s="7"/>
      <c r="BL185" s="7"/>
      <c r="BM185" s="52"/>
      <c r="BN185" s="113"/>
      <c r="BO185" s="112"/>
      <c r="BP185" s="111" t="str">
        <f aca="false">IF(Tasks[[#This Row],[Task Name]]="","",IF(Tasks[[#This Row],[_IsSummary]],SUM(INDEX(Tasks[_LeafEV],Tasks[[#This Row],[_Row]]+1):INDEX(Tasks[_LeafEV],Tasks[[#This Row],[_Row]]+Tasks[[#This Row],[_Descendants]])),Tasks[[#This Row],[_LeafEV]]))</f>
        <v/>
      </c>
      <c r="BQ185" s="111" t="str">
        <f aca="false">IF(Tasks[[#This Row],[Task Name]]="","",IF(Tasks[[#This Row],[_IsSummary]],SUM(INDEX(Tasks[_LeafBudget],Tasks[[#This Row],[_Row]]+1):INDEX(Tasks[_LeafBudget],Tasks[[#This Row],[_Row]]+Tasks[[#This Row],[_Descendants]])),Tasks[[#This Row],[_LeafBudget]]))</f>
        <v/>
      </c>
      <c r="BR185" s="111" t="str">
        <f aca="false">IF(Tasks[[#This Row],[Task Name]]="","",IF(Tasks[[#This Row],[_IsSummary]],SUM(INDEX(Tasks[_LeafPV],Tasks[[#This Row],[_Row]]+1):INDEX(Tasks[_LeafPV],Tasks[[#This Row],[_Row]]+Tasks[[#This Row],[_Descendants]])),Tasks[[#This Row],[_LeafPV]]))</f>
        <v/>
      </c>
      <c r="BS185" s="111" t="str">
        <f aca="false">IF(Tasks[[#This Row],[Task Name]]="","",IF(Tasks[[#This Row],[_IsSummary]],SUM(INDEX(Tasks[_LeafAC],Tasks[[#This Row],[_Row]]+1):INDEX(Tasks[_LeafAC],Tasks[[#This Row],[_Row]]+Tasks[[#This Row],[_Descendants]])),Tasks[[#This Row],[_LeafAC]]))</f>
        <v/>
      </c>
      <c r="BT185" s="38" t="str">
        <f aca="false">IF(Tasks[[#This Row],[Task Name]]="","",MAX(1,N(Tasks[[#This Row],[Level]])))</f>
        <v/>
      </c>
      <c r="BU185" s="38" t="n">
        <f aca="false">ROW()-ROW(Tasks[[#Headers],[ID]])</f>
        <v>180</v>
      </c>
      <c r="BV185" s="38" t="n">
        <f aca="false">IF(OR(Tasks[[#This Row],[Task Name]]="",Tasks[[#This Row],[_Level]]&lt;=1),0,IFERROR(LOOKUP(2,1/(Tasks[[#Headers],[_Level]]:Tasks[[#This Row],[_Level]]=Tasks[[#This Row],[_Level]]-1),ROW(Tasks[[#Headers],[_Level]]:Tasks[[#This Row],[_Level]])),0))</f>
        <v>0</v>
      </c>
      <c r="BW185" s="38" t="n">
        <f aca="false">IFERROR(N(INDEX(Tasks[_Level],Tasks[[#This Row],[_Row]]+1)),0)</f>
        <v>0</v>
      </c>
      <c r="BX185" s="114" t="b">
        <f aca="false">AND(Tasks[[#This Row],[Task Name]]&lt;&gt;"",Tasks[[#This Row],[_NextLevel]]&gt;Tasks[[#This Row],[_Level]])</f>
        <v>0</v>
      </c>
      <c r="BY185" s="38" t="n">
        <f aca="false">IF(Tasks[[#This Row],[_IsSummary]],COUNTIF(Tasks[WBS],Tasks[[#This Row],[WBS]]&amp;".*"),0)</f>
        <v>0</v>
      </c>
      <c r="BZ185" s="38" t="n">
        <f aca="false">IF(AND(Tasks[[#This Row],[Task Name]]&lt;&gt;"",NOT(Tasks[[#This Row],[_IsSummary]])),1,0)</f>
        <v>0</v>
      </c>
      <c r="CA185" s="38" t="n">
        <f aca="false">IF(N(Tasks[[#This Row],[Pred1 UID]])=0,0,IFERROR(MATCH(Tasks[[#This Row],[Pred1 UID]],Tasks[UID],0),-1))</f>
        <v>0</v>
      </c>
      <c r="CB185" s="38" t="n">
        <f aca="false">IF(N(Tasks[[#This Row],[Pred2 UID]])=0,0,IFERROR(MATCH(Tasks[[#This Row],[Pred2 UID]],Tasks[UID],0),-1))</f>
        <v>0</v>
      </c>
      <c r="CC185" s="38" t="n">
        <f aca="false">IF(N(Tasks[[#This Row],[Pred3 UID]])=0,0,IFERROR(MATCH(Tasks[[#This Row],[Pred3 UID]],Tasks[UID],0),-1))</f>
        <v>0</v>
      </c>
      <c r="CD185" s="38" t="n">
        <f aca="false">IF(N(Tasks[[#This Row],[Pred4 UID]])=0,0,IFERROR(MATCH(Tasks[[#This Row],[Pred4 UID]],Tasks[UID],0),-1))</f>
        <v>0</v>
      </c>
      <c r="CE18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5" s="115" t="n">
        <f aca="false">IF(OR(Tasks[[#This Row],[_ConstraintCode]]=2,Tasks[[#This Row],[_ConstraintCode]]=3,Tasks[[#This Row],[_ConstraintCode]]=4,Tasks[[#This Row],[_ConstraintCode]]=6),Tasks[[#This Row],[_ConstraintStart]],0)</f>
        <v>0</v>
      </c>
      <c r="CH185" s="115" t="n">
        <f aca="false">IF(OR(Tasks[[#This Row],[_ConstraintCode]]=2,Tasks[[#This Row],[_ConstraintCode]]=3,Tasks[[#This Row],[_ConstraintCode]]=5,Tasks[[#This Row],[_ConstraintCode]]=7),Tasks[[#This Row],[_ConstraintStart]],2958465)</f>
        <v>2958465</v>
      </c>
      <c r="CI18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5" s="115" t="str">
        <f aca="false">IF(NOT(Tasks[[#This Row],[_IsLeaf]]=1),"",IF(N(Tasks[[#This Row],[Duration]])&lt;=0,Tasks[[#This Row],[_LeafCalcStart]],WORKDAY.INTL(Tasks[[#This Row],[_LeafCalcStart]],Tasks[[#This Row],[Duration]]-1,WorkWeek,Holidays)))</f>
        <v/>
      </c>
      <c r="CK18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5" s="38" t="n">
        <f aca="false">IF(NOT(Tasks[[#This Row],[_IsLeaf]]=1),0,IF(N(Tasks[[#This Row],[Actual Finish]])&gt;0,1,MIN(1,N(Tasks[[#This Row],[% Complete]]))))</f>
        <v>0</v>
      </c>
      <c r="CN185" s="38" t="n">
        <f aca="false">IF(OR(NOT(Tasks[[#This Row],[_IsLeaf]]=1),Tasks[[#This Row],[Resource]]=""),0,N(Tasks[[#This Row],[Duration]])*HoursPerDay*IF(Tasks[[#This Row],[Units]]="",DefaultUnits,Tasks[[#This Row],[Units]]))</f>
        <v>0</v>
      </c>
      <c r="CO185" s="38" t="n">
        <f aca="false">IF(Tasks[[#This Row],[_LeafWork]]=0,0,Tasks[[#This Row],[_LeafWork]]*IFERROR(INDEX(res_Rate,MATCH(Tasks[[#This Row],[Resource]],res_Name,0)),0))</f>
        <v>0</v>
      </c>
      <c r="CP185" s="38" t="n">
        <f aca="false">Tasks[[#This Row],[_LeafWork]]+IF(Tasks[[#This Row],[_IsLeaf]]=1,SUMIFS(asg_Work,asg_TaskUID,Tasks[[#This Row],[UID]],asg_Valid,1),0)</f>
        <v>0</v>
      </c>
      <c r="CQ185" s="38" t="n">
        <f aca="false">Tasks[[#This Row],[_LeafCost]]+IF(Tasks[[#This Row],[_IsLeaf]]=1,SUMIFS(asg_Cost,asg_TaskUID,Tasks[[#This Row],[UID]],asg_Valid,1),0)</f>
        <v>0</v>
      </c>
      <c r="CR185" s="38" t="n">
        <f aca="false">IF(Tasks[[#This Row],[_LeafTotalCost]]=0,Tasks[[#This Row],[_LeafAC]],Tasks[[#This Row],[_LeafAC]]*Tasks[[#This Row],[_LeafCost]]/Tasks[[#This Row],[_LeafTotalCost]])</f>
        <v>0</v>
      </c>
      <c r="CS18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5" s="38" t="n">
        <f aca="false">IF(NOT(Tasks[[#This Row],[_IsLeaf]]=1),0,MAX(_xlfn.MAXIFS(Tasks[_Row],Tasks[Pred1 UID],Tasks[[#This Row],[UID]]),_xlfn.MAXIFS(Tasks[_Row],Tasks[Pred2 UID],Tasks[[#This Row],[UID]]),_xlfn.MAXIFS(Tasks[_Row],Tasks[Pred3 UID],Tasks[[#This Row],[UID]]),_xlfn.MAXIFS(Tasks[_Row],Tasks[Pred4 UID],Tasks[[#This Row],[UID]])))</f>
        <v>0</v>
      </c>
      <c r="DB18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5" s="115" t="str">
        <f aca="false">IF(NOT(Tasks[[#This Row],[_IsLeaf]]=1),"",IF(N(Tasks[[#This Row],[Duration]])&lt;=0,Tasks[[#This Row],[_LeafLateFinish]],WORKDAY.INTL(Tasks[[#This Row],[_LeafLateFinish]],-(Tasks[[#This Row],[Duration]]-1),WorkWeek,Holidays)))</f>
        <v/>
      </c>
      <c r="DE18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5" s="114" t="b">
        <f aca="false">AND(Tasks[[#This Row],[_IsLeaf]]=1,Tasks[[#This Row],[_LeafProgress]]&lt;1,N(Tasks[[#This Row],[_LeafTotalSlack]])&lt;=CriticalSlackDays)</f>
        <v>0</v>
      </c>
      <c r="DG185" s="38" t="n">
        <f aca="false">IF(AND(Tasks[[#This Row],[_IsLeaf]]=1,Tasks[[#This Row],[_ConstraintCode]]=1,Tasks[[#This Row],[Mode]]&lt;&gt;"Manual",N(Tasks[[#This Row],[Actual Start]])=0),MAX(0,N(Tasks[[#This Row],[Free Slack]])),0)</f>
        <v>0</v>
      </c>
      <c r="DH185" s="115" t="str">
        <f aca="false">IF(NOT(Tasks[[#This Row],[_IsLeaf]]=1),"",IF(Tasks[[#This Row],[_AlapShift]]=0,Tasks[[#This Row],[_LeafCalcStart]],WORKDAY.INTL(Tasks[[#This Row],[_LeafCalcStart]],Tasks[[#This Row],[_AlapShift]],WorkWeek,Holidays)))</f>
        <v/>
      </c>
      <c r="DI185" s="115" t="str">
        <f aca="false">IF(NOT(Tasks[[#This Row],[_IsLeaf]]=1),"",IF(Tasks[[#This Row],[_AlapShift]]=0,Tasks[[#This Row],[_LeafCalcFinish]],WORKDAY.INTL(Tasks[[#This Row],[_LeafCalcFinish]],Tasks[[#This Row],[_AlapShift]],WorkWeek,Holidays)))</f>
        <v/>
      </c>
      <c r="DJ185" s="115" t="str">
        <f aca="false">IF(NOT(Tasks[[#This Row],[_IsLeaf]]=1),"",IF(Tasks[[#This Row],[_AlapShift]]=0,Tasks[[#This Row],[_LeafFcstStart]],WORKDAY.INTL(Tasks[[#This Row],[_LeafFcstStart]],Tasks[[#This Row],[_AlapShift]],WorkWeek,Holidays)))</f>
        <v/>
      </c>
      <c r="DK185" s="115" t="str">
        <f aca="false">IF(NOT(Tasks[[#This Row],[_IsLeaf]]=1),"",IF(Tasks[[#This Row],[_AlapShift]]=0,Tasks[[#This Row],[_LeafFcstFinish]],WORKDAY.INTL(Tasks[[#This Row],[_LeafFcstFinish]],Tasks[[#This Row],[_AlapShift]],WorkWeek,Holidays)))</f>
        <v/>
      </c>
      <c r="DL185" s="115" t="str">
        <f aca="false">IF(Tasks[[#This Row],[Task Name]]="","",IF(Tasks[[#This Row],[_IsSummary]],MIN(INDEX(Tasks[_ShownCalcStart],Tasks[[#This Row],[_Row]]+1):INDEX(Tasks[_ShownCalcStart],Tasks[[#This Row],[_Row]]+Tasks[[#This Row],[_Descendants]])),Tasks[[#This Row],[_ShownCalcStart]]))</f>
        <v/>
      </c>
      <c r="DM185" s="115" t="str">
        <f aca="false">IF(Tasks[[#This Row],[Task Name]]="","",IF(Tasks[[#This Row],[_IsSummary]],MAX(INDEX(Tasks[_ShownCalcFinish],Tasks[[#This Row],[_Row]]+1):INDEX(Tasks[_ShownCalcFinish],Tasks[[#This Row],[_Row]]+Tasks[[#This Row],[_Descendants]])),Tasks[[#This Row],[_ShownCalcFinish]]))</f>
        <v/>
      </c>
      <c r="DN18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5" s="38" t="n">
        <f aca="false">IF(AND(Tasks[[#This Row],[_IsLeaf]]=1,Tasks[[#This Row],[_LeafTotalWork]]&gt;0),NETWORKDAYS.INTL(ProjectStart,Tasks[[#This Row],[_ShownFcstStart]],WorkWeek,Holidays),0)</f>
        <v>0</v>
      </c>
      <c r="EA185" s="38" t="n">
        <f aca="false">IF(AND(Tasks[[#This Row],[_IsLeaf]]=1,Tasks[[#This Row],[_LeafTotalWork]]&gt;0),MAX(Tasks[[#This Row],[_StartWorkday]],NETWORKDAYS.INTL(ProjectStart,Tasks[[#This Row],[_ShownFcstFinish]],WorkWeek,Holidays)),0)</f>
        <v>0</v>
      </c>
      <c r="EB185" s="38" t="n">
        <f aca="false">IF(AND(Tasks[[#This Row],[_IsLeaf]]=1,Tasks[[#This Row],[_LeafTotalWork]]&gt;0),Tasks[[#This Row],[_LeafWork]]/(Tasks[[#This Row],[_FinishWorkday]]-Tasks[[#This Row],[_StartWorkday]]+1),0)</f>
        <v>0</v>
      </c>
      <c r="EC185" s="38" t="n">
        <f aca="false">Tasks[[#This Row],[_WorkPerWorkday]]*(Tasks[[#This Row],[_StartWorkday]]-1)</f>
        <v>-0</v>
      </c>
      <c r="ED185" s="38" t="n">
        <f aca="false">IF(Tasks[[#This Row],[_IsLeaf]]=1,MAX(N(Tasks[[#This Row],[Duration]]),0.1),0)</f>
        <v>0</v>
      </c>
      <c r="EE185" s="38" t="n">
        <f aca="false">Tasks[[#This Row],[_WeightDur]]*Tasks[[#This Row],[_LeafProgress]]</f>
        <v>0</v>
      </c>
      <c r="EF18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5" s="38" t="str">
        <f aca="false">IF(AND(Tasks[[#This Row],[_IsLeaf]]=1,N(Tasks[[#This Row],[Duration]])=0,Tasks[[#This Row],[_LeafProgress]]&lt;1),Tasks[[#This Row],[_ShownFcstFinish]]+Tasks[[#This Row],[_Row]]/100000,"")</f>
        <v/>
      </c>
      <c r="EH18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5" s="38" t="n">
        <f aca="false">IF(NOT(Tasks[[#This Row],[_IsLeaf]]=1),0,IF(Tasks[[#This Row],[Baseline Cost]]="",Tasks[[#This Row],[_LeafTotalCost]],N(Tasks[[#This Row],[Baseline Cost]])))</f>
        <v>0</v>
      </c>
      <c r="EJ185" s="38" t="n">
        <f aca="false">Tasks[[#This Row],[_LeafBudget]]*Tasks[[#This Row],[_PlannedPct]]</f>
        <v>0</v>
      </c>
      <c r="EK185" s="38" t="n">
        <f aca="false">Tasks[[#This Row],[_LeafBudget]]*Tasks[[#This Row],[_LeafProgress]]</f>
        <v>0</v>
      </c>
      <c r="EL185" s="38" t="n">
        <f aca="false">IF(NOT(Tasks[[#This Row],[_IsLeaf]]=1),0,IF(Tasks[[#This Row],[Actual Cost]]="",Tasks[[#This Row],[_LeafTotalCost]]*Tasks[[#This Row],[_LeafProgress]],N(Tasks[[#This Row],[Actual Cost]])))</f>
        <v>0</v>
      </c>
      <c r="EM185" s="38" t="str">
        <f aca="false">IF(Tasks[[#This Row],[Task Name]]="","",LEFT(Tasks[[#This Row],[WBS]],FIND(".",Tasks[[#This Row],[WBS]]&amp;".")-1))</f>
        <v/>
      </c>
      <c r="EN185" s="38" t="str">
        <f aca="false">IF(AND(Tasks[[#This Row],[Task Name]]&lt;&gt;"",Tasks[[#This Row],[_Level]]=1),Tasks[[#This Row],[_Row]],"")</f>
        <v/>
      </c>
      <c r="EO185" s="38" t="str">
        <f aca="false">IF(AND(Tasks[[#This Row],[_IsLeaf]]=1,N(Tasks[[#This Row],[Duration]])=0),Tasks[[#This Row],[Planned Finish]]+Tasks[[#This Row],[_Row]]/100000,"")</f>
        <v/>
      </c>
      <c r="EP185" s="38" t="str">
        <f aca="false">IF(AND(Tasks[[#This Row],[_IsLeaf]]=1,Tasks[[#This Row],[_LeafProgress]]&lt;1,OR(N(Tasks[[#This Row],[Finish Var]])&gt;0,Tasks[[#This Row],[Status]]="Late Start")),MAX(0,Tasks[[#This Row],[Finish Var]])+1-Tasks[[#This Row],[_Row]]/1000000,"")</f>
        <v/>
      </c>
      <c r="EQ185" s="38" t="str">
        <f aca="false">IF(AND(Tasks[[#This Row],[_IsLeaf]]=1,N(Tasks[[#This Row],[Actual Start]])=0,Tasks[[#This Row],[_ShownFcstStart]]&gt;=StatusDate,Tasks[[#This Row],[_ShownFcstStart]]&lt;=LookaheadEnd),Tasks[[#This Row],[_ShownFcstStart]]+Tasks[[#This Row],[_Row]]/100000,"")</f>
        <v/>
      </c>
      <c r="ER185" s="38" t="str">
        <f aca="false">IF(AND(Tasks[[#This Row],[_IsLeaf]]=1,Tasks[[#This Row],[_LeafProgress]]&lt;1,Tasks[[#This Row],[_ShownFcstFinish]]&gt;=StatusDate,Tasks[[#This Row],[_ShownFcstFinish]]&lt;=LookaheadEnd),Tasks[[#This Row],[_ShownFcstFinish]]+Tasks[[#This Row],[_Row]]/100000,"")</f>
        <v/>
      </c>
      <c r="ES185" s="38" t="str">
        <f aca="false">IF(Tasks[[#This Row],[_LeafCritical]],Tasks[[#This Row],[_ShownFcstStart]]+Tasks[[#This Row],[_Row]]/100000,"")</f>
        <v/>
      </c>
      <c r="ET185" s="38" t="n">
        <f aca="false">Tasks[[#This Row],[_LeafWork]]*Tasks[[#This Row],[_LeafProgress]]</f>
        <v>0</v>
      </c>
      <c r="EU185" s="115" t="str">
        <f aca="false">IF(AND(Tasks[[#This Row],[_IsLeaf]]=1,Tasks[[#This Row],[_LeafProgress]]&gt;=1),IF(N(Tasks[[#This Row],[Actual Finish]])&gt;0,Tasks[[#This Row],[Actual Finish]],Tasks[[#This Row],[_ShownFcstFinish]]),"")</f>
        <v/>
      </c>
      <c r="EV185" s="38" t="n">
        <f aca="false">IF(Tasks[[#This Row],[_IsLeaf]]=1,N(Tasks[[#This Row],[Story Points]]),0)</f>
        <v>0</v>
      </c>
      <c r="EW185" s="38" t="str">
        <f aca="false">IF(AND(Tasks[[#This Row],[_IsLeaf]]=1,CurrentSprint&lt;&gt;"",Tasks[[#This Row],[Sprint]]=CurrentSprint),Tasks[[#This Row],[_Row]],"")</f>
        <v/>
      </c>
    </row>
    <row r="186" customFormat="false" ht="15" hidden="false" customHeight="false" outlineLevel="0" collapsed="false">
      <c r="A186" s="51" t="str">
        <f aca="false">IF(Tasks[[#This Row],[Task Name]]="","",COUNTA(Tasks[[#Headers],[Task Name]]:Tasks[[#This Row],[Task Name]])-1)</f>
        <v/>
      </c>
      <c r="B186" s="52" t="n">
        <v>181</v>
      </c>
      <c r="C18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52"/>
      <c r="E186" s="53"/>
      <c r="F186" s="52"/>
      <c r="G186" s="52"/>
      <c r="H186" s="52"/>
      <c r="I186" s="52"/>
      <c r="J186" s="52"/>
      <c r="K186" s="52"/>
      <c r="L186" s="52"/>
      <c r="M186" s="52"/>
      <c r="N186" s="52"/>
      <c r="O186" s="52"/>
      <c r="P186" s="52"/>
      <c r="Q186" s="52"/>
      <c r="R186" s="52"/>
      <c r="S186" s="53"/>
      <c r="T186" s="102"/>
      <c r="U186" s="102"/>
      <c r="V186" s="7"/>
      <c r="W186" s="7"/>
      <c r="X186" s="53"/>
      <c r="Y186" s="31" t="str">
        <f aca="false">IF(Tasks[[#This Row],[Task Name]]="","",IF(Tasks[[#This Row],[_IsSummary]],MIN(INDEX(Tasks[_ShownFcstStart],Tasks[[#This Row],[_Row]]+1):INDEX(Tasks[_ShownFcstStart],Tasks[[#This Row],[_Row]]+Tasks[[#This Row],[_Descendants]])),Tasks[[#This Row],[_ShownFcstStart]]))</f>
        <v/>
      </c>
      <c r="Z186" s="31" t="str">
        <f aca="false">IF(Tasks[[#This Row],[Task Name]]="","",IF(Tasks[[#This Row],[_IsSummary]],MAX(INDEX(Tasks[_ShownFcstFinish],Tasks[[#This Row],[_Row]]+1):INDEX(Tasks[_ShownFcstFinish],Tasks[[#This Row],[_Row]]+Tasks[[#This Row],[_Descendants]])),Tasks[[#This Row],[_ShownFcstFinish]]))</f>
        <v/>
      </c>
      <c r="AA186" s="51" t="str">
        <f aca="false">IF(Tasks[[#This Row],[Task Name]]="","",IF(Tasks[[#This Row],[Progress]]&gt;=1,"Complete",IF(OR(N(Tasks[[#This Row],[Actual Start]])&gt;0,Tasks[[#This Row],[Progress]]&gt;0),IF(Tasks[[#This Row],[Finish Var]]&gt;0,"Behind","In Progress"),IF(Tasks[[#This Row],[Planned Start]]&lt;StatusDate,"Late Start","Not Started"))))</f>
        <v/>
      </c>
      <c r="AB186" s="51" t="str">
        <f aca="false">IF(Tasks[[#This Row],[Task Name]]="","",IF(IF(Tasks[[#This Row],[_IsSummary]],COUNTIF(INDEX(Tasks[_LeafCritical],Tasks[[#This Row],[_Row]]+1):INDEX(Tasks[_LeafCritical],Tasks[[#This Row],[_Row]]+Tasks[[#This Row],[_Descendants]]),TRUE())&gt;0,Tasks[[#This Row],[_LeafCritical]]),"Yes",""))</f>
        <v/>
      </c>
      <c r="AC18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6" s="51" t="str">
        <f aca="false">IF(Tasks[[#This Row],[Task Name]]="","",IF(Tasks[[#This Row],[_Level]]&lt;=OutlineShowLevel,"Yes","No"))</f>
        <v/>
      </c>
      <c r="AE186" s="7"/>
      <c r="AF186" s="52"/>
      <c r="AG186" s="53"/>
      <c r="AH186" s="7"/>
      <c r="AI18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6" s="31" t="str">
        <f aca="false">IF(Tasks[[#This Row],[Task Name]]="","",IF(N(Tasks[[#This Row],[Baseline Start]])&gt;0,Tasks[[#This Row],[Baseline Start]],Tasks[[#This Row],[_CalcStart]]))</f>
        <v/>
      </c>
      <c r="AK186" s="31" t="str">
        <f aca="false">IF(Tasks[[#This Row],[Task Name]]="","",IF(N(Tasks[[#This Row],[Baseline Finish]])&gt;0,Tasks[[#This Row],[Baseline Finish]],Tasks[[#This Row],[_CalcFinish]]))</f>
        <v/>
      </c>
      <c r="AL18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6" s="31" t="str">
        <f aca="false">IF(Tasks[[#This Row],[Task Name]]="","",IF(Tasks[[#This Row],[_IsSummary]],MIN(INDEX(Tasks[_LeafLateStart],Tasks[[#This Row],[_Row]]+1):INDEX(Tasks[_LeafLateStart],Tasks[[#This Row],[_Row]]+Tasks[[#This Row],[_Descendants]])),Tasks[[#This Row],[_LeafLateStart]]))</f>
        <v/>
      </c>
      <c r="AN186" s="31" t="str">
        <f aca="false">IF(Tasks[[#This Row],[Task Name]]="","",IF(Tasks[[#This Row],[_IsSummary]],MAX(INDEX(Tasks[_LeafLateFinish],Tasks[[#This Row],[_Row]]+1):INDEX(Tasks[_LeafLateFinish],Tasks[[#This Row],[_Row]]+Tasks[[#This Row],[_Descendants]])),Tasks[[#This Row],[_LeafLateFinish]]))</f>
        <v/>
      </c>
      <c r="AO186" s="51" t="str">
        <f aca="false">IF(Tasks[[#This Row],[Task Name]]="","",IF(Tasks[[#This Row],[_IsSummary]],MIN(INDEX(Tasks[_LeafTotalSlack],Tasks[[#This Row],[_Row]]+1):INDEX(Tasks[_LeafTotalSlack],Tasks[[#This Row],[_Row]]+Tasks[[#This Row],[_Descendants]])),Tasks[[#This Row],[_LeafTotalSlack]]))</f>
        <v/>
      </c>
      <c r="AP18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6" s="110" t="str">
        <f aca="false">IF(Tasks[[#This Row],[Task Name]]="","",IF(Tasks[[#This Row],[_IsSummary]],SUM(INDEX(Tasks[_LeafTotalWork],Tasks[[#This Row],[_Row]]+1):INDEX(Tasks[_LeafTotalWork],Tasks[[#This Row],[_Row]]+Tasks[[#This Row],[_Descendants]])),Tasks[[#This Row],[_LeafTotalWork]]))</f>
        <v/>
      </c>
      <c r="AV18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6" s="111" t="str">
        <f aca="false">IF(Tasks[[#This Row],[Task Name]]="","",IF(Tasks[[#This Row],[_IsSummary]],SUM(INDEX(Tasks[_LeafTotalCost],Tasks[[#This Row],[_Row]]+1):INDEX(Tasks[_LeafTotalCost],Tasks[[#This Row],[_Row]]+Tasks[[#This Row],[_Descendants]])),Tasks[[#This Row],[_LeafTotalCost]]))</f>
        <v/>
      </c>
      <c r="AY186" s="112"/>
      <c r="AZ18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6" s="52"/>
      <c r="BB186" s="98"/>
      <c r="BC186" s="51" t="str">
        <f aca="false">IF(OR(Tasks[[#This Row],[Task Name]]="",Tasks[[#This Row],[Baseline Duration]]=""),"",Tasks[[#This Row],[BL Source Duration]]-N(Tasks[[#This Row],[Baseline Duration]]))</f>
        <v/>
      </c>
      <c r="BD186" s="110" t="str">
        <f aca="false">IF(OR(Tasks[[#This Row],[Task Name]]="",Tasks[[#This Row],[Baseline Work]]=""),"",Tasks[[#This Row],[Work]]-N(Tasks[[#This Row],[Baseline Work]]))</f>
        <v/>
      </c>
      <c r="BE186" s="111" t="str">
        <f aca="false">IF(OR(Tasks[[#This Row],[Task Name]]="",Tasks[[#This Row],[Baseline Cost]]=""),"",Tasks[[#This Row],[Cost]]-N(Tasks[[#This Row],[Baseline Cost]]))</f>
        <v/>
      </c>
      <c r="BF186" s="31" t="str">
        <f aca="false">IF(Tasks[[#This Row],[Task Name]]="","",Tasks[[#This Row],[Forecast Start]])</f>
        <v/>
      </c>
      <c r="BG186" s="31" t="str">
        <f aca="false">IF(Tasks[[#This Row],[Task Name]]="","",Tasks[[#This Row],[Forecast Finish]])</f>
        <v/>
      </c>
      <c r="BH186" s="51" t="str">
        <f aca="false">IF(Tasks[[#This Row],[Task Name]]="","",IF(Tasks[[#This Row],[_IsSummary]],NETWORKDAYS.INTL(Tasks[[#This Row],[Forecast Start]],Tasks[[#This Row],[Forecast Finish]],WorkWeek,Holidays),N(Tasks[[#This Row],[Duration]])))</f>
        <v/>
      </c>
      <c r="BI186" s="110" t="str">
        <f aca="false">IF(Tasks[[#This Row],[Task Name]]="","",Tasks[[#This Row],[Work]])</f>
        <v/>
      </c>
      <c r="BJ186" s="111" t="str">
        <f aca="false">IF(Tasks[[#This Row],[Task Name]]="","",Tasks[[#This Row],[Cost]])</f>
        <v/>
      </c>
      <c r="BK186" s="7"/>
      <c r="BL186" s="7"/>
      <c r="BM186" s="52"/>
      <c r="BN186" s="113"/>
      <c r="BO186" s="112"/>
      <c r="BP186" s="111" t="str">
        <f aca="false">IF(Tasks[[#This Row],[Task Name]]="","",IF(Tasks[[#This Row],[_IsSummary]],SUM(INDEX(Tasks[_LeafEV],Tasks[[#This Row],[_Row]]+1):INDEX(Tasks[_LeafEV],Tasks[[#This Row],[_Row]]+Tasks[[#This Row],[_Descendants]])),Tasks[[#This Row],[_LeafEV]]))</f>
        <v/>
      </c>
      <c r="BQ186" s="111" t="str">
        <f aca="false">IF(Tasks[[#This Row],[Task Name]]="","",IF(Tasks[[#This Row],[_IsSummary]],SUM(INDEX(Tasks[_LeafBudget],Tasks[[#This Row],[_Row]]+1):INDEX(Tasks[_LeafBudget],Tasks[[#This Row],[_Row]]+Tasks[[#This Row],[_Descendants]])),Tasks[[#This Row],[_LeafBudget]]))</f>
        <v/>
      </c>
      <c r="BR186" s="111" t="str">
        <f aca="false">IF(Tasks[[#This Row],[Task Name]]="","",IF(Tasks[[#This Row],[_IsSummary]],SUM(INDEX(Tasks[_LeafPV],Tasks[[#This Row],[_Row]]+1):INDEX(Tasks[_LeafPV],Tasks[[#This Row],[_Row]]+Tasks[[#This Row],[_Descendants]])),Tasks[[#This Row],[_LeafPV]]))</f>
        <v/>
      </c>
      <c r="BS186" s="111" t="str">
        <f aca="false">IF(Tasks[[#This Row],[Task Name]]="","",IF(Tasks[[#This Row],[_IsSummary]],SUM(INDEX(Tasks[_LeafAC],Tasks[[#This Row],[_Row]]+1):INDEX(Tasks[_LeafAC],Tasks[[#This Row],[_Row]]+Tasks[[#This Row],[_Descendants]])),Tasks[[#This Row],[_LeafAC]]))</f>
        <v/>
      </c>
      <c r="BT186" s="38" t="str">
        <f aca="false">IF(Tasks[[#This Row],[Task Name]]="","",MAX(1,N(Tasks[[#This Row],[Level]])))</f>
        <v/>
      </c>
      <c r="BU186" s="38" t="n">
        <f aca="false">ROW()-ROW(Tasks[[#Headers],[ID]])</f>
        <v>181</v>
      </c>
      <c r="BV186" s="38" t="n">
        <f aca="false">IF(OR(Tasks[[#This Row],[Task Name]]="",Tasks[[#This Row],[_Level]]&lt;=1),0,IFERROR(LOOKUP(2,1/(Tasks[[#Headers],[_Level]]:Tasks[[#This Row],[_Level]]=Tasks[[#This Row],[_Level]]-1),ROW(Tasks[[#Headers],[_Level]]:Tasks[[#This Row],[_Level]])),0))</f>
        <v>0</v>
      </c>
      <c r="BW186" s="38" t="n">
        <f aca="false">IFERROR(N(INDEX(Tasks[_Level],Tasks[[#This Row],[_Row]]+1)),0)</f>
        <v>0</v>
      </c>
      <c r="BX186" s="114" t="b">
        <f aca="false">AND(Tasks[[#This Row],[Task Name]]&lt;&gt;"",Tasks[[#This Row],[_NextLevel]]&gt;Tasks[[#This Row],[_Level]])</f>
        <v>0</v>
      </c>
      <c r="BY186" s="38" t="n">
        <f aca="false">IF(Tasks[[#This Row],[_IsSummary]],COUNTIF(Tasks[WBS],Tasks[[#This Row],[WBS]]&amp;".*"),0)</f>
        <v>0</v>
      </c>
      <c r="BZ186" s="38" t="n">
        <f aca="false">IF(AND(Tasks[[#This Row],[Task Name]]&lt;&gt;"",NOT(Tasks[[#This Row],[_IsSummary]])),1,0)</f>
        <v>0</v>
      </c>
      <c r="CA186" s="38" t="n">
        <f aca="false">IF(N(Tasks[[#This Row],[Pred1 UID]])=0,0,IFERROR(MATCH(Tasks[[#This Row],[Pred1 UID]],Tasks[UID],0),-1))</f>
        <v>0</v>
      </c>
      <c r="CB186" s="38" t="n">
        <f aca="false">IF(N(Tasks[[#This Row],[Pred2 UID]])=0,0,IFERROR(MATCH(Tasks[[#This Row],[Pred2 UID]],Tasks[UID],0),-1))</f>
        <v>0</v>
      </c>
      <c r="CC186" s="38" t="n">
        <f aca="false">IF(N(Tasks[[#This Row],[Pred3 UID]])=0,0,IFERROR(MATCH(Tasks[[#This Row],[Pred3 UID]],Tasks[UID],0),-1))</f>
        <v>0</v>
      </c>
      <c r="CD186" s="38" t="n">
        <f aca="false">IF(N(Tasks[[#This Row],[Pred4 UID]])=0,0,IFERROR(MATCH(Tasks[[#This Row],[Pred4 UID]],Tasks[UID],0),-1))</f>
        <v>0</v>
      </c>
      <c r="CE18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6" s="115" t="n">
        <f aca="false">IF(OR(Tasks[[#This Row],[_ConstraintCode]]=2,Tasks[[#This Row],[_ConstraintCode]]=3,Tasks[[#This Row],[_ConstraintCode]]=4,Tasks[[#This Row],[_ConstraintCode]]=6),Tasks[[#This Row],[_ConstraintStart]],0)</f>
        <v>0</v>
      </c>
      <c r="CH186" s="115" t="n">
        <f aca="false">IF(OR(Tasks[[#This Row],[_ConstraintCode]]=2,Tasks[[#This Row],[_ConstraintCode]]=3,Tasks[[#This Row],[_ConstraintCode]]=5,Tasks[[#This Row],[_ConstraintCode]]=7),Tasks[[#This Row],[_ConstraintStart]],2958465)</f>
        <v>2958465</v>
      </c>
      <c r="CI18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6" s="115" t="str">
        <f aca="false">IF(NOT(Tasks[[#This Row],[_IsLeaf]]=1),"",IF(N(Tasks[[#This Row],[Duration]])&lt;=0,Tasks[[#This Row],[_LeafCalcStart]],WORKDAY.INTL(Tasks[[#This Row],[_LeafCalcStart]],Tasks[[#This Row],[Duration]]-1,WorkWeek,Holidays)))</f>
        <v/>
      </c>
      <c r="CK18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6" s="38" t="n">
        <f aca="false">IF(NOT(Tasks[[#This Row],[_IsLeaf]]=1),0,IF(N(Tasks[[#This Row],[Actual Finish]])&gt;0,1,MIN(1,N(Tasks[[#This Row],[% Complete]]))))</f>
        <v>0</v>
      </c>
      <c r="CN186" s="38" t="n">
        <f aca="false">IF(OR(NOT(Tasks[[#This Row],[_IsLeaf]]=1),Tasks[[#This Row],[Resource]]=""),0,N(Tasks[[#This Row],[Duration]])*HoursPerDay*IF(Tasks[[#This Row],[Units]]="",DefaultUnits,Tasks[[#This Row],[Units]]))</f>
        <v>0</v>
      </c>
      <c r="CO186" s="38" t="n">
        <f aca="false">IF(Tasks[[#This Row],[_LeafWork]]=0,0,Tasks[[#This Row],[_LeafWork]]*IFERROR(INDEX(res_Rate,MATCH(Tasks[[#This Row],[Resource]],res_Name,0)),0))</f>
        <v>0</v>
      </c>
      <c r="CP186" s="38" t="n">
        <f aca="false">Tasks[[#This Row],[_LeafWork]]+IF(Tasks[[#This Row],[_IsLeaf]]=1,SUMIFS(asg_Work,asg_TaskUID,Tasks[[#This Row],[UID]],asg_Valid,1),0)</f>
        <v>0</v>
      </c>
      <c r="CQ186" s="38" t="n">
        <f aca="false">Tasks[[#This Row],[_LeafCost]]+IF(Tasks[[#This Row],[_IsLeaf]]=1,SUMIFS(asg_Cost,asg_TaskUID,Tasks[[#This Row],[UID]],asg_Valid,1),0)</f>
        <v>0</v>
      </c>
      <c r="CR186" s="38" t="n">
        <f aca="false">IF(Tasks[[#This Row],[_LeafTotalCost]]=0,Tasks[[#This Row],[_LeafAC]],Tasks[[#This Row],[_LeafAC]]*Tasks[[#This Row],[_LeafCost]]/Tasks[[#This Row],[_LeafTotalCost]])</f>
        <v>0</v>
      </c>
      <c r="CS18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6" s="38" t="n">
        <f aca="false">IF(NOT(Tasks[[#This Row],[_IsLeaf]]=1),0,MAX(_xlfn.MAXIFS(Tasks[_Row],Tasks[Pred1 UID],Tasks[[#This Row],[UID]]),_xlfn.MAXIFS(Tasks[_Row],Tasks[Pred2 UID],Tasks[[#This Row],[UID]]),_xlfn.MAXIFS(Tasks[_Row],Tasks[Pred3 UID],Tasks[[#This Row],[UID]]),_xlfn.MAXIFS(Tasks[_Row],Tasks[Pred4 UID],Tasks[[#This Row],[UID]])))</f>
        <v>0</v>
      </c>
      <c r="DB18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6" s="115" t="str">
        <f aca="false">IF(NOT(Tasks[[#This Row],[_IsLeaf]]=1),"",IF(N(Tasks[[#This Row],[Duration]])&lt;=0,Tasks[[#This Row],[_LeafLateFinish]],WORKDAY.INTL(Tasks[[#This Row],[_LeafLateFinish]],-(Tasks[[#This Row],[Duration]]-1),WorkWeek,Holidays)))</f>
        <v/>
      </c>
      <c r="DE18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6" s="114" t="b">
        <f aca="false">AND(Tasks[[#This Row],[_IsLeaf]]=1,Tasks[[#This Row],[_LeafProgress]]&lt;1,N(Tasks[[#This Row],[_LeafTotalSlack]])&lt;=CriticalSlackDays)</f>
        <v>0</v>
      </c>
      <c r="DG186" s="38" t="n">
        <f aca="false">IF(AND(Tasks[[#This Row],[_IsLeaf]]=1,Tasks[[#This Row],[_ConstraintCode]]=1,Tasks[[#This Row],[Mode]]&lt;&gt;"Manual",N(Tasks[[#This Row],[Actual Start]])=0),MAX(0,N(Tasks[[#This Row],[Free Slack]])),0)</f>
        <v>0</v>
      </c>
      <c r="DH186" s="115" t="str">
        <f aca="false">IF(NOT(Tasks[[#This Row],[_IsLeaf]]=1),"",IF(Tasks[[#This Row],[_AlapShift]]=0,Tasks[[#This Row],[_LeafCalcStart]],WORKDAY.INTL(Tasks[[#This Row],[_LeafCalcStart]],Tasks[[#This Row],[_AlapShift]],WorkWeek,Holidays)))</f>
        <v/>
      </c>
      <c r="DI186" s="115" t="str">
        <f aca="false">IF(NOT(Tasks[[#This Row],[_IsLeaf]]=1),"",IF(Tasks[[#This Row],[_AlapShift]]=0,Tasks[[#This Row],[_LeafCalcFinish]],WORKDAY.INTL(Tasks[[#This Row],[_LeafCalcFinish]],Tasks[[#This Row],[_AlapShift]],WorkWeek,Holidays)))</f>
        <v/>
      </c>
      <c r="DJ186" s="115" t="str">
        <f aca="false">IF(NOT(Tasks[[#This Row],[_IsLeaf]]=1),"",IF(Tasks[[#This Row],[_AlapShift]]=0,Tasks[[#This Row],[_LeafFcstStart]],WORKDAY.INTL(Tasks[[#This Row],[_LeafFcstStart]],Tasks[[#This Row],[_AlapShift]],WorkWeek,Holidays)))</f>
        <v/>
      </c>
      <c r="DK186" s="115" t="str">
        <f aca="false">IF(NOT(Tasks[[#This Row],[_IsLeaf]]=1),"",IF(Tasks[[#This Row],[_AlapShift]]=0,Tasks[[#This Row],[_LeafFcstFinish]],WORKDAY.INTL(Tasks[[#This Row],[_LeafFcstFinish]],Tasks[[#This Row],[_AlapShift]],WorkWeek,Holidays)))</f>
        <v/>
      </c>
      <c r="DL186" s="115" t="str">
        <f aca="false">IF(Tasks[[#This Row],[Task Name]]="","",IF(Tasks[[#This Row],[_IsSummary]],MIN(INDEX(Tasks[_ShownCalcStart],Tasks[[#This Row],[_Row]]+1):INDEX(Tasks[_ShownCalcStart],Tasks[[#This Row],[_Row]]+Tasks[[#This Row],[_Descendants]])),Tasks[[#This Row],[_ShownCalcStart]]))</f>
        <v/>
      </c>
      <c r="DM186" s="115" t="str">
        <f aca="false">IF(Tasks[[#This Row],[Task Name]]="","",IF(Tasks[[#This Row],[_IsSummary]],MAX(INDEX(Tasks[_ShownCalcFinish],Tasks[[#This Row],[_Row]]+1):INDEX(Tasks[_ShownCalcFinish],Tasks[[#This Row],[_Row]]+Tasks[[#This Row],[_Descendants]])),Tasks[[#This Row],[_ShownCalcFinish]]))</f>
        <v/>
      </c>
      <c r="DN18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6" s="38" t="n">
        <f aca="false">IF(AND(Tasks[[#This Row],[_IsLeaf]]=1,Tasks[[#This Row],[_LeafTotalWork]]&gt;0),NETWORKDAYS.INTL(ProjectStart,Tasks[[#This Row],[_ShownFcstStart]],WorkWeek,Holidays),0)</f>
        <v>0</v>
      </c>
      <c r="EA186" s="38" t="n">
        <f aca="false">IF(AND(Tasks[[#This Row],[_IsLeaf]]=1,Tasks[[#This Row],[_LeafTotalWork]]&gt;0),MAX(Tasks[[#This Row],[_StartWorkday]],NETWORKDAYS.INTL(ProjectStart,Tasks[[#This Row],[_ShownFcstFinish]],WorkWeek,Holidays)),0)</f>
        <v>0</v>
      </c>
      <c r="EB186" s="38" t="n">
        <f aca="false">IF(AND(Tasks[[#This Row],[_IsLeaf]]=1,Tasks[[#This Row],[_LeafTotalWork]]&gt;0),Tasks[[#This Row],[_LeafWork]]/(Tasks[[#This Row],[_FinishWorkday]]-Tasks[[#This Row],[_StartWorkday]]+1),0)</f>
        <v>0</v>
      </c>
      <c r="EC186" s="38" t="n">
        <f aca="false">Tasks[[#This Row],[_WorkPerWorkday]]*(Tasks[[#This Row],[_StartWorkday]]-1)</f>
        <v>-0</v>
      </c>
      <c r="ED186" s="38" t="n">
        <f aca="false">IF(Tasks[[#This Row],[_IsLeaf]]=1,MAX(N(Tasks[[#This Row],[Duration]]),0.1),0)</f>
        <v>0</v>
      </c>
      <c r="EE186" s="38" t="n">
        <f aca="false">Tasks[[#This Row],[_WeightDur]]*Tasks[[#This Row],[_LeafProgress]]</f>
        <v>0</v>
      </c>
      <c r="EF18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6" s="38" t="str">
        <f aca="false">IF(AND(Tasks[[#This Row],[_IsLeaf]]=1,N(Tasks[[#This Row],[Duration]])=0,Tasks[[#This Row],[_LeafProgress]]&lt;1),Tasks[[#This Row],[_ShownFcstFinish]]+Tasks[[#This Row],[_Row]]/100000,"")</f>
        <v/>
      </c>
      <c r="EH18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6" s="38" t="n">
        <f aca="false">IF(NOT(Tasks[[#This Row],[_IsLeaf]]=1),0,IF(Tasks[[#This Row],[Baseline Cost]]="",Tasks[[#This Row],[_LeafTotalCost]],N(Tasks[[#This Row],[Baseline Cost]])))</f>
        <v>0</v>
      </c>
      <c r="EJ186" s="38" t="n">
        <f aca="false">Tasks[[#This Row],[_LeafBudget]]*Tasks[[#This Row],[_PlannedPct]]</f>
        <v>0</v>
      </c>
      <c r="EK186" s="38" t="n">
        <f aca="false">Tasks[[#This Row],[_LeafBudget]]*Tasks[[#This Row],[_LeafProgress]]</f>
        <v>0</v>
      </c>
      <c r="EL186" s="38" t="n">
        <f aca="false">IF(NOT(Tasks[[#This Row],[_IsLeaf]]=1),0,IF(Tasks[[#This Row],[Actual Cost]]="",Tasks[[#This Row],[_LeafTotalCost]]*Tasks[[#This Row],[_LeafProgress]],N(Tasks[[#This Row],[Actual Cost]])))</f>
        <v>0</v>
      </c>
      <c r="EM186" s="38" t="str">
        <f aca="false">IF(Tasks[[#This Row],[Task Name]]="","",LEFT(Tasks[[#This Row],[WBS]],FIND(".",Tasks[[#This Row],[WBS]]&amp;".")-1))</f>
        <v/>
      </c>
      <c r="EN186" s="38" t="str">
        <f aca="false">IF(AND(Tasks[[#This Row],[Task Name]]&lt;&gt;"",Tasks[[#This Row],[_Level]]=1),Tasks[[#This Row],[_Row]],"")</f>
        <v/>
      </c>
      <c r="EO186" s="38" t="str">
        <f aca="false">IF(AND(Tasks[[#This Row],[_IsLeaf]]=1,N(Tasks[[#This Row],[Duration]])=0),Tasks[[#This Row],[Planned Finish]]+Tasks[[#This Row],[_Row]]/100000,"")</f>
        <v/>
      </c>
      <c r="EP186" s="38" t="str">
        <f aca="false">IF(AND(Tasks[[#This Row],[_IsLeaf]]=1,Tasks[[#This Row],[_LeafProgress]]&lt;1,OR(N(Tasks[[#This Row],[Finish Var]])&gt;0,Tasks[[#This Row],[Status]]="Late Start")),MAX(0,Tasks[[#This Row],[Finish Var]])+1-Tasks[[#This Row],[_Row]]/1000000,"")</f>
        <v/>
      </c>
      <c r="EQ186" s="38" t="str">
        <f aca="false">IF(AND(Tasks[[#This Row],[_IsLeaf]]=1,N(Tasks[[#This Row],[Actual Start]])=0,Tasks[[#This Row],[_ShownFcstStart]]&gt;=StatusDate,Tasks[[#This Row],[_ShownFcstStart]]&lt;=LookaheadEnd),Tasks[[#This Row],[_ShownFcstStart]]+Tasks[[#This Row],[_Row]]/100000,"")</f>
        <v/>
      </c>
      <c r="ER186" s="38" t="str">
        <f aca="false">IF(AND(Tasks[[#This Row],[_IsLeaf]]=1,Tasks[[#This Row],[_LeafProgress]]&lt;1,Tasks[[#This Row],[_ShownFcstFinish]]&gt;=StatusDate,Tasks[[#This Row],[_ShownFcstFinish]]&lt;=LookaheadEnd),Tasks[[#This Row],[_ShownFcstFinish]]+Tasks[[#This Row],[_Row]]/100000,"")</f>
        <v/>
      </c>
      <c r="ES186" s="38" t="str">
        <f aca="false">IF(Tasks[[#This Row],[_LeafCritical]],Tasks[[#This Row],[_ShownFcstStart]]+Tasks[[#This Row],[_Row]]/100000,"")</f>
        <v/>
      </c>
      <c r="ET186" s="38" t="n">
        <f aca="false">Tasks[[#This Row],[_LeafWork]]*Tasks[[#This Row],[_LeafProgress]]</f>
        <v>0</v>
      </c>
      <c r="EU186" s="115" t="str">
        <f aca="false">IF(AND(Tasks[[#This Row],[_IsLeaf]]=1,Tasks[[#This Row],[_LeafProgress]]&gt;=1),IF(N(Tasks[[#This Row],[Actual Finish]])&gt;0,Tasks[[#This Row],[Actual Finish]],Tasks[[#This Row],[_ShownFcstFinish]]),"")</f>
        <v/>
      </c>
      <c r="EV186" s="38" t="n">
        <f aca="false">IF(Tasks[[#This Row],[_IsLeaf]]=1,N(Tasks[[#This Row],[Story Points]]),0)</f>
        <v>0</v>
      </c>
      <c r="EW186" s="38" t="str">
        <f aca="false">IF(AND(Tasks[[#This Row],[_IsLeaf]]=1,CurrentSprint&lt;&gt;"",Tasks[[#This Row],[Sprint]]=CurrentSprint),Tasks[[#This Row],[_Row]],"")</f>
        <v/>
      </c>
    </row>
    <row r="187" customFormat="false" ht="15" hidden="false" customHeight="false" outlineLevel="0" collapsed="false">
      <c r="A187" s="51" t="str">
        <f aca="false">IF(Tasks[[#This Row],[Task Name]]="","",COUNTA(Tasks[[#Headers],[Task Name]]:Tasks[[#This Row],[Task Name]])-1)</f>
        <v/>
      </c>
      <c r="B187" s="52" t="n">
        <v>182</v>
      </c>
      <c r="C18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52"/>
      <c r="E187" s="53"/>
      <c r="F187" s="52"/>
      <c r="G187" s="52"/>
      <c r="H187" s="52"/>
      <c r="I187" s="52"/>
      <c r="J187" s="52"/>
      <c r="K187" s="52"/>
      <c r="L187" s="52"/>
      <c r="M187" s="52"/>
      <c r="N187" s="52"/>
      <c r="O187" s="52"/>
      <c r="P187" s="52"/>
      <c r="Q187" s="52"/>
      <c r="R187" s="52"/>
      <c r="S187" s="53"/>
      <c r="T187" s="102"/>
      <c r="U187" s="102"/>
      <c r="V187" s="7"/>
      <c r="W187" s="7"/>
      <c r="X187" s="53"/>
      <c r="Y187" s="31" t="str">
        <f aca="false">IF(Tasks[[#This Row],[Task Name]]="","",IF(Tasks[[#This Row],[_IsSummary]],MIN(INDEX(Tasks[_ShownFcstStart],Tasks[[#This Row],[_Row]]+1):INDEX(Tasks[_ShownFcstStart],Tasks[[#This Row],[_Row]]+Tasks[[#This Row],[_Descendants]])),Tasks[[#This Row],[_ShownFcstStart]]))</f>
        <v/>
      </c>
      <c r="Z187" s="31" t="str">
        <f aca="false">IF(Tasks[[#This Row],[Task Name]]="","",IF(Tasks[[#This Row],[_IsSummary]],MAX(INDEX(Tasks[_ShownFcstFinish],Tasks[[#This Row],[_Row]]+1):INDEX(Tasks[_ShownFcstFinish],Tasks[[#This Row],[_Row]]+Tasks[[#This Row],[_Descendants]])),Tasks[[#This Row],[_ShownFcstFinish]]))</f>
        <v/>
      </c>
      <c r="AA187" s="51" t="str">
        <f aca="false">IF(Tasks[[#This Row],[Task Name]]="","",IF(Tasks[[#This Row],[Progress]]&gt;=1,"Complete",IF(OR(N(Tasks[[#This Row],[Actual Start]])&gt;0,Tasks[[#This Row],[Progress]]&gt;0),IF(Tasks[[#This Row],[Finish Var]]&gt;0,"Behind","In Progress"),IF(Tasks[[#This Row],[Planned Start]]&lt;StatusDate,"Late Start","Not Started"))))</f>
        <v/>
      </c>
      <c r="AB187" s="51" t="str">
        <f aca="false">IF(Tasks[[#This Row],[Task Name]]="","",IF(IF(Tasks[[#This Row],[_IsSummary]],COUNTIF(INDEX(Tasks[_LeafCritical],Tasks[[#This Row],[_Row]]+1):INDEX(Tasks[_LeafCritical],Tasks[[#This Row],[_Row]]+Tasks[[#This Row],[_Descendants]]),TRUE())&gt;0,Tasks[[#This Row],[_LeafCritical]]),"Yes",""))</f>
        <v/>
      </c>
      <c r="AC18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7" s="51" t="str">
        <f aca="false">IF(Tasks[[#This Row],[Task Name]]="","",IF(Tasks[[#This Row],[_Level]]&lt;=OutlineShowLevel,"Yes","No"))</f>
        <v/>
      </c>
      <c r="AE187" s="7"/>
      <c r="AF187" s="52"/>
      <c r="AG187" s="53"/>
      <c r="AH187" s="7"/>
      <c r="AI18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7" s="31" t="str">
        <f aca="false">IF(Tasks[[#This Row],[Task Name]]="","",IF(N(Tasks[[#This Row],[Baseline Start]])&gt;0,Tasks[[#This Row],[Baseline Start]],Tasks[[#This Row],[_CalcStart]]))</f>
        <v/>
      </c>
      <c r="AK187" s="31" t="str">
        <f aca="false">IF(Tasks[[#This Row],[Task Name]]="","",IF(N(Tasks[[#This Row],[Baseline Finish]])&gt;0,Tasks[[#This Row],[Baseline Finish]],Tasks[[#This Row],[_CalcFinish]]))</f>
        <v/>
      </c>
      <c r="AL18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7" s="31" t="str">
        <f aca="false">IF(Tasks[[#This Row],[Task Name]]="","",IF(Tasks[[#This Row],[_IsSummary]],MIN(INDEX(Tasks[_LeafLateStart],Tasks[[#This Row],[_Row]]+1):INDEX(Tasks[_LeafLateStart],Tasks[[#This Row],[_Row]]+Tasks[[#This Row],[_Descendants]])),Tasks[[#This Row],[_LeafLateStart]]))</f>
        <v/>
      </c>
      <c r="AN187" s="31" t="str">
        <f aca="false">IF(Tasks[[#This Row],[Task Name]]="","",IF(Tasks[[#This Row],[_IsSummary]],MAX(INDEX(Tasks[_LeafLateFinish],Tasks[[#This Row],[_Row]]+1):INDEX(Tasks[_LeafLateFinish],Tasks[[#This Row],[_Row]]+Tasks[[#This Row],[_Descendants]])),Tasks[[#This Row],[_LeafLateFinish]]))</f>
        <v/>
      </c>
      <c r="AO187" s="51" t="str">
        <f aca="false">IF(Tasks[[#This Row],[Task Name]]="","",IF(Tasks[[#This Row],[_IsSummary]],MIN(INDEX(Tasks[_LeafTotalSlack],Tasks[[#This Row],[_Row]]+1):INDEX(Tasks[_LeafTotalSlack],Tasks[[#This Row],[_Row]]+Tasks[[#This Row],[_Descendants]])),Tasks[[#This Row],[_LeafTotalSlack]]))</f>
        <v/>
      </c>
      <c r="AP18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7" s="110" t="str">
        <f aca="false">IF(Tasks[[#This Row],[Task Name]]="","",IF(Tasks[[#This Row],[_IsSummary]],SUM(INDEX(Tasks[_LeafTotalWork],Tasks[[#This Row],[_Row]]+1):INDEX(Tasks[_LeafTotalWork],Tasks[[#This Row],[_Row]]+Tasks[[#This Row],[_Descendants]])),Tasks[[#This Row],[_LeafTotalWork]]))</f>
        <v/>
      </c>
      <c r="AV18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7" s="111" t="str">
        <f aca="false">IF(Tasks[[#This Row],[Task Name]]="","",IF(Tasks[[#This Row],[_IsSummary]],SUM(INDEX(Tasks[_LeafTotalCost],Tasks[[#This Row],[_Row]]+1):INDEX(Tasks[_LeafTotalCost],Tasks[[#This Row],[_Row]]+Tasks[[#This Row],[_Descendants]])),Tasks[[#This Row],[_LeafTotalCost]]))</f>
        <v/>
      </c>
      <c r="AY187" s="112"/>
      <c r="AZ18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7" s="52"/>
      <c r="BB187" s="98"/>
      <c r="BC187" s="51" t="str">
        <f aca="false">IF(OR(Tasks[[#This Row],[Task Name]]="",Tasks[[#This Row],[Baseline Duration]]=""),"",Tasks[[#This Row],[BL Source Duration]]-N(Tasks[[#This Row],[Baseline Duration]]))</f>
        <v/>
      </c>
      <c r="BD187" s="110" t="str">
        <f aca="false">IF(OR(Tasks[[#This Row],[Task Name]]="",Tasks[[#This Row],[Baseline Work]]=""),"",Tasks[[#This Row],[Work]]-N(Tasks[[#This Row],[Baseline Work]]))</f>
        <v/>
      </c>
      <c r="BE187" s="111" t="str">
        <f aca="false">IF(OR(Tasks[[#This Row],[Task Name]]="",Tasks[[#This Row],[Baseline Cost]]=""),"",Tasks[[#This Row],[Cost]]-N(Tasks[[#This Row],[Baseline Cost]]))</f>
        <v/>
      </c>
      <c r="BF187" s="31" t="str">
        <f aca="false">IF(Tasks[[#This Row],[Task Name]]="","",Tasks[[#This Row],[Forecast Start]])</f>
        <v/>
      </c>
      <c r="BG187" s="31" t="str">
        <f aca="false">IF(Tasks[[#This Row],[Task Name]]="","",Tasks[[#This Row],[Forecast Finish]])</f>
        <v/>
      </c>
      <c r="BH187" s="51" t="str">
        <f aca="false">IF(Tasks[[#This Row],[Task Name]]="","",IF(Tasks[[#This Row],[_IsSummary]],NETWORKDAYS.INTL(Tasks[[#This Row],[Forecast Start]],Tasks[[#This Row],[Forecast Finish]],WorkWeek,Holidays),N(Tasks[[#This Row],[Duration]])))</f>
        <v/>
      </c>
      <c r="BI187" s="110" t="str">
        <f aca="false">IF(Tasks[[#This Row],[Task Name]]="","",Tasks[[#This Row],[Work]])</f>
        <v/>
      </c>
      <c r="BJ187" s="111" t="str">
        <f aca="false">IF(Tasks[[#This Row],[Task Name]]="","",Tasks[[#This Row],[Cost]])</f>
        <v/>
      </c>
      <c r="BK187" s="7"/>
      <c r="BL187" s="7"/>
      <c r="BM187" s="52"/>
      <c r="BN187" s="113"/>
      <c r="BO187" s="112"/>
      <c r="BP187" s="111" t="str">
        <f aca="false">IF(Tasks[[#This Row],[Task Name]]="","",IF(Tasks[[#This Row],[_IsSummary]],SUM(INDEX(Tasks[_LeafEV],Tasks[[#This Row],[_Row]]+1):INDEX(Tasks[_LeafEV],Tasks[[#This Row],[_Row]]+Tasks[[#This Row],[_Descendants]])),Tasks[[#This Row],[_LeafEV]]))</f>
        <v/>
      </c>
      <c r="BQ187" s="111" t="str">
        <f aca="false">IF(Tasks[[#This Row],[Task Name]]="","",IF(Tasks[[#This Row],[_IsSummary]],SUM(INDEX(Tasks[_LeafBudget],Tasks[[#This Row],[_Row]]+1):INDEX(Tasks[_LeafBudget],Tasks[[#This Row],[_Row]]+Tasks[[#This Row],[_Descendants]])),Tasks[[#This Row],[_LeafBudget]]))</f>
        <v/>
      </c>
      <c r="BR187" s="111" t="str">
        <f aca="false">IF(Tasks[[#This Row],[Task Name]]="","",IF(Tasks[[#This Row],[_IsSummary]],SUM(INDEX(Tasks[_LeafPV],Tasks[[#This Row],[_Row]]+1):INDEX(Tasks[_LeafPV],Tasks[[#This Row],[_Row]]+Tasks[[#This Row],[_Descendants]])),Tasks[[#This Row],[_LeafPV]]))</f>
        <v/>
      </c>
      <c r="BS187" s="111" t="str">
        <f aca="false">IF(Tasks[[#This Row],[Task Name]]="","",IF(Tasks[[#This Row],[_IsSummary]],SUM(INDEX(Tasks[_LeafAC],Tasks[[#This Row],[_Row]]+1):INDEX(Tasks[_LeafAC],Tasks[[#This Row],[_Row]]+Tasks[[#This Row],[_Descendants]])),Tasks[[#This Row],[_LeafAC]]))</f>
        <v/>
      </c>
      <c r="BT187" s="38" t="str">
        <f aca="false">IF(Tasks[[#This Row],[Task Name]]="","",MAX(1,N(Tasks[[#This Row],[Level]])))</f>
        <v/>
      </c>
      <c r="BU187" s="38" t="n">
        <f aca="false">ROW()-ROW(Tasks[[#Headers],[ID]])</f>
        <v>182</v>
      </c>
      <c r="BV187" s="38" t="n">
        <f aca="false">IF(OR(Tasks[[#This Row],[Task Name]]="",Tasks[[#This Row],[_Level]]&lt;=1),0,IFERROR(LOOKUP(2,1/(Tasks[[#Headers],[_Level]]:Tasks[[#This Row],[_Level]]=Tasks[[#This Row],[_Level]]-1),ROW(Tasks[[#Headers],[_Level]]:Tasks[[#This Row],[_Level]])),0))</f>
        <v>0</v>
      </c>
      <c r="BW187" s="38" t="n">
        <f aca="false">IFERROR(N(INDEX(Tasks[_Level],Tasks[[#This Row],[_Row]]+1)),0)</f>
        <v>0</v>
      </c>
      <c r="BX187" s="114" t="b">
        <f aca="false">AND(Tasks[[#This Row],[Task Name]]&lt;&gt;"",Tasks[[#This Row],[_NextLevel]]&gt;Tasks[[#This Row],[_Level]])</f>
        <v>0</v>
      </c>
      <c r="BY187" s="38" t="n">
        <f aca="false">IF(Tasks[[#This Row],[_IsSummary]],COUNTIF(Tasks[WBS],Tasks[[#This Row],[WBS]]&amp;".*"),0)</f>
        <v>0</v>
      </c>
      <c r="BZ187" s="38" t="n">
        <f aca="false">IF(AND(Tasks[[#This Row],[Task Name]]&lt;&gt;"",NOT(Tasks[[#This Row],[_IsSummary]])),1,0)</f>
        <v>0</v>
      </c>
      <c r="CA187" s="38" t="n">
        <f aca="false">IF(N(Tasks[[#This Row],[Pred1 UID]])=0,0,IFERROR(MATCH(Tasks[[#This Row],[Pred1 UID]],Tasks[UID],0),-1))</f>
        <v>0</v>
      </c>
      <c r="CB187" s="38" t="n">
        <f aca="false">IF(N(Tasks[[#This Row],[Pred2 UID]])=0,0,IFERROR(MATCH(Tasks[[#This Row],[Pred2 UID]],Tasks[UID],0),-1))</f>
        <v>0</v>
      </c>
      <c r="CC187" s="38" t="n">
        <f aca="false">IF(N(Tasks[[#This Row],[Pred3 UID]])=0,0,IFERROR(MATCH(Tasks[[#This Row],[Pred3 UID]],Tasks[UID],0),-1))</f>
        <v>0</v>
      </c>
      <c r="CD187" s="38" t="n">
        <f aca="false">IF(N(Tasks[[#This Row],[Pred4 UID]])=0,0,IFERROR(MATCH(Tasks[[#This Row],[Pred4 UID]],Tasks[UID],0),-1))</f>
        <v>0</v>
      </c>
      <c r="CE18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7" s="115" t="n">
        <f aca="false">IF(OR(Tasks[[#This Row],[_ConstraintCode]]=2,Tasks[[#This Row],[_ConstraintCode]]=3,Tasks[[#This Row],[_ConstraintCode]]=4,Tasks[[#This Row],[_ConstraintCode]]=6),Tasks[[#This Row],[_ConstraintStart]],0)</f>
        <v>0</v>
      </c>
      <c r="CH187" s="115" t="n">
        <f aca="false">IF(OR(Tasks[[#This Row],[_ConstraintCode]]=2,Tasks[[#This Row],[_ConstraintCode]]=3,Tasks[[#This Row],[_ConstraintCode]]=5,Tasks[[#This Row],[_ConstraintCode]]=7),Tasks[[#This Row],[_ConstraintStart]],2958465)</f>
        <v>2958465</v>
      </c>
      <c r="CI18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7" s="115" t="str">
        <f aca="false">IF(NOT(Tasks[[#This Row],[_IsLeaf]]=1),"",IF(N(Tasks[[#This Row],[Duration]])&lt;=0,Tasks[[#This Row],[_LeafCalcStart]],WORKDAY.INTL(Tasks[[#This Row],[_LeafCalcStart]],Tasks[[#This Row],[Duration]]-1,WorkWeek,Holidays)))</f>
        <v/>
      </c>
      <c r="CK18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7" s="38" t="n">
        <f aca="false">IF(NOT(Tasks[[#This Row],[_IsLeaf]]=1),0,IF(N(Tasks[[#This Row],[Actual Finish]])&gt;0,1,MIN(1,N(Tasks[[#This Row],[% Complete]]))))</f>
        <v>0</v>
      </c>
      <c r="CN187" s="38" t="n">
        <f aca="false">IF(OR(NOT(Tasks[[#This Row],[_IsLeaf]]=1),Tasks[[#This Row],[Resource]]=""),0,N(Tasks[[#This Row],[Duration]])*HoursPerDay*IF(Tasks[[#This Row],[Units]]="",DefaultUnits,Tasks[[#This Row],[Units]]))</f>
        <v>0</v>
      </c>
      <c r="CO187" s="38" t="n">
        <f aca="false">IF(Tasks[[#This Row],[_LeafWork]]=0,0,Tasks[[#This Row],[_LeafWork]]*IFERROR(INDEX(res_Rate,MATCH(Tasks[[#This Row],[Resource]],res_Name,0)),0))</f>
        <v>0</v>
      </c>
      <c r="CP187" s="38" t="n">
        <f aca="false">Tasks[[#This Row],[_LeafWork]]+IF(Tasks[[#This Row],[_IsLeaf]]=1,SUMIFS(asg_Work,asg_TaskUID,Tasks[[#This Row],[UID]],asg_Valid,1),0)</f>
        <v>0</v>
      </c>
      <c r="CQ187" s="38" t="n">
        <f aca="false">Tasks[[#This Row],[_LeafCost]]+IF(Tasks[[#This Row],[_IsLeaf]]=1,SUMIFS(asg_Cost,asg_TaskUID,Tasks[[#This Row],[UID]],asg_Valid,1),0)</f>
        <v>0</v>
      </c>
      <c r="CR187" s="38" t="n">
        <f aca="false">IF(Tasks[[#This Row],[_LeafTotalCost]]=0,Tasks[[#This Row],[_LeafAC]],Tasks[[#This Row],[_LeafAC]]*Tasks[[#This Row],[_LeafCost]]/Tasks[[#This Row],[_LeafTotalCost]])</f>
        <v>0</v>
      </c>
      <c r="CS18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7" s="38" t="n">
        <f aca="false">IF(NOT(Tasks[[#This Row],[_IsLeaf]]=1),0,MAX(_xlfn.MAXIFS(Tasks[_Row],Tasks[Pred1 UID],Tasks[[#This Row],[UID]]),_xlfn.MAXIFS(Tasks[_Row],Tasks[Pred2 UID],Tasks[[#This Row],[UID]]),_xlfn.MAXIFS(Tasks[_Row],Tasks[Pred3 UID],Tasks[[#This Row],[UID]]),_xlfn.MAXIFS(Tasks[_Row],Tasks[Pred4 UID],Tasks[[#This Row],[UID]])))</f>
        <v>0</v>
      </c>
      <c r="DB18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7" s="115" t="str">
        <f aca="false">IF(NOT(Tasks[[#This Row],[_IsLeaf]]=1),"",IF(N(Tasks[[#This Row],[Duration]])&lt;=0,Tasks[[#This Row],[_LeafLateFinish]],WORKDAY.INTL(Tasks[[#This Row],[_LeafLateFinish]],-(Tasks[[#This Row],[Duration]]-1),WorkWeek,Holidays)))</f>
        <v/>
      </c>
      <c r="DE18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7" s="114" t="b">
        <f aca="false">AND(Tasks[[#This Row],[_IsLeaf]]=1,Tasks[[#This Row],[_LeafProgress]]&lt;1,N(Tasks[[#This Row],[_LeafTotalSlack]])&lt;=CriticalSlackDays)</f>
        <v>0</v>
      </c>
      <c r="DG187" s="38" t="n">
        <f aca="false">IF(AND(Tasks[[#This Row],[_IsLeaf]]=1,Tasks[[#This Row],[_ConstraintCode]]=1,Tasks[[#This Row],[Mode]]&lt;&gt;"Manual",N(Tasks[[#This Row],[Actual Start]])=0),MAX(0,N(Tasks[[#This Row],[Free Slack]])),0)</f>
        <v>0</v>
      </c>
      <c r="DH187" s="115" t="str">
        <f aca="false">IF(NOT(Tasks[[#This Row],[_IsLeaf]]=1),"",IF(Tasks[[#This Row],[_AlapShift]]=0,Tasks[[#This Row],[_LeafCalcStart]],WORKDAY.INTL(Tasks[[#This Row],[_LeafCalcStart]],Tasks[[#This Row],[_AlapShift]],WorkWeek,Holidays)))</f>
        <v/>
      </c>
      <c r="DI187" s="115" t="str">
        <f aca="false">IF(NOT(Tasks[[#This Row],[_IsLeaf]]=1),"",IF(Tasks[[#This Row],[_AlapShift]]=0,Tasks[[#This Row],[_LeafCalcFinish]],WORKDAY.INTL(Tasks[[#This Row],[_LeafCalcFinish]],Tasks[[#This Row],[_AlapShift]],WorkWeek,Holidays)))</f>
        <v/>
      </c>
      <c r="DJ187" s="115" t="str">
        <f aca="false">IF(NOT(Tasks[[#This Row],[_IsLeaf]]=1),"",IF(Tasks[[#This Row],[_AlapShift]]=0,Tasks[[#This Row],[_LeafFcstStart]],WORKDAY.INTL(Tasks[[#This Row],[_LeafFcstStart]],Tasks[[#This Row],[_AlapShift]],WorkWeek,Holidays)))</f>
        <v/>
      </c>
      <c r="DK187" s="115" t="str">
        <f aca="false">IF(NOT(Tasks[[#This Row],[_IsLeaf]]=1),"",IF(Tasks[[#This Row],[_AlapShift]]=0,Tasks[[#This Row],[_LeafFcstFinish]],WORKDAY.INTL(Tasks[[#This Row],[_LeafFcstFinish]],Tasks[[#This Row],[_AlapShift]],WorkWeek,Holidays)))</f>
        <v/>
      </c>
      <c r="DL187" s="115" t="str">
        <f aca="false">IF(Tasks[[#This Row],[Task Name]]="","",IF(Tasks[[#This Row],[_IsSummary]],MIN(INDEX(Tasks[_ShownCalcStart],Tasks[[#This Row],[_Row]]+1):INDEX(Tasks[_ShownCalcStart],Tasks[[#This Row],[_Row]]+Tasks[[#This Row],[_Descendants]])),Tasks[[#This Row],[_ShownCalcStart]]))</f>
        <v/>
      </c>
      <c r="DM187" s="115" t="str">
        <f aca="false">IF(Tasks[[#This Row],[Task Name]]="","",IF(Tasks[[#This Row],[_IsSummary]],MAX(INDEX(Tasks[_ShownCalcFinish],Tasks[[#This Row],[_Row]]+1):INDEX(Tasks[_ShownCalcFinish],Tasks[[#This Row],[_Row]]+Tasks[[#This Row],[_Descendants]])),Tasks[[#This Row],[_ShownCalcFinish]]))</f>
        <v/>
      </c>
      <c r="DN18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7" s="38" t="n">
        <f aca="false">IF(AND(Tasks[[#This Row],[_IsLeaf]]=1,Tasks[[#This Row],[_LeafTotalWork]]&gt;0),NETWORKDAYS.INTL(ProjectStart,Tasks[[#This Row],[_ShownFcstStart]],WorkWeek,Holidays),0)</f>
        <v>0</v>
      </c>
      <c r="EA187" s="38" t="n">
        <f aca="false">IF(AND(Tasks[[#This Row],[_IsLeaf]]=1,Tasks[[#This Row],[_LeafTotalWork]]&gt;0),MAX(Tasks[[#This Row],[_StartWorkday]],NETWORKDAYS.INTL(ProjectStart,Tasks[[#This Row],[_ShownFcstFinish]],WorkWeek,Holidays)),0)</f>
        <v>0</v>
      </c>
      <c r="EB187" s="38" t="n">
        <f aca="false">IF(AND(Tasks[[#This Row],[_IsLeaf]]=1,Tasks[[#This Row],[_LeafTotalWork]]&gt;0),Tasks[[#This Row],[_LeafWork]]/(Tasks[[#This Row],[_FinishWorkday]]-Tasks[[#This Row],[_StartWorkday]]+1),0)</f>
        <v>0</v>
      </c>
      <c r="EC187" s="38" t="n">
        <f aca="false">Tasks[[#This Row],[_WorkPerWorkday]]*(Tasks[[#This Row],[_StartWorkday]]-1)</f>
        <v>-0</v>
      </c>
      <c r="ED187" s="38" t="n">
        <f aca="false">IF(Tasks[[#This Row],[_IsLeaf]]=1,MAX(N(Tasks[[#This Row],[Duration]]),0.1),0)</f>
        <v>0</v>
      </c>
      <c r="EE187" s="38" t="n">
        <f aca="false">Tasks[[#This Row],[_WeightDur]]*Tasks[[#This Row],[_LeafProgress]]</f>
        <v>0</v>
      </c>
      <c r="EF18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7" s="38" t="str">
        <f aca="false">IF(AND(Tasks[[#This Row],[_IsLeaf]]=1,N(Tasks[[#This Row],[Duration]])=0,Tasks[[#This Row],[_LeafProgress]]&lt;1),Tasks[[#This Row],[_ShownFcstFinish]]+Tasks[[#This Row],[_Row]]/100000,"")</f>
        <v/>
      </c>
      <c r="EH18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7" s="38" t="n">
        <f aca="false">IF(NOT(Tasks[[#This Row],[_IsLeaf]]=1),0,IF(Tasks[[#This Row],[Baseline Cost]]="",Tasks[[#This Row],[_LeafTotalCost]],N(Tasks[[#This Row],[Baseline Cost]])))</f>
        <v>0</v>
      </c>
      <c r="EJ187" s="38" t="n">
        <f aca="false">Tasks[[#This Row],[_LeafBudget]]*Tasks[[#This Row],[_PlannedPct]]</f>
        <v>0</v>
      </c>
      <c r="EK187" s="38" t="n">
        <f aca="false">Tasks[[#This Row],[_LeafBudget]]*Tasks[[#This Row],[_LeafProgress]]</f>
        <v>0</v>
      </c>
      <c r="EL187" s="38" t="n">
        <f aca="false">IF(NOT(Tasks[[#This Row],[_IsLeaf]]=1),0,IF(Tasks[[#This Row],[Actual Cost]]="",Tasks[[#This Row],[_LeafTotalCost]]*Tasks[[#This Row],[_LeafProgress]],N(Tasks[[#This Row],[Actual Cost]])))</f>
        <v>0</v>
      </c>
      <c r="EM187" s="38" t="str">
        <f aca="false">IF(Tasks[[#This Row],[Task Name]]="","",LEFT(Tasks[[#This Row],[WBS]],FIND(".",Tasks[[#This Row],[WBS]]&amp;".")-1))</f>
        <v/>
      </c>
      <c r="EN187" s="38" t="str">
        <f aca="false">IF(AND(Tasks[[#This Row],[Task Name]]&lt;&gt;"",Tasks[[#This Row],[_Level]]=1),Tasks[[#This Row],[_Row]],"")</f>
        <v/>
      </c>
      <c r="EO187" s="38" t="str">
        <f aca="false">IF(AND(Tasks[[#This Row],[_IsLeaf]]=1,N(Tasks[[#This Row],[Duration]])=0),Tasks[[#This Row],[Planned Finish]]+Tasks[[#This Row],[_Row]]/100000,"")</f>
        <v/>
      </c>
      <c r="EP187" s="38" t="str">
        <f aca="false">IF(AND(Tasks[[#This Row],[_IsLeaf]]=1,Tasks[[#This Row],[_LeafProgress]]&lt;1,OR(N(Tasks[[#This Row],[Finish Var]])&gt;0,Tasks[[#This Row],[Status]]="Late Start")),MAX(0,Tasks[[#This Row],[Finish Var]])+1-Tasks[[#This Row],[_Row]]/1000000,"")</f>
        <v/>
      </c>
      <c r="EQ187" s="38" t="str">
        <f aca="false">IF(AND(Tasks[[#This Row],[_IsLeaf]]=1,N(Tasks[[#This Row],[Actual Start]])=0,Tasks[[#This Row],[_ShownFcstStart]]&gt;=StatusDate,Tasks[[#This Row],[_ShownFcstStart]]&lt;=LookaheadEnd),Tasks[[#This Row],[_ShownFcstStart]]+Tasks[[#This Row],[_Row]]/100000,"")</f>
        <v/>
      </c>
      <c r="ER187" s="38" t="str">
        <f aca="false">IF(AND(Tasks[[#This Row],[_IsLeaf]]=1,Tasks[[#This Row],[_LeafProgress]]&lt;1,Tasks[[#This Row],[_ShownFcstFinish]]&gt;=StatusDate,Tasks[[#This Row],[_ShownFcstFinish]]&lt;=LookaheadEnd),Tasks[[#This Row],[_ShownFcstFinish]]+Tasks[[#This Row],[_Row]]/100000,"")</f>
        <v/>
      </c>
      <c r="ES187" s="38" t="str">
        <f aca="false">IF(Tasks[[#This Row],[_LeafCritical]],Tasks[[#This Row],[_ShownFcstStart]]+Tasks[[#This Row],[_Row]]/100000,"")</f>
        <v/>
      </c>
      <c r="ET187" s="38" t="n">
        <f aca="false">Tasks[[#This Row],[_LeafWork]]*Tasks[[#This Row],[_LeafProgress]]</f>
        <v>0</v>
      </c>
      <c r="EU187" s="115" t="str">
        <f aca="false">IF(AND(Tasks[[#This Row],[_IsLeaf]]=1,Tasks[[#This Row],[_LeafProgress]]&gt;=1),IF(N(Tasks[[#This Row],[Actual Finish]])&gt;0,Tasks[[#This Row],[Actual Finish]],Tasks[[#This Row],[_ShownFcstFinish]]),"")</f>
        <v/>
      </c>
      <c r="EV187" s="38" t="n">
        <f aca="false">IF(Tasks[[#This Row],[_IsLeaf]]=1,N(Tasks[[#This Row],[Story Points]]),0)</f>
        <v>0</v>
      </c>
      <c r="EW187" s="38" t="str">
        <f aca="false">IF(AND(Tasks[[#This Row],[_IsLeaf]]=1,CurrentSprint&lt;&gt;"",Tasks[[#This Row],[Sprint]]=CurrentSprint),Tasks[[#This Row],[_Row]],"")</f>
        <v/>
      </c>
    </row>
    <row r="188" customFormat="false" ht="15" hidden="false" customHeight="false" outlineLevel="0" collapsed="false">
      <c r="A188" s="51" t="str">
        <f aca="false">IF(Tasks[[#This Row],[Task Name]]="","",COUNTA(Tasks[[#Headers],[Task Name]]:Tasks[[#This Row],[Task Name]])-1)</f>
        <v/>
      </c>
      <c r="B188" s="52" t="n">
        <v>183</v>
      </c>
      <c r="C18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52"/>
      <c r="E188" s="53"/>
      <c r="F188" s="52"/>
      <c r="G188" s="52"/>
      <c r="H188" s="52"/>
      <c r="I188" s="52"/>
      <c r="J188" s="52"/>
      <c r="K188" s="52"/>
      <c r="L188" s="52"/>
      <c r="M188" s="52"/>
      <c r="N188" s="52"/>
      <c r="O188" s="52"/>
      <c r="P188" s="52"/>
      <c r="Q188" s="52"/>
      <c r="R188" s="52"/>
      <c r="S188" s="53"/>
      <c r="T188" s="102"/>
      <c r="U188" s="102"/>
      <c r="V188" s="7"/>
      <c r="W188" s="7"/>
      <c r="X188" s="53"/>
      <c r="Y188" s="31" t="str">
        <f aca="false">IF(Tasks[[#This Row],[Task Name]]="","",IF(Tasks[[#This Row],[_IsSummary]],MIN(INDEX(Tasks[_ShownFcstStart],Tasks[[#This Row],[_Row]]+1):INDEX(Tasks[_ShownFcstStart],Tasks[[#This Row],[_Row]]+Tasks[[#This Row],[_Descendants]])),Tasks[[#This Row],[_ShownFcstStart]]))</f>
        <v/>
      </c>
      <c r="Z188" s="31" t="str">
        <f aca="false">IF(Tasks[[#This Row],[Task Name]]="","",IF(Tasks[[#This Row],[_IsSummary]],MAX(INDEX(Tasks[_ShownFcstFinish],Tasks[[#This Row],[_Row]]+1):INDEX(Tasks[_ShownFcstFinish],Tasks[[#This Row],[_Row]]+Tasks[[#This Row],[_Descendants]])),Tasks[[#This Row],[_ShownFcstFinish]]))</f>
        <v/>
      </c>
      <c r="AA188" s="51" t="str">
        <f aca="false">IF(Tasks[[#This Row],[Task Name]]="","",IF(Tasks[[#This Row],[Progress]]&gt;=1,"Complete",IF(OR(N(Tasks[[#This Row],[Actual Start]])&gt;0,Tasks[[#This Row],[Progress]]&gt;0),IF(Tasks[[#This Row],[Finish Var]]&gt;0,"Behind","In Progress"),IF(Tasks[[#This Row],[Planned Start]]&lt;StatusDate,"Late Start","Not Started"))))</f>
        <v/>
      </c>
      <c r="AB188" s="51" t="str">
        <f aca="false">IF(Tasks[[#This Row],[Task Name]]="","",IF(IF(Tasks[[#This Row],[_IsSummary]],COUNTIF(INDEX(Tasks[_LeafCritical],Tasks[[#This Row],[_Row]]+1):INDEX(Tasks[_LeafCritical],Tasks[[#This Row],[_Row]]+Tasks[[#This Row],[_Descendants]]),TRUE())&gt;0,Tasks[[#This Row],[_LeafCritical]]),"Yes",""))</f>
        <v/>
      </c>
      <c r="AC18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8" s="51" t="str">
        <f aca="false">IF(Tasks[[#This Row],[Task Name]]="","",IF(Tasks[[#This Row],[_Level]]&lt;=OutlineShowLevel,"Yes","No"))</f>
        <v/>
      </c>
      <c r="AE188" s="7"/>
      <c r="AF188" s="52"/>
      <c r="AG188" s="53"/>
      <c r="AH188" s="7"/>
      <c r="AI18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8" s="31" t="str">
        <f aca="false">IF(Tasks[[#This Row],[Task Name]]="","",IF(N(Tasks[[#This Row],[Baseline Start]])&gt;0,Tasks[[#This Row],[Baseline Start]],Tasks[[#This Row],[_CalcStart]]))</f>
        <v/>
      </c>
      <c r="AK188" s="31" t="str">
        <f aca="false">IF(Tasks[[#This Row],[Task Name]]="","",IF(N(Tasks[[#This Row],[Baseline Finish]])&gt;0,Tasks[[#This Row],[Baseline Finish]],Tasks[[#This Row],[_CalcFinish]]))</f>
        <v/>
      </c>
      <c r="AL18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8" s="31" t="str">
        <f aca="false">IF(Tasks[[#This Row],[Task Name]]="","",IF(Tasks[[#This Row],[_IsSummary]],MIN(INDEX(Tasks[_LeafLateStart],Tasks[[#This Row],[_Row]]+1):INDEX(Tasks[_LeafLateStart],Tasks[[#This Row],[_Row]]+Tasks[[#This Row],[_Descendants]])),Tasks[[#This Row],[_LeafLateStart]]))</f>
        <v/>
      </c>
      <c r="AN188" s="31" t="str">
        <f aca="false">IF(Tasks[[#This Row],[Task Name]]="","",IF(Tasks[[#This Row],[_IsSummary]],MAX(INDEX(Tasks[_LeafLateFinish],Tasks[[#This Row],[_Row]]+1):INDEX(Tasks[_LeafLateFinish],Tasks[[#This Row],[_Row]]+Tasks[[#This Row],[_Descendants]])),Tasks[[#This Row],[_LeafLateFinish]]))</f>
        <v/>
      </c>
      <c r="AO188" s="51" t="str">
        <f aca="false">IF(Tasks[[#This Row],[Task Name]]="","",IF(Tasks[[#This Row],[_IsSummary]],MIN(INDEX(Tasks[_LeafTotalSlack],Tasks[[#This Row],[_Row]]+1):INDEX(Tasks[_LeafTotalSlack],Tasks[[#This Row],[_Row]]+Tasks[[#This Row],[_Descendants]])),Tasks[[#This Row],[_LeafTotalSlack]]))</f>
        <v/>
      </c>
      <c r="AP18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8" s="110" t="str">
        <f aca="false">IF(Tasks[[#This Row],[Task Name]]="","",IF(Tasks[[#This Row],[_IsSummary]],SUM(INDEX(Tasks[_LeafTotalWork],Tasks[[#This Row],[_Row]]+1):INDEX(Tasks[_LeafTotalWork],Tasks[[#This Row],[_Row]]+Tasks[[#This Row],[_Descendants]])),Tasks[[#This Row],[_LeafTotalWork]]))</f>
        <v/>
      </c>
      <c r="AV18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8" s="111" t="str">
        <f aca="false">IF(Tasks[[#This Row],[Task Name]]="","",IF(Tasks[[#This Row],[_IsSummary]],SUM(INDEX(Tasks[_LeafTotalCost],Tasks[[#This Row],[_Row]]+1):INDEX(Tasks[_LeafTotalCost],Tasks[[#This Row],[_Row]]+Tasks[[#This Row],[_Descendants]])),Tasks[[#This Row],[_LeafTotalCost]]))</f>
        <v/>
      </c>
      <c r="AY188" s="112"/>
      <c r="AZ18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8" s="52"/>
      <c r="BB188" s="98"/>
      <c r="BC188" s="51" t="str">
        <f aca="false">IF(OR(Tasks[[#This Row],[Task Name]]="",Tasks[[#This Row],[Baseline Duration]]=""),"",Tasks[[#This Row],[BL Source Duration]]-N(Tasks[[#This Row],[Baseline Duration]]))</f>
        <v/>
      </c>
      <c r="BD188" s="110" t="str">
        <f aca="false">IF(OR(Tasks[[#This Row],[Task Name]]="",Tasks[[#This Row],[Baseline Work]]=""),"",Tasks[[#This Row],[Work]]-N(Tasks[[#This Row],[Baseline Work]]))</f>
        <v/>
      </c>
      <c r="BE188" s="111" t="str">
        <f aca="false">IF(OR(Tasks[[#This Row],[Task Name]]="",Tasks[[#This Row],[Baseline Cost]]=""),"",Tasks[[#This Row],[Cost]]-N(Tasks[[#This Row],[Baseline Cost]]))</f>
        <v/>
      </c>
      <c r="BF188" s="31" t="str">
        <f aca="false">IF(Tasks[[#This Row],[Task Name]]="","",Tasks[[#This Row],[Forecast Start]])</f>
        <v/>
      </c>
      <c r="BG188" s="31" t="str">
        <f aca="false">IF(Tasks[[#This Row],[Task Name]]="","",Tasks[[#This Row],[Forecast Finish]])</f>
        <v/>
      </c>
      <c r="BH188" s="51" t="str">
        <f aca="false">IF(Tasks[[#This Row],[Task Name]]="","",IF(Tasks[[#This Row],[_IsSummary]],NETWORKDAYS.INTL(Tasks[[#This Row],[Forecast Start]],Tasks[[#This Row],[Forecast Finish]],WorkWeek,Holidays),N(Tasks[[#This Row],[Duration]])))</f>
        <v/>
      </c>
      <c r="BI188" s="110" t="str">
        <f aca="false">IF(Tasks[[#This Row],[Task Name]]="","",Tasks[[#This Row],[Work]])</f>
        <v/>
      </c>
      <c r="BJ188" s="111" t="str">
        <f aca="false">IF(Tasks[[#This Row],[Task Name]]="","",Tasks[[#This Row],[Cost]])</f>
        <v/>
      </c>
      <c r="BK188" s="7"/>
      <c r="BL188" s="7"/>
      <c r="BM188" s="52"/>
      <c r="BN188" s="113"/>
      <c r="BO188" s="112"/>
      <c r="BP188" s="111" t="str">
        <f aca="false">IF(Tasks[[#This Row],[Task Name]]="","",IF(Tasks[[#This Row],[_IsSummary]],SUM(INDEX(Tasks[_LeafEV],Tasks[[#This Row],[_Row]]+1):INDEX(Tasks[_LeafEV],Tasks[[#This Row],[_Row]]+Tasks[[#This Row],[_Descendants]])),Tasks[[#This Row],[_LeafEV]]))</f>
        <v/>
      </c>
      <c r="BQ188" s="111" t="str">
        <f aca="false">IF(Tasks[[#This Row],[Task Name]]="","",IF(Tasks[[#This Row],[_IsSummary]],SUM(INDEX(Tasks[_LeafBudget],Tasks[[#This Row],[_Row]]+1):INDEX(Tasks[_LeafBudget],Tasks[[#This Row],[_Row]]+Tasks[[#This Row],[_Descendants]])),Tasks[[#This Row],[_LeafBudget]]))</f>
        <v/>
      </c>
      <c r="BR188" s="111" t="str">
        <f aca="false">IF(Tasks[[#This Row],[Task Name]]="","",IF(Tasks[[#This Row],[_IsSummary]],SUM(INDEX(Tasks[_LeafPV],Tasks[[#This Row],[_Row]]+1):INDEX(Tasks[_LeafPV],Tasks[[#This Row],[_Row]]+Tasks[[#This Row],[_Descendants]])),Tasks[[#This Row],[_LeafPV]]))</f>
        <v/>
      </c>
      <c r="BS188" s="111" t="str">
        <f aca="false">IF(Tasks[[#This Row],[Task Name]]="","",IF(Tasks[[#This Row],[_IsSummary]],SUM(INDEX(Tasks[_LeafAC],Tasks[[#This Row],[_Row]]+1):INDEX(Tasks[_LeafAC],Tasks[[#This Row],[_Row]]+Tasks[[#This Row],[_Descendants]])),Tasks[[#This Row],[_LeafAC]]))</f>
        <v/>
      </c>
      <c r="BT188" s="38" t="str">
        <f aca="false">IF(Tasks[[#This Row],[Task Name]]="","",MAX(1,N(Tasks[[#This Row],[Level]])))</f>
        <v/>
      </c>
      <c r="BU188" s="38" t="n">
        <f aca="false">ROW()-ROW(Tasks[[#Headers],[ID]])</f>
        <v>183</v>
      </c>
      <c r="BV188" s="38" t="n">
        <f aca="false">IF(OR(Tasks[[#This Row],[Task Name]]="",Tasks[[#This Row],[_Level]]&lt;=1),0,IFERROR(LOOKUP(2,1/(Tasks[[#Headers],[_Level]]:Tasks[[#This Row],[_Level]]=Tasks[[#This Row],[_Level]]-1),ROW(Tasks[[#Headers],[_Level]]:Tasks[[#This Row],[_Level]])),0))</f>
        <v>0</v>
      </c>
      <c r="BW188" s="38" t="n">
        <f aca="false">IFERROR(N(INDEX(Tasks[_Level],Tasks[[#This Row],[_Row]]+1)),0)</f>
        <v>0</v>
      </c>
      <c r="BX188" s="114" t="b">
        <f aca="false">AND(Tasks[[#This Row],[Task Name]]&lt;&gt;"",Tasks[[#This Row],[_NextLevel]]&gt;Tasks[[#This Row],[_Level]])</f>
        <v>0</v>
      </c>
      <c r="BY188" s="38" t="n">
        <f aca="false">IF(Tasks[[#This Row],[_IsSummary]],COUNTIF(Tasks[WBS],Tasks[[#This Row],[WBS]]&amp;".*"),0)</f>
        <v>0</v>
      </c>
      <c r="BZ188" s="38" t="n">
        <f aca="false">IF(AND(Tasks[[#This Row],[Task Name]]&lt;&gt;"",NOT(Tasks[[#This Row],[_IsSummary]])),1,0)</f>
        <v>0</v>
      </c>
      <c r="CA188" s="38" t="n">
        <f aca="false">IF(N(Tasks[[#This Row],[Pred1 UID]])=0,0,IFERROR(MATCH(Tasks[[#This Row],[Pred1 UID]],Tasks[UID],0),-1))</f>
        <v>0</v>
      </c>
      <c r="CB188" s="38" t="n">
        <f aca="false">IF(N(Tasks[[#This Row],[Pred2 UID]])=0,0,IFERROR(MATCH(Tasks[[#This Row],[Pred2 UID]],Tasks[UID],0),-1))</f>
        <v>0</v>
      </c>
      <c r="CC188" s="38" t="n">
        <f aca="false">IF(N(Tasks[[#This Row],[Pred3 UID]])=0,0,IFERROR(MATCH(Tasks[[#This Row],[Pred3 UID]],Tasks[UID],0),-1))</f>
        <v>0</v>
      </c>
      <c r="CD188" s="38" t="n">
        <f aca="false">IF(N(Tasks[[#This Row],[Pred4 UID]])=0,0,IFERROR(MATCH(Tasks[[#This Row],[Pred4 UID]],Tasks[UID],0),-1))</f>
        <v>0</v>
      </c>
      <c r="CE18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8" s="115" t="n">
        <f aca="false">IF(OR(Tasks[[#This Row],[_ConstraintCode]]=2,Tasks[[#This Row],[_ConstraintCode]]=3,Tasks[[#This Row],[_ConstraintCode]]=4,Tasks[[#This Row],[_ConstraintCode]]=6),Tasks[[#This Row],[_ConstraintStart]],0)</f>
        <v>0</v>
      </c>
      <c r="CH188" s="115" t="n">
        <f aca="false">IF(OR(Tasks[[#This Row],[_ConstraintCode]]=2,Tasks[[#This Row],[_ConstraintCode]]=3,Tasks[[#This Row],[_ConstraintCode]]=5,Tasks[[#This Row],[_ConstraintCode]]=7),Tasks[[#This Row],[_ConstraintStart]],2958465)</f>
        <v>2958465</v>
      </c>
      <c r="CI18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8" s="115" t="str">
        <f aca="false">IF(NOT(Tasks[[#This Row],[_IsLeaf]]=1),"",IF(N(Tasks[[#This Row],[Duration]])&lt;=0,Tasks[[#This Row],[_LeafCalcStart]],WORKDAY.INTL(Tasks[[#This Row],[_LeafCalcStart]],Tasks[[#This Row],[Duration]]-1,WorkWeek,Holidays)))</f>
        <v/>
      </c>
      <c r="CK18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8" s="38" t="n">
        <f aca="false">IF(NOT(Tasks[[#This Row],[_IsLeaf]]=1),0,IF(N(Tasks[[#This Row],[Actual Finish]])&gt;0,1,MIN(1,N(Tasks[[#This Row],[% Complete]]))))</f>
        <v>0</v>
      </c>
      <c r="CN188" s="38" t="n">
        <f aca="false">IF(OR(NOT(Tasks[[#This Row],[_IsLeaf]]=1),Tasks[[#This Row],[Resource]]=""),0,N(Tasks[[#This Row],[Duration]])*HoursPerDay*IF(Tasks[[#This Row],[Units]]="",DefaultUnits,Tasks[[#This Row],[Units]]))</f>
        <v>0</v>
      </c>
      <c r="CO188" s="38" t="n">
        <f aca="false">IF(Tasks[[#This Row],[_LeafWork]]=0,0,Tasks[[#This Row],[_LeafWork]]*IFERROR(INDEX(res_Rate,MATCH(Tasks[[#This Row],[Resource]],res_Name,0)),0))</f>
        <v>0</v>
      </c>
      <c r="CP188" s="38" t="n">
        <f aca="false">Tasks[[#This Row],[_LeafWork]]+IF(Tasks[[#This Row],[_IsLeaf]]=1,SUMIFS(asg_Work,asg_TaskUID,Tasks[[#This Row],[UID]],asg_Valid,1),0)</f>
        <v>0</v>
      </c>
      <c r="CQ188" s="38" t="n">
        <f aca="false">Tasks[[#This Row],[_LeafCost]]+IF(Tasks[[#This Row],[_IsLeaf]]=1,SUMIFS(asg_Cost,asg_TaskUID,Tasks[[#This Row],[UID]],asg_Valid,1),0)</f>
        <v>0</v>
      </c>
      <c r="CR188" s="38" t="n">
        <f aca="false">IF(Tasks[[#This Row],[_LeafTotalCost]]=0,Tasks[[#This Row],[_LeafAC]],Tasks[[#This Row],[_LeafAC]]*Tasks[[#This Row],[_LeafCost]]/Tasks[[#This Row],[_LeafTotalCost]])</f>
        <v>0</v>
      </c>
      <c r="CS18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8" s="38" t="n">
        <f aca="false">IF(NOT(Tasks[[#This Row],[_IsLeaf]]=1),0,MAX(_xlfn.MAXIFS(Tasks[_Row],Tasks[Pred1 UID],Tasks[[#This Row],[UID]]),_xlfn.MAXIFS(Tasks[_Row],Tasks[Pred2 UID],Tasks[[#This Row],[UID]]),_xlfn.MAXIFS(Tasks[_Row],Tasks[Pred3 UID],Tasks[[#This Row],[UID]]),_xlfn.MAXIFS(Tasks[_Row],Tasks[Pred4 UID],Tasks[[#This Row],[UID]])))</f>
        <v>0</v>
      </c>
      <c r="DB18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8" s="115" t="str">
        <f aca="false">IF(NOT(Tasks[[#This Row],[_IsLeaf]]=1),"",IF(N(Tasks[[#This Row],[Duration]])&lt;=0,Tasks[[#This Row],[_LeafLateFinish]],WORKDAY.INTL(Tasks[[#This Row],[_LeafLateFinish]],-(Tasks[[#This Row],[Duration]]-1),WorkWeek,Holidays)))</f>
        <v/>
      </c>
      <c r="DE18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8" s="114" t="b">
        <f aca="false">AND(Tasks[[#This Row],[_IsLeaf]]=1,Tasks[[#This Row],[_LeafProgress]]&lt;1,N(Tasks[[#This Row],[_LeafTotalSlack]])&lt;=CriticalSlackDays)</f>
        <v>0</v>
      </c>
      <c r="DG188" s="38" t="n">
        <f aca="false">IF(AND(Tasks[[#This Row],[_IsLeaf]]=1,Tasks[[#This Row],[_ConstraintCode]]=1,Tasks[[#This Row],[Mode]]&lt;&gt;"Manual",N(Tasks[[#This Row],[Actual Start]])=0),MAX(0,N(Tasks[[#This Row],[Free Slack]])),0)</f>
        <v>0</v>
      </c>
      <c r="DH188" s="115" t="str">
        <f aca="false">IF(NOT(Tasks[[#This Row],[_IsLeaf]]=1),"",IF(Tasks[[#This Row],[_AlapShift]]=0,Tasks[[#This Row],[_LeafCalcStart]],WORKDAY.INTL(Tasks[[#This Row],[_LeafCalcStart]],Tasks[[#This Row],[_AlapShift]],WorkWeek,Holidays)))</f>
        <v/>
      </c>
      <c r="DI188" s="115" t="str">
        <f aca="false">IF(NOT(Tasks[[#This Row],[_IsLeaf]]=1),"",IF(Tasks[[#This Row],[_AlapShift]]=0,Tasks[[#This Row],[_LeafCalcFinish]],WORKDAY.INTL(Tasks[[#This Row],[_LeafCalcFinish]],Tasks[[#This Row],[_AlapShift]],WorkWeek,Holidays)))</f>
        <v/>
      </c>
      <c r="DJ188" s="115" t="str">
        <f aca="false">IF(NOT(Tasks[[#This Row],[_IsLeaf]]=1),"",IF(Tasks[[#This Row],[_AlapShift]]=0,Tasks[[#This Row],[_LeafFcstStart]],WORKDAY.INTL(Tasks[[#This Row],[_LeafFcstStart]],Tasks[[#This Row],[_AlapShift]],WorkWeek,Holidays)))</f>
        <v/>
      </c>
      <c r="DK188" s="115" t="str">
        <f aca="false">IF(NOT(Tasks[[#This Row],[_IsLeaf]]=1),"",IF(Tasks[[#This Row],[_AlapShift]]=0,Tasks[[#This Row],[_LeafFcstFinish]],WORKDAY.INTL(Tasks[[#This Row],[_LeafFcstFinish]],Tasks[[#This Row],[_AlapShift]],WorkWeek,Holidays)))</f>
        <v/>
      </c>
      <c r="DL188" s="115" t="str">
        <f aca="false">IF(Tasks[[#This Row],[Task Name]]="","",IF(Tasks[[#This Row],[_IsSummary]],MIN(INDEX(Tasks[_ShownCalcStart],Tasks[[#This Row],[_Row]]+1):INDEX(Tasks[_ShownCalcStart],Tasks[[#This Row],[_Row]]+Tasks[[#This Row],[_Descendants]])),Tasks[[#This Row],[_ShownCalcStart]]))</f>
        <v/>
      </c>
      <c r="DM188" s="115" t="str">
        <f aca="false">IF(Tasks[[#This Row],[Task Name]]="","",IF(Tasks[[#This Row],[_IsSummary]],MAX(INDEX(Tasks[_ShownCalcFinish],Tasks[[#This Row],[_Row]]+1):INDEX(Tasks[_ShownCalcFinish],Tasks[[#This Row],[_Row]]+Tasks[[#This Row],[_Descendants]])),Tasks[[#This Row],[_ShownCalcFinish]]))</f>
        <v/>
      </c>
      <c r="DN18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8" s="38" t="n">
        <f aca="false">IF(AND(Tasks[[#This Row],[_IsLeaf]]=1,Tasks[[#This Row],[_LeafTotalWork]]&gt;0),NETWORKDAYS.INTL(ProjectStart,Tasks[[#This Row],[_ShownFcstStart]],WorkWeek,Holidays),0)</f>
        <v>0</v>
      </c>
      <c r="EA188" s="38" t="n">
        <f aca="false">IF(AND(Tasks[[#This Row],[_IsLeaf]]=1,Tasks[[#This Row],[_LeafTotalWork]]&gt;0),MAX(Tasks[[#This Row],[_StartWorkday]],NETWORKDAYS.INTL(ProjectStart,Tasks[[#This Row],[_ShownFcstFinish]],WorkWeek,Holidays)),0)</f>
        <v>0</v>
      </c>
      <c r="EB188" s="38" t="n">
        <f aca="false">IF(AND(Tasks[[#This Row],[_IsLeaf]]=1,Tasks[[#This Row],[_LeafTotalWork]]&gt;0),Tasks[[#This Row],[_LeafWork]]/(Tasks[[#This Row],[_FinishWorkday]]-Tasks[[#This Row],[_StartWorkday]]+1),0)</f>
        <v>0</v>
      </c>
      <c r="EC188" s="38" t="n">
        <f aca="false">Tasks[[#This Row],[_WorkPerWorkday]]*(Tasks[[#This Row],[_StartWorkday]]-1)</f>
        <v>-0</v>
      </c>
      <c r="ED188" s="38" t="n">
        <f aca="false">IF(Tasks[[#This Row],[_IsLeaf]]=1,MAX(N(Tasks[[#This Row],[Duration]]),0.1),0)</f>
        <v>0</v>
      </c>
      <c r="EE188" s="38" t="n">
        <f aca="false">Tasks[[#This Row],[_WeightDur]]*Tasks[[#This Row],[_LeafProgress]]</f>
        <v>0</v>
      </c>
      <c r="EF18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8" s="38" t="str">
        <f aca="false">IF(AND(Tasks[[#This Row],[_IsLeaf]]=1,N(Tasks[[#This Row],[Duration]])=0,Tasks[[#This Row],[_LeafProgress]]&lt;1),Tasks[[#This Row],[_ShownFcstFinish]]+Tasks[[#This Row],[_Row]]/100000,"")</f>
        <v/>
      </c>
      <c r="EH18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8" s="38" t="n">
        <f aca="false">IF(NOT(Tasks[[#This Row],[_IsLeaf]]=1),0,IF(Tasks[[#This Row],[Baseline Cost]]="",Tasks[[#This Row],[_LeafTotalCost]],N(Tasks[[#This Row],[Baseline Cost]])))</f>
        <v>0</v>
      </c>
      <c r="EJ188" s="38" t="n">
        <f aca="false">Tasks[[#This Row],[_LeafBudget]]*Tasks[[#This Row],[_PlannedPct]]</f>
        <v>0</v>
      </c>
      <c r="EK188" s="38" t="n">
        <f aca="false">Tasks[[#This Row],[_LeafBudget]]*Tasks[[#This Row],[_LeafProgress]]</f>
        <v>0</v>
      </c>
      <c r="EL188" s="38" t="n">
        <f aca="false">IF(NOT(Tasks[[#This Row],[_IsLeaf]]=1),0,IF(Tasks[[#This Row],[Actual Cost]]="",Tasks[[#This Row],[_LeafTotalCost]]*Tasks[[#This Row],[_LeafProgress]],N(Tasks[[#This Row],[Actual Cost]])))</f>
        <v>0</v>
      </c>
      <c r="EM188" s="38" t="str">
        <f aca="false">IF(Tasks[[#This Row],[Task Name]]="","",LEFT(Tasks[[#This Row],[WBS]],FIND(".",Tasks[[#This Row],[WBS]]&amp;".")-1))</f>
        <v/>
      </c>
      <c r="EN188" s="38" t="str">
        <f aca="false">IF(AND(Tasks[[#This Row],[Task Name]]&lt;&gt;"",Tasks[[#This Row],[_Level]]=1),Tasks[[#This Row],[_Row]],"")</f>
        <v/>
      </c>
      <c r="EO188" s="38" t="str">
        <f aca="false">IF(AND(Tasks[[#This Row],[_IsLeaf]]=1,N(Tasks[[#This Row],[Duration]])=0),Tasks[[#This Row],[Planned Finish]]+Tasks[[#This Row],[_Row]]/100000,"")</f>
        <v/>
      </c>
      <c r="EP188" s="38" t="str">
        <f aca="false">IF(AND(Tasks[[#This Row],[_IsLeaf]]=1,Tasks[[#This Row],[_LeafProgress]]&lt;1,OR(N(Tasks[[#This Row],[Finish Var]])&gt;0,Tasks[[#This Row],[Status]]="Late Start")),MAX(0,Tasks[[#This Row],[Finish Var]])+1-Tasks[[#This Row],[_Row]]/1000000,"")</f>
        <v/>
      </c>
      <c r="EQ188" s="38" t="str">
        <f aca="false">IF(AND(Tasks[[#This Row],[_IsLeaf]]=1,N(Tasks[[#This Row],[Actual Start]])=0,Tasks[[#This Row],[_ShownFcstStart]]&gt;=StatusDate,Tasks[[#This Row],[_ShownFcstStart]]&lt;=LookaheadEnd),Tasks[[#This Row],[_ShownFcstStart]]+Tasks[[#This Row],[_Row]]/100000,"")</f>
        <v/>
      </c>
      <c r="ER188" s="38" t="str">
        <f aca="false">IF(AND(Tasks[[#This Row],[_IsLeaf]]=1,Tasks[[#This Row],[_LeafProgress]]&lt;1,Tasks[[#This Row],[_ShownFcstFinish]]&gt;=StatusDate,Tasks[[#This Row],[_ShownFcstFinish]]&lt;=LookaheadEnd),Tasks[[#This Row],[_ShownFcstFinish]]+Tasks[[#This Row],[_Row]]/100000,"")</f>
        <v/>
      </c>
      <c r="ES188" s="38" t="str">
        <f aca="false">IF(Tasks[[#This Row],[_LeafCritical]],Tasks[[#This Row],[_ShownFcstStart]]+Tasks[[#This Row],[_Row]]/100000,"")</f>
        <v/>
      </c>
      <c r="ET188" s="38" t="n">
        <f aca="false">Tasks[[#This Row],[_LeafWork]]*Tasks[[#This Row],[_LeafProgress]]</f>
        <v>0</v>
      </c>
      <c r="EU188" s="115" t="str">
        <f aca="false">IF(AND(Tasks[[#This Row],[_IsLeaf]]=1,Tasks[[#This Row],[_LeafProgress]]&gt;=1),IF(N(Tasks[[#This Row],[Actual Finish]])&gt;0,Tasks[[#This Row],[Actual Finish]],Tasks[[#This Row],[_ShownFcstFinish]]),"")</f>
        <v/>
      </c>
      <c r="EV188" s="38" t="n">
        <f aca="false">IF(Tasks[[#This Row],[_IsLeaf]]=1,N(Tasks[[#This Row],[Story Points]]),0)</f>
        <v>0</v>
      </c>
      <c r="EW188" s="38" t="str">
        <f aca="false">IF(AND(Tasks[[#This Row],[_IsLeaf]]=1,CurrentSprint&lt;&gt;"",Tasks[[#This Row],[Sprint]]=CurrentSprint),Tasks[[#This Row],[_Row]],"")</f>
        <v/>
      </c>
    </row>
    <row r="189" customFormat="false" ht="15" hidden="false" customHeight="false" outlineLevel="0" collapsed="false">
      <c r="A189" s="51" t="str">
        <f aca="false">IF(Tasks[[#This Row],[Task Name]]="","",COUNTA(Tasks[[#Headers],[Task Name]]:Tasks[[#This Row],[Task Name]])-1)</f>
        <v/>
      </c>
      <c r="B189" s="52" t="n">
        <v>184</v>
      </c>
      <c r="C18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52"/>
      <c r="E189" s="53"/>
      <c r="F189" s="52"/>
      <c r="G189" s="52"/>
      <c r="H189" s="52"/>
      <c r="I189" s="52"/>
      <c r="J189" s="52"/>
      <c r="K189" s="52"/>
      <c r="L189" s="52"/>
      <c r="M189" s="52"/>
      <c r="N189" s="52"/>
      <c r="O189" s="52"/>
      <c r="P189" s="52"/>
      <c r="Q189" s="52"/>
      <c r="R189" s="52"/>
      <c r="S189" s="53"/>
      <c r="T189" s="102"/>
      <c r="U189" s="102"/>
      <c r="V189" s="7"/>
      <c r="W189" s="7"/>
      <c r="X189" s="53"/>
      <c r="Y189" s="31" t="str">
        <f aca="false">IF(Tasks[[#This Row],[Task Name]]="","",IF(Tasks[[#This Row],[_IsSummary]],MIN(INDEX(Tasks[_ShownFcstStart],Tasks[[#This Row],[_Row]]+1):INDEX(Tasks[_ShownFcstStart],Tasks[[#This Row],[_Row]]+Tasks[[#This Row],[_Descendants]])),Tasks[[#This Row],[_ShownFcstStart]]))</f>
        <v/>
      </c>
      <c r="Z189" s="31" t="str">
        <f aca="false">IF(Tasks[[#This Row],[Task Name]]="","",IF(Tasks[[#This Row],[_IsSummary]],MAX(INDEX(Tasks[_ShownFcstFinish],Tasks[[#This Row],[_Row]]+1):INDEX(Tasks[_ShownFcstFinish],Tasks[[#This Row],[_Row]]+Tasks[[#This Row],[_Descendants]])),Tasks[[#This Row],[_ShownFcstFinish]]))</f>
        <v/>
      </c>
      <c r="AA189" s="51" t="str">
        <f aca="false">IF(Tasks[[#This Row],[Task Name]]="","",IF(Tasks[[#This Row],[Progress]]&gt;=1,"Complete",IF(OR(N(Tasks[[#This Row],[Actual Start]])&gt;0,Tasks[[#This Row],[Progress]]&gt;0),IF(Tasks[[#This Row],[Finish Var]]&gt;0,"Behind","In Progress"),IF(Tasks[[#This Row],[Planned Start]]&lt;StatusDate,"Late Start","Not Started"))))</f>
        <v/>
      </c>
      <c r="AB189" s="51" t="str">
        <f aca="false">IF(Tasks[[#This Row],[Task Name]]="","",IF(IF(Tasks[[#This Row],[_IsSummary]],COUNTIF(INDEX(Tasks[_LeafCritical],Tasks[[#This Row],[_Row]]+1):INDEX(Tasks[_LeafCritical],Tasks[[#This Row],[_Row]]+Tasks[[#This Row],[_Descendants]]),TRUE())&gt;0,Tasks[[#This Row],[_LeafCritical]]),"Yes",""))</f>
        <v/>
      </c>
      <c r="AC18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9" s="51" t="str">
        <f aca="false">IF(Tasks[[#This Row],[Task Name]]="","",IF(Tasks[[#This Row],[_Level]]&lt;=OutlineShowLevel,"Yes","No"))</f>
        <v/>
      </c>
      <c r="AE189" s="7"/>
      <c r="AF189" s="52"/>
      <c r="AG189" s="53"/>
      <c r="AH189" s="7"/>
      <c r="AI18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9" s="31" t="str">
        <f aca="false">IF(Tasks[[#This Row],[Task Name]]="","",IF(N(Tasks[[#This Row],[Baseline Start]])&gt;0,Tasks[[#This Row],[Baseline Start]],Tasks[[#This Row],[_CalcStart]]))</f>
        <v/>
      </c>
      <c r="AK189" s="31" t="str">
        <f aca="false">IF(Tasks[[#This Row],[Task Name]]="","",IF(N(Tasks[[#This Row],[Baseline Finish]])&gt;0,Tasks[[#This Row],[Baseline Finish]],Tasks[[#This Row],[_CalcFinish]]))</f>
        <v/>
      </c>
      <c r="AL18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9" s="31" t="str">
        <f aca="false">IF(Tasks[[#This Row],[Task Name]]="","",IF(Tasks[[#This Row],[_IsSummary]],MIN(INDEX(Tasks[_LeafLateStart],Tasks[[#This Row],[_Row]]+1):INDEX(Tasks[_LeafLateStart],Tasks[[#This Row],[_Row]]+Tasks[[#This Row],[_Descendants]])),Tasks[[#This Row],[_LeafLateStart]]))</f>
        <v/>
      </c>
      <c r="AN189" s="31" t="str">
        <f aca="false">IF(Tasks[[#This Row],[Task Name]]="","",IF(Tasks[[#This Row],[_IsSummary]],MAX(INDEX(Tasks[_LeafLateFinish],Tasks[[#This Row],[_Row]]+1):INDEX(Tasks[_LeafLateFinish],Tasks[[#This Row],[_Row]]+Tasks[[#This Row],[_Descendants]])),Tasks[[#This Row],[_LeafLateFinish]]))</f>
        <v/>
      </c>
      <c r="AO189" s="51" t="str">
        <f aca="false">IF(Tasks[[#This Row],[Task Name]]="","",IF(Tasks[[#This Row],[_IsSummary]],MIN(INDEX(Tasks[_LeafTotalSlack],Tasks[[#This Row],[_Row]]+1):INDEX(Tasks[_LeafTotalSlack],Tasks[[#This Row],[_Row]]+Tasks[[#This Row],[_Descendants]])),Tasks[[#This Row],[_LeafTotalSlack]]))</f>
        <v/>
      </c>
      <c r="AP18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9" s="110" t="str">
        <f aca="false">IF(Tasks[[#This Row],[Task Name]]="","",IF(Tasks[[#This Row],[_IsSummary]],SUM(INDEX(Tasks[_LeafTotalWork],Tasks[[#This Row],[_Row]]+1):INDEX(Tasks[_LeafTotalWork],Tasks[[#This Row],[_Row]]+Tasks[[#This Row],[_Descendants]])),Tasks[[#This Row],[_LeafTotalWork]]))</f>
        <v/>
      </c>
      <c r="AV18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9" s="111" t="str">
        <f aca="false">IF(Tasks[[#This Row],[Task Name]]="","",IF(Tasks[[#This Row],[_IsSummary]],SUM(INDEX(Tasks[_LeafTotalCost],Tasks[[#This Row],[_Row]]+1):INDEX(Tasks[_LeafTotalCost],Tasks[[#This Row],[_Row]]+Tasks[[#This Row],[_Descendants]])),Tasks[[#This Row],[_LeafTotalCost]]))</f>
        <v/>
      </c>
      <c r="AY189" s="112"/>
      <c r="AZ18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9" s="52"/>
      <c r="BB189" s="98"/>
      <c r="BC189" s="51" t="str">
        <f aca="false">IF(OR(Tasks[[#This Row],[Task Name]]="",Tasks[[#This Row],[Baseline Duration]]=""),"",Tasks[[#This Row],[BL Source Duration]]-N(Tasks[[#This Row],[Baseline Duration]]))</f>
        <v/>
      </c>
      <c r="BD189" s="110" t="str">
        <f aca="false">IF(OR(Tasks[[#This Row],[Task Name]]="",Tasks[[#This Row],[Baseline Work]]=""),"",Tasks[[#This Row],[Work]]-N(Tasks[[#This Row],[Baseline Work]]))</f>
        <v/>
      </c>
      <c r="BE189" s="111" t="str">
        <f aca="false">IF(OR(Tasks[[#This Row],[Task Name]]="",Tasks[[#This Row],[Baseline Cost]]=""),"",Tasks[[#This Row],[Cost]]-N(Tasks[[#This Row],[Baseline Cost]]))</f>
        <v/>
      </c>
      <c r="BF189" s="31" t="str">
        <f aca="false">IF(Tasks[[#This Row],[Task Name]]="","",Tasks[[#This Row],[Forecast Start]])</f>
        <v/>
      </c>
      <c r="BG189" s="31" t="str">
        <f aca="false">IF(Tasks[[#This Row],[Task Name]]="","",Tasks[[#This Row],[Forecast Finish]])</f>
        <v/>
      </c>
      <c r="BH189" s="51" t="str">
        <f aca="false">IF(Tasks[[#This Row],[Task Name]]="","",IF(Tasks[[#This Row],[_IsSummary]],NETWORKDAYS.INTL(Tasks[[#This Row],[Forecast Start]],Tasks[[#This Row],[Forecast Finish]],WorkWeek,Holidays),N(Tasks[[#This Row],[Duration]])))</f>
        <v/>
      </c>
      <c r="BI189" s="110" t="str">
        <f aca="false">IF(Tasks[[#This Row],[Task Name]]="","",Tasks[[#This Row],[Work]])</f>
        <v/>
      </c>
      <c r="BJ189" s="111" t="str">
        <f aca="false">IF(Tasks[[#This Row],[Task Name]]="","",Tasks[[#This Row],[Cost]])</f>
        <v/>
      </c>
      <c r="BK189" s="7"/>
      <c r="BL189" s="7"/>
      <c r="BM189" s="52"/>
      <c r="BN189" s="113"/>
      <c r="BO189" s="112"/>
      <c r="BP189" s="111" t="str">
        <f aca="false">IF(Tasks[[#This Row],[Task Name]]="","",IF(Tasks[[#This Row],[_IsSummary]],SUM(INDEX(Tasks[_LeafEV],Tasks[[#This Row],[_Row]]+1):INDEX(Tasks[_LeafEV],Tasks[[#This Row],[_Row]]+Tasks[[#This Row],[_Descendants]])),Tasks[[#This Row],[_LeafEV]]))</f>
        <v/>
      </c>
      <c r="BQ189" s="111" t="str">
        <f aca="false">IF(Tasks[[#This Row],[Task Name]]="","",IF(Tasks[[#This Row],[_IsSummary]],SUM(INDEX(Tasks[_LeafBudget],Tasks[[#This Row],[_Row]]+1):INDEX(Tasks[_LeafBudget],Tasks[[#This Row],[_Row]]+Tasks[[#This Row],[_Descendants]])),Tasks[[#This Row],[_LeafBudget]]))</f>
        <v/>
      </c>
      <c r="BR189" s="111" t="str">
        <f aca="false">IF(Tasks[[#This Row],[Task Name]]="","",IF(Tasks[[#This Row],[_IsSummary]],SUM(INDEX(Tasks[_LeafPV],Tasks[[#This Row],[_Row]]+1):INDEX(Tasks[_LeafPV],Tasks[[#This Row],[_Row]]+Tasks[[#This Row],[_Descendants]])),Tasks[[#This Row],[_LeafPV]]))</f>
        <v/>
      </c>
      <c r="BS189" s="111" t="str">
        <f aca="false">IF(Tasks[[#This Row],[Task Name]]="","",IF(Tasks[[#This Row],[_IsSummary]],SUM(INDEX(Tasks[_LeafAC],Tasks[[#This Row],[_Row]]+1):INDEX(Tasks[_LeafAC],Tasks[[#This Row],[_Row]]+Tasks[[#This Row],[_Descendants]])),Tasks[[#This Row],[_LeafAC]]))</f>
        <v/>
      </c>
      <c r="BT189" s="38" t="str">
        <f aca="false">IF(Tasks[[#This Row],[Task Name]]="","",MAX(1,N(Tasks[[#This Row],[Level]])))</f>
        <v/>
      </c>
      <c r="BU189" s="38" t="n">
        <f aca="false">ROW()-ROW(Tasks[[#Headers],[ID]])</f>
        <v>184</v>
      </c>
      <c r="BV189" s="38" t="n">
        <f aca="false">IF(OR(Tasks[[#This Row],[Task Name]]="",Tasks[[#This Row],[_Level]]&lt;=1),0,IFERROR(LOOKUP(2,1/(Tasks[[#Headers],[_Level]]:Tasks[[#This Row],[_Level]]=Tasks[[#This Row],[_Level]]-1),ROW(Tasks[[#Headers],[_Level]]:Tasks[[#This Row],[_Level]])),0))</f>
        <v>0</v>
      </c>
      <c r="BW189" s="38" t="n">
        <f aca="false">IFERROR(N(INDEX(Tasks[_Level],Tasks[[#This Row],[_Row]]+1)),0)</f>
        <v>0</v>
      </c>
      <c r="BX189" s="114" t="b">
        <f aca="false">AND(Tasks[[#This Row],[Task Name]]&lt;&gt;"",Tasks[[#This Row],[_NextLevel]]&gt;Tasks[[#This Row],[_Level]])</f>
        <v>0</v>
      </c>
      <c r="BY189" s="38" t="n">
        <f aca="false">IF(Tasks[[#This Row],[_IsSummary]],COUNTIF(Tasks[WBS],Tasks[[#This Row],[WBS]]&amp;".*"),0)</f>
        <v>0</v>
      </c>
      <c r="BZ189" s="38" t="n">
        <f aca="false">IF(AND(Tasks[[#This Row],[Task Name]]&lt;&gt;"",NOT(Tasks[[#This Row],[_IsSummary]])),1,0)</f>
        <v>0</v>
      </c>
      <c r="CA189" s="38" t="n">
        <f aca="false">IF(N(Tasks[[#This Row],[Pred1 UID]])=0,0,IFERROR(MATCH(Tasks[[#This Row],[Pred1 UID]],Tasks[UID],0),-1))</f>
        <v>0</v>
      </c>
      <c r="CB189" s="38" t="n">
        <f aca="false">IF(N(Tasks[[#This Row],[Pred2 UID]])=0,0,IFERROR(MATCH(Tasks[[#This Row],[Pred2 UID]],Tasks[UID],0),-1))</f>
        <v>0</v>
      </c>
      <c r="CC189" s="38" t="n">
        <f aca="false">IF(N(Tasks[[#This Row],[Pred3 UID]])=0,0,IFERROR(MATCH(Tasks[[#This Row],[Pred3 UID]],Tasks[UID],0),-1))</f>
        <v>0</v>
      </c>
      <c r="CD189" s="38" t="n">
        <f aca="false">IF(N(Tasks[[#This Row],[Pred4 UID]])=0,0,IFERROR(MATCH(Tasks[[#This Row],[Pred4 UID]],Tasks[UID],0),-1))</f>
        <v>0</v>
      </c>
      <c r="CE18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9" s="115" t="n">
        <f aca="false">IF(OR(Tasks[[#This Row],[_ConstraintCode]]=2,Tasks[[#This Row],[_ConstraintCode]]=3,Tasks[[#This Row],[_ConstraintCode]]=4,Tasks[[#This Row],[_ConstraintCode]]=6),Tasks[[#This Row],[_ConstraintStart]],0)</f>
        <v>0</v>
      </c>
      <c r="CH189" s="115" t="n">
        <f aca="false">IF(OR(Tasks[[#This Row],[_ConstraintCode]]=2,Tasks[[#This Row],[_ConstraintCode]]=3,Tasks[[#This Row],[_ConstraintCode]]=5,Tasks[[#This Row],[_ConstraintCode]]=7),Tasks[[#This Row],[_ConstraintStart]],2958465)</f>
        <v>2958465</v>
      </c>
      <c r="CI18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9" s="115" t="str">
        <f aca="false">IF(NOT(Tasks[[#This Row],[_IsLeaf]]=1),"",IF(N(Tasks[[#This Row],[Duration]])&lt;=0,Tasks[[#This Row],[_LeafCalcStart]],WORKDAY.INTL(Tasks[[#This Row],[_LeafCalcStart]],Tasks[[#This Row],[Duration]]-1,WorkWeek,Holidays)))</f>
        <v/>
      </c>
      <c r="CK18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9" s="38" t="n">
        <f aca="false">IF(NOT(Tasks[[#This Row],[_IsLeaf]]=1),0,IF(N(Tasks[[#This Row],[Actual Finish]])&gt;0,1,MIN(1,N(Tasks[[#This Row],[% Complete]]))))</f>
        <v>0</v>
      </c>
      <c r="CN189" s="38" t="n">
        <f aca="false">IF(OR(NOT(Tasks[[#This Row],[_IsLeaf]]=1),Tasks[[#This Row],[Resource]]=""),0,N(Tasks[[#This Row],[Duration]])*HoursPerDay*IF(Tasks[[#This Row],[Units]]="",DefaultUnits,Tasks[[#This Row],[Units]]))</f>
        <v>0</v>
      </c>
      <c r="CO189" s="38" t="n">
        <f aca="false">IF(Tasks[[#This Row],[_LeafWork]]=0,0,Tasks[[#This Row],[_LeafWork]]*IFERROR(INDEX(res_Rate,MATCH(Tasks[[#This Row],[Resource]],res_Name,0)),0))</f>
        <v>0</v>
      </c>
      <c r="CP189" s="38" t="n">
        <f aca="false">Tasks[[#This Row],[_LeafWork]]+IF(Tasks[[#This Row],[_IsLeaf]]=1,SUMIFS(asg_Work,asg_TaskUID,Tasks[[#This Row],[UID]],asg_Valid,1),0)</f>
        <v>0</v>
      </c>
      <c r="CQ189" s="38" t="n">
        <f aca="false">Tasks[[#This Row],[_LeafCost]]+IF(Tasks[[#This Row],[_IsLeaf]]=1,SUMIFS(asg_Cost,asg_TaskUID,Tasks[[#This Row],[UID]],asg_Valid,1),0)</f>
        <v>0</v>
      </c>
      <c r="CR189" s="38" t="n">
        <f aca="false">IF(Tasks[[#This Row],[_LeafTotalCost]]=0,Tasks[[#This Row],[_LeafAC]],Tasks[[#This Row],[_LeafAC]]*Tasks[[#This Row],[_LeafCost]]/Tasks[[#This Row],[_LeafTotalCost]])</f>
        <v>0</v>
      </c>
      <c r="CS18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9" s="38" t="n">
        <f aca="false">IF(NOT(Tasks[[#This Row],[_IsLeaf]]=1),0,MAX(_xlfn.MAXIFS(Tasks[_Row],Tasks[Pred1 UID],Tasks[[#This Row],[UID]]),_xlfn.MAXIFS(Tasks[_Row],Tasks[Pred2 UID],Tasks[[#This Row],[UID]]),_xlfn.MAXIFS(Tasks[_Row],Tasks[Pred3 UID],Tasks[[#This Row],[UID]]),_xlfn.MAXIFS(Tasks[_Row],Tasks[Pred4 UID],Tasks[[#This Row],[UID]])))</f>
        <v>0</v>
      </c>
      <c r="DB18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9" s="115" t="str">
        <f aca="false">IF(NOT(Tasks[[#This Row],[_IsLeaf]]=1),"",IF(N(Tasks[[#This Row],[Duration]])&lt;=0,Tasks[[#This Row],[_LeafLateFinish]],WORKDAY.INTL(Tasks[[#This Row],[_LeafLateFinish]],-(Tasks[[#This Row],[Duration]]-1),WorkWeek,Holidays)))</f>
        <v/>
      </c>
      <c r="DE18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9" s="114" t="b">
        <f aca="false">AND(Tasks[[#This Row],[_IsLeaf]]=1,Tasks[[#This Row],[_LeafProgress]]&lt;1,N(Tasks[[#This Row],[_LeafTotalSlack]])&lt;=CriticalSlackDays)</f>
        <v>0</v>
      </c>
      <c r="DG189" s="38" t="n">
        <f aca="false">IF(AND(Tasks[[#This Row],[_IsLeaf]]=1,Tasks[[#This Row],[_ConstraintCode]]=1,Tasks[[#This Row],[Mode]]&lt;&gt;"Manual",N(Tasks[[#This Row],[Actual Start]])=0),MAX(0,N(Tasks[[#This Row],[Free Slack]])),0)</f>
        <v>0</v>
      </c>
      <c r="DH189" s="115" t="str">
        <f aca="false">IF(NOT(Tasks[[#This Row],[_IsLeaf]]=1),"",IF(Tasks[[#This Row],[_AlapShift]]=0,Tasks[[#This Row],[_LeafCalcStart]],WORKDAY.INTL(Tasks[[#This Row],[_LeafCalcStart]],Tasks[[#This Row],[_AlapShift]],WorkWeek,Holidays)))</f>
        <v/>
      </c>
      <c r="DI189" s="115" t="str">
        <f aca="false">IF(NOT(Tasks[[#This Row],[_IsLeaf]]=1),"",IF(Tasks[[#This Row],[_AlapShift]]=0,Tasks[[#This Row],[_LeafCalcFinish]],WORKDAY.INTL(Tasks[[#This Row],[_LeafCalcFinish]],Tasks[[#This Row],[_AlapShift]],WorkWeek,Holidays)))</f>
        <v/>
      </c>
      <c r="DJ189" s="115" t="str">
        <f aca="false">IF(NOT(Tasks[[#This Row],[_IsLeaf]]=1),"",IF(Tasks[[#This Row],[_AlapShift]]=0,Tasks[[#This Row],[_LeafFcstStart]],WORKDAY.INTL(Tasks[[#This Row],[_LeafFcstStart]],Tasks[[#This Row],[_AlapShift]],WorkWeek,Holidays)))</f>
        <v/>
      </c>
      <c r="DK189" s="115" t="str">
        <f aca="false">IF(NOT(Tasks[[#This Row],[_IsLeaf]]=1),"",IF(Tasks[[#This Row],[_AlapShift]]=0,Tasks[[#This Row],[_LeafFcstFinish]],WORKDAY.INTL(Tasks[[#This Row],[_LeafFcstFinish]],Tasks[[#This Row],[_AlapShift]],WorkWeek,Holidays)))</f>
        <v/>
      </c>
      <c r="DL189" s="115" t="str">
        <f aca="false">IF(Tasks[[#This Row],[Task Name]]="","",IF(Tasks[[#This Row],[_IsSummary]],MIN(INDEX(Tasks[_ShownCalcStart],Tasks[[#This Row],[_Row]]+1):INDEX(Tasks[_ShownCalcStart],Tasks[[#This Row],[_Row]]+Tasks[[#This Row],[_Descendants]])),Tasks[[#This Row],[_ShownCalcStart]]))</f>
        <v/>
      </c>
      <c r="DM189" s="115" t="str">
        <f aca="false">IF(Tasks[[#This Row],[Task Name]]="","",IF(Tasks[[#This Row],[_IsSummary]],MAX(INDEX(Tasks[_ShownCalcFinish],Tasks[[#This Row],[_Row]]+1):INDEX(Tasks[_ShownCalcFinish],Tasks[[#This Row],[_Row]]+Tasks[[#This Row],[_Descendants]])),Tasks[[#This Row],[_ShownCalcFinish]]))</f>
        <v/>
      </c>
      <c r="DN18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9" s="38" t="n">
        <f aca="false">IF(AND(Tasks[[#This Row],[_IsLeaf]]=1,Tasks[[#This Row],[_LeafTotalWork]]&gt;0),NETWORKDAYS.INTL(ProjectStart,Tasks[[#This Row],[_ShownFcstStart]],WorkWeek,Holidays),0)</f>
        <v>0</v>
      </c>
      <c r="EA189" s="38" t="n">
        <f aca="false">IF(AND(Tasks[[#This Row],[_IsLeaf]]=1,Tasks[[#This Row],[_LeafTotalWork]]&gt;0),MAX(Tasks[[#This Row],[_StartWorkday]],NETWORKDAYS.INTL(ProjectStart,Tasks[[#This Row],[_ShownFcstFinish]],WorkWeek,Holidays)),0)</f>
        <v>0</v>
      </c>
      <c r="EB189" s="38" t="n">
        <f aca="false">IF(AND(Tasks[[#This Row],[_IsLeaf]]=1,Tasks[[#This Row],[_LeafTotalWork]]&gt;0),Tasks[[#This Row],[_LeafWork]]/(Tasks[[#This Row],[_FinishWorkday]]-Tasks[[#This Row],[_StartWorkday]]+1),0)</f>
        <v>0</v>
      </c>
      <c r="EC189" s="38" t="n">
        <f aca="false">Tasks[[#This Row],[_WorkPerWorkday]]*(Tasks[[#This Row],[_StartWorkday]]-1)</f>
        <v>-0</v>
      </c>
      <c r="ED189" s="38" t="n">
        <f aca="false">IF(Tasks[[#This Row],[_IsLeaf]]=1,MAX(N(Tasks[[#This Row],[Duration]]),0.1),0)</f>
        <v>0</v>
      </c>
      <c r="EE189" s="38" t="n">
        <f aca="false">Tasks[[#This Row],[_WeightDur]]*Tasks[[#This Row],[_LeafProgress]]</f>
        <v>0</v>
      </c>
      <c r="EF18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9" s="38" t="str">
        <f aca="false">IF(AND(Tasks[[#This Row],[_IsLeaf]]=1,N(Tasks[[#This Row],[Duration]])=0,Tasks[[#This Row],[_LeafProgress]]&lt;1),Tasks[[#This Row],[_ShownFcstFinish]]+Tasks[[#This Row],[_Row]]/100000,"")</f>
        <v/>
      </c>
      <c r="EH18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9" s="38" t="n">
        <f aca="false">IF(NOT(Tasks[[#This Row],[_IsLeaf]]=1),0,IF(Tasks[[#This Row],[Baseline Cost]]="",Tasks[[#This Row],[_LeafTotalCost]],N(Tasks[[#This Row],[Baseline Cost]])))</f>
        <v>0</v>
      </c>
      <c r="EJ189" s="38" t="n">
        <f aca="false">Tasks[[#This Row],[_LeafBudget]]*Tasks[[#This Row],[_PlannedPct]]</f>
        <v>0</v>
      </c>
      <c r="EK189" s="38" t="n">
        <f aca="false">Tasks[[#This Row],[_LeafBudget]]*Tasks[[#This Row],[_LeafProgress]]</f>
        <v>0</v>
      </c>
      <c r="EL189" s="38" t="n">
        <f aca="false">IF(NOT(Tasks[[#This Row],[_IsLeaf]]=1),0,IF(Tasks[[#This Row],[Actual Cost]]="",Tasks[[#This Row],[_LeafTotalCost]]*Tasks[[#This Row],[_LeafProgress]],N(Tasks[[#This Row],[Actual Cost]])))</f>
        <v>0</v>
      </c>
      <c r="EM189" s="38" t="str">
        <f aca="false">IF(Tasks[[#This Row],[Task Name]]="","",LEFT(Tasks[[#This Row],[WBS]],FIND(".",Tasks[[#This Row],[WBS]]&amp;".")-1))</f>
        <v/>
      </c>
      <c r="EN189" s="38" t="str">
        <f aca="false">IF(AND(Tasks[[#This Row],[Task Name]]&lt;&gt;"",Tasks[[#This Row],[_Level]]=1),Tasks[[#This Row],[_Row]],"")</f>
        <v/>
      </c>
      <c r="EO189" s="38" t="str">
        <f aca="false">IF(AND(Tasks[[#This Row],[_IsLeaf]]=1,N(Tasks[[#This Row],[Duration]])=0),Tasks[[#This Row],[Planned Finish]]+Tasks[[#This Row],[_Row]]/100000,"")</f>
        <v/>
      </c>
      <c r="EP189" s="38" t="str">
        <f aca="false">IF(AND(Tasks[[#This Row],[_IsLeaf]]=1,Tasks[[#This Row],[_LeafProgress]]&lt;1,OR(N(Tasks[[#This Row],[Finish Var]])&gt;0,Tasks[[#This Row],[Status]]="Late Start")),MAX(0,Tasks[[#This Row],[Finish Var]])+1-Tasks[[#This Row],[_Row]]/1000000,"")</f>
        <v/>
      </c>
      <c r="EQ189" s="38" t="str">
        <f aca="false">IF(AND(Tasks[[#This Row],[_IsLeaf]]=1,N(Tasks[[#This Row],[Actual Start]])=0,Tasks[[#This Row],[_ShownFcstStart]]&gt;=StatusDate,Tasks[[#This Row],[_ShownFcstStart]]&lt;=LookaheadEnd),Tasks[[#This Row],[_ShownFcstStart]]+Tasks[[#This Row],[_Row]]/100000,"")</f>
        <v/>
      </c>
      <c r="ER189" s="38" t="str">
        <f aca="false">IF(AND(Tasks[[#This Row],[_IsLeaf]]=1,Tasks[[#This Row],[_LeafProgress]]&lt;1,Tasks[[#This Row],[_ShownFcstFinish]]&gt;=StatusDate,Tasks[[#This Row],[_ShownFcstFinish]]&lt;=LookaheadEnd),Tasks[[#This Row],[_ShownFcstFinish]]+Tasks[[#This Row],[_Row]]/100000,"")</f>
        <v/>
      </c>
      <c r="ES189" s="38" t="str">
        <f aca="false">IF(Tasks[[#This Row],[_LeafCritical]],Tasks[[#This Row],[_ShownFcstStart]]+Tasks[[#This Row],[_Row]]/100000,"")</f>
        <v/>
      </c>
      <c r="ET189" s="38" t="n">
        <f aca="false">Tasks[[#This Row],[_LeafWork]]*Tasks[[#This Row],[_LeafProgress]]</f>
        <v>0</v>
      </c>
      <c r="EU189" s="115" t="str">
        <f aca="false">IF(AND(Tasks[[#This Row],[_IsLeaf]]=1,Tasks[[#This Row],[_LeafProgress]]&gt;=1),IF(N(Tasks[[#This Row],[Actual Finish]])&gt;0,Tasks[[#This Row],[Actual Finish]],Tasks[[#This Row],[_ShownFcstFinish]]),"")</f>
        <v/>
      </c>
      <c r="EV189" s="38" t="n">
        <f aca="false">IF(Tasks[[#This Row],[_IsLeaf]]=1,N(Tasks[[#This Row],[Story Points]]),0)</f>
        <v>0</v>
      </c>
      <c r="EW189" s="38" t="str">
        <f aca="false">IF(AND(Tasks[[#This Row],[_IsLeaf]]=1,CurrentSprint&lt;&gt;"",Tasks[[#This Row],[Sprint]]=CurrentSprint),Tasks[[#This Row],[_Row]],"")</f>
        <v/>
      </c>
    </row>
    <row r="190" customFormat="false" ht="15" hidden="false" customHeight="false" outlineLevel="0" collapsed="false">
      <c r="A190" s="51" t="str">
        <f aca="false">IF(Tasks[[#This Row],[Task Name]]="","",COUNTA(Tasks[[#Headers],[Task Name]]:Tasks[[#This Row],[Task Name]])-1)</f>
        <v/>
      </c>
      <c r="B190" s="52" t="n">
        <v>185</v>
      </c>
      <c r="C19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52"/>
      <c r="E190" s="53"/>
      <c r="F190" s="52"/>
      <c r="G190" s="52"/>
      <c r="H190" s="52"/>
      <c r="I190" s="52"/>
      <c r="J190" s="52"/>
      <c r="K190" s="52"/>
      <c r="L190" s="52"/>
      <c r="M190" s="52"/>
      <c r="N190" s="52"/>
      <c r="O190" s="52"/>
      <c r="P190" s="52"/>
      <c r="Q190" s="52"/>
      <c r="R190" s="52"/>
      <c r="S190" s="53"/>
      <c r="T190" s="102"/>
      <c r="U190" s="102"/>
      <c r="V190" s="7"/>
      <c r="W190" s="7"/>
      <c r="X190" s="53"/>
      <c r="Y190" s="31" t="str">
        <f aca="false">IF(Tasks[[#This Row],[Task Name]]="","",IF(Tasks[[#This Row],[_IsSummary]],MIN(INDEX(Tasks[_ShownFcstStart],Tasks[[#This Row],[_Row]]+1):INDEX(Tasks[_ShownFcstStart],Tasks[[#This Row],[_Row]]+Tasks[[#This Row],[_Descendants]])),Tasks[[#This Row],[_ShownFcstStart]]))</f>
        <v/>
      </c>
      <c r="Z190" s="31" t="str">
        <f aca="false">IF(Tasks[[#This Row],[Task Name]]="","",IF(Tasks[[#This Row],[_IsSummary]],MAX(INDEX(Tasks[_ShownFcstFinish],Tasks[[#This Row],[_Row]]+1):INDEX(Tasks[_ShownFcstFinish],Tasks[[#This Row],[_Row]]+Tasks[[#This Row],[_Descendants]])),Tasks[[#This Row],[_ShownFcstFinish]]))</f>
        <v/>
      </c>
      <c r="AA190" s="51" t="str">
        <f aca="false">IF(Tasks[[#This Row],[Task Name]]="","",IF(Tasks[[#This Row],[Progress]]&gt;=1,"Complete",IF(OR(N(Tasks[[#This Row],[Actual Start]])&gt;0,Tasks[[#This Row],[Progress]]&gt;0),IF(Tasks[[#This Row],[Finish Var]]&gt;0,"Behind","In Progress"),IF(Tasks[[#This Row],[Planned Start]]&lt;StatusDate,"Late Start","Not Started"))))</f>
        <v/>
      </c>
      <c r="AB190" s="51" t="str">
        <f aca="false">IF(Tasks[[#This Row],[Task Name]]="","",IF(IF(Tasks[[#This Row],[_IsSummary]],COUNTIF(INDEX(Tasks[_LeafCritical],Tasks[[#This Row],[_Row]]+1):INDEX(Tasks[_LeafCritical],Tasks[[#This Row],[_Row]]+Tasks[[#This Row],[_Descendants]]),TRUE())&gt;0,Tasks[[#This Row],[_LeafCritical]]),"Yes",""))</f>
        <v/>
      </c>
      <c r="AC19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0" s="51" t="str">
        <f aca="false">IF(Tasks[[#This Row],[Task Name]]="","",IF(Tasks[[#This Row],[_Level]]&lt;=OutlineShowLevel,"Yes","No"))</f>
        <v/>
      </c>
      <c r="AE190" s="7"/>
      <c r="AF190" s="52"/>
      <c r="AG190" s="53"/>
      <c r="AH190" s="7"/>
      <c r="AI19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0" s="31" t="str">
        <f aca="false">IF(Tasks[[#This Row],[Task Name]]="","",IF(N(Tasks[[#This Row],[Baseline Start]])&gt;0,Tasks[[#This Row],[Baseline Start]],Tasks[[#This Row],[_CalcStart]]))</f>
        <v/>
      </c>
      <c r="AK190" s="31" t="str">
        <f aca="false">IF(Tasks[[#This Row],[Task Name]]="","",IF(N(Tasks[[#This Row],[Baseline Finish]])&gt;0,Tasks[[#This Row],[Baseline Finish]],Tasks[[#This Row],[_CalcFinish]]))</f>
        <v/>
      </c>
      <c r="AL19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0" s="31" t="str">
        <f aca="false">IF(Tasks[[#This Row],[Task Name]]="","",IF(Tasks[[#This Row],[_IsSummary]],MIN(INDEX(Tasks[_LeafLateStart],Tasks[[#This Row],[_Row]]+1):INDEX(Tasks[_LeafLateStart],Tasks[[#This Row],[_Row]]+Tasks[[#This Row],[_Descendants]])),Tasks[[#This Row],[_LeafLateStart]]))</f>
        <v/>
      </c>
      <c r="AN190" s="31" t="str">
        <f aca="false">IF(Tasks[[#This Row],[Task Name]]="","",IF(Tasks[[#This Row],[_IsSummary]],MAX(INDEX(Tasks[_LeafLateFinish],Tasks[[#This Row],[_Row]]+1):INDEX(Tasks[_LeafLateFinish],Tasks[[#This Row],[_Row]]+Tasks[[#This Row],[_Descendants]])),Tasks[[#This Row],[_LeafLateFinish]]))</f>
        <v/>
      </c>
      <c r="AO190" s="51" t="str">
        <f aca="false">IF(Tasks[[#This Row],[Task Name]]="","",IF(Tasks[[#This Row],[_IsSummary]],MIN(INDEX(Tasks[_LeafTotalSlack],Tasks[[#This Row],[_Row]]+1):INDEX(Tasks[_LeafTotalSlack],Tasks[[#This Row],[_Row]]+Tasks[[#This Row],[_Descendants]])),Tasks[[#This Row],[_LeafTotalSlack]]))</f>
        <v/>
      </c>
      <c r="AP19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0" s="110" t="str">
        <f aca="false">IF(Tasks[[#This Row],[Task Name]]="","",IF(Tasks[[#This Row],[_IsSummary]],SUM(INDEX(Tasks[_LeafTotalWork],Tasks[[#This Row],[_Row]]+1):INDEX(Tasks[_LeafTotalWork],Tasks[[#This Row],[_Row]]+Tasks[[#This Row],[_Descendants]])),Tasks[[#This Row],[_LeafTotalWork]]))</f>
        <v/>
      </c>
      <c r="AV19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0" s="111" t="str">
        <f aca="false">IF(Tasks[[#This Row],[Task Name]]="","",IF(Tasks[[#This Row],[_IsSummary]],SUM(INDEX(Tasks[_LeafTotalCost],Tasks[[#This Row],[_Row]]+1):INDEX(Tasks[_LeafTotalCost],Tasks[[#This Row],[_Row]]+Tasks[[#This Row],[_Descendants]])),Tasks[[#This Row],[_LeafTotalCost]]))</f>
        <v/>
      </c>
      <c r="AY190" s="112"/>
      <c r="AZ19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0" s="52"/>
      <c r="BB190" s="98"/>
      <c r="BC190" s="51" t="str">
        <f aca="false">IF(OR(Tasks[[#This Row],[Task Name]]="",Tasks[[#This Row],[Baseline Duration]]=""),"",Tasks[[#This Row],[BL Source Duration]]-N(Tasks[[#This Row],[Baseline Duration]]))</f>
        <v/>
      </c>
      <c r="BD190" s="110" t="str">
        <f aca="false">IF(OR(Tasks[[#This Row],[Task Name]]="",Tasks[[#This Row],[Baseline Work]]=""),"",Tasks[[#This Row],[Work]]-N(Tasks[[#This Row],[Baseline Work]]))</f>
        <v/>
      </c>
      <c r="BE190" s="111" t="str">
        <f aca="false">IF(OR(Tasks[[#This Row],[Task Name]]="",Tasks[[#This Row],[Baseline Cost]]=""),"",Tasks[[#This Row],[Cost]]-N(Tasks[[#This Row],[Baseline Cost]]))</f>
        <v/>
      </c>
      <c r="BF190" s="31" t="str">
        <f aca="false">IF(Tasks[[#This Row],[Task Name]]="","",Tasks[[#This Row],[Forecast Start]])</f>
        <v/>
      </c>
      <c r="BG190" s="31" t="str">
        <f aca="false">IF(Tasks[[#This Row],[Task Name]]="","",Tasks[[#This Row],[Forecast Finish]])</f>
        <v/>
      </c>
      <c r="BH190" s="51" t="str">
        <f aca="false">IF(Tasks[[#This Row],[Task Name]]="","",IF(Tasks[[#This Row],[_IsSummary]],NETWORKDAYS.INTL(Tasks[[#This Row],[Forecast Start]],Tasks[[#This Row],[Forecast Finish]],WorkWeek,Holidays),N(Tasks[[#This Row],[Duration]])))</f>
        <v/>
      </c>
      <c r="BI190" s="110" t="str">
        <f aca="false">IF(Tasks[[#This Row],[Task Name]]="","",Tasks[[#This Row],[Work]])</f>
        <v/>
      </c>
      <c r="BJ190" s="111" t="str">
        <f aca="false">IF(Tasks[[#This Row],[Task Name]]="","",Tasks[[#This Row],[Cost]])</f>
        <v/>
      </c>
      <c r="BK190" s="7"/>
      <c r="BL190" s="7"/>
      <c r="BM190" s="52"/>
      <c r="BN190" s="113"/>
      <c r="BO190" s="112"/>
      <c r="BP190" s="111" t="str">
        <f aca="false">IF(Tasks[[#This Row],[Task Name]]="","",IF(Tasks[[#This Row],[_IsSummary]],SUM(INDEX(Tasks[_LeafEV],Tasks[[#This Row],[_Row]]+1):INDEX(Tasks[_LeafEV],Tasks[[#This Row],[_Row]]+Tasks[[#This Row],[_Descendants]])),Tasks[[#This Row],[_LeafEV]]))</f>
        <v/>
      </c>
      <c r="BQ190" s="111" t="str">
        <f aca="false">IF(Tasks[[#This Row],[Task Name]]="","",IF(Tasks[[#This Row],[_IsSummary]],SUM(INDEX(Tasks[_LeafBudget],Tasks[[#This Row],[_Row]]+1):INDEX(Tasks[_LeafBudget],Tasks[[#This Row],[_Row]]+Tasks[[#This Row],[_Descendants]])),Tasks[[#This Row],[_LeafBudget]]))</f>
        <v/>
      </c>
      <c r="BR190" s="111" t="str">
        <f aca="false">IF(Tasks[[#This Row],[Task Name]]="","",IF(Tasks[[#This Row],[_IsSummary]],SUM(INDEX(Tasks[_LeafPV],Tasks[[#This Row],[_Row]]+1):INDEX(Tasks[_LeafPV],Tasks[[#This Row],[_Row]]+Tasks[[#This Row],[_Descendants]])),Tasks[[#This Row],[_LeafPV]]))</f>
        <v/>
      </c>
      <c r="BS190" s="111" t="str">
        <f aca="false">IF(Tasks[[#This Row],[Task Name]]="","",IF(Tasks[[#This Row],[_IsSummary]],SUM(INDEX(Tasks[_LeafAC],Tasks[[#This Row],[_Row]]+1):INDEX(Tasks[_LeafAC],Tasks[[#This Row],[_Row]]+Tasks[[#This Row],[_Descendants]])),Tasks[[#This Row],[_LeafAC]]))</f>
        <v/>
      </c>
      <c r="BT190" s="38" t="str">
        <f aca="false">IF(Tasks[[#This Row],[Task Name]]="","",MAX(1,N(Tasks[[#This Row],[Level]])))</f>
        <v/>
      </c>
      <c r="BU190" s="38" t="n">
        <f aca="false">ROW()-ROW(Tasks[[#Headers],[ID]])</f>
        <v>185</v>
      </c>
      <c r="BV190" s="38" t="n">
        <f aca="false">IF(OR(Tasks[[#This Row],[Task Name]]="",Tasks[[#This Row],[_Level]]&lt;=1),0,IFERROR(LOOKUP(2,1/(Tasks[[#Headers],[_Level]]:Tasks[[#This Row],[_Level]]=Tasks[[#This Row],[_Level]]-1),ROW(Tasks[[#Headers],[_Level]]:Tasks[[#This Row],[_Level]])),0))</f>
        <v>0</v>
      </c>
      <c r="BW190" s="38" t="n">
        <f aca="false">IFERROR(N(INDEX(Tasks[_Level],Tasks[[#This Row],[_Row]]+1)),0)</f>
        <v>0</v>
      </c>
      <c r="BX190" s="114" t="b">
        <f aca="false">AND(Tasks[[#This Row],[Task Name]]&lt;&gt;"",Tasks[[#This Row],[_NextLevel]]&gt;Tasks[[#This Row],[_Level]])</f>
        <v>0</v>
      </c>
      <c r="BY190" s="38" t="n">
        <f aca="false">IF(Tasks[[#This Row],[_IsSummary]],COUNTIF(Tasks[WBS],Tasks[[#This Row],[WBS]]&amp;".*"),0)</f>
        <v>0</v>
      </c>
      <c r="BZ190" s="38" t="n">
        <f aca="false">IF(AND(Tasks[[#This Row],[Task Name]]&lt;&gt;"",NOT(Tasks[[#This Row],[_IsSummary]])),1,0)</f>
        <v>0</v>
      </c>
      <c r="CA190" s="38" t="n">
        <f aca="false">IF(N(Tasks[[#This Row],[Pred1 UID]])=0,0,IFERROR(MATCH(Tasks[[#This Row],[Pred1 UID]],Tasks[UID],0),-1))</f>
        <v>0</v>
      </c>
      <c r="CB190" s="38" t="n">
        <f aca="false">IF(N(Tasks[[#This Row],[Pred2 UID]])=0,0,IFERROR(MATCH(Tasks[[#This Row],[Pred2 UID]],Tasks[UID],0),-1))</f>
        <v>0</v>
      </c>
      <c r="CC190" s="38" t="n">
        <f aca="false">IF(N(Tasks[[#This Row],[Pred3 UID]])=0,0,IFERROR(MATCH(Tasks[[#This Row],[Pred3 UID]],Tasks[UID],0),-1))</f>
        <v>0</v>
      </c>
      <c r="CD190" s="38" t="n">
        <f aca="false">IF(N(Tasks[[#This Row],[Pred4 UID]])=0,0,IFERROR(MATCH(Tasks[[#This Row],[Pred4 UID]],Tasks[UID],0),-1))</f>
        <v>0</v>
      </c>
      <c r="CE19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0" s="115" t="n">
        <f aca="false">IF(OR(Tasks[[#This Row],[_ConstraintCode]]=2,Tasks[[#This Row],[_ConstraintCode]]=3,Tasks[[#This Row],[_ConstraintCode]]=4,Tasks[[#This Row],[_ConstraintCode]]=6),Tasks[[#This Row],[_ConstraintStart]],0)</f>
        <v>0</v>
      </c>
      <c r="CH190" s="115" t="n">
        <f aca="false">IF(OR(Tasks[[#This Row],[_ConstraintCode]]=2,Tasks[[#This Row],[_ConstraintCode]]=3,Tasks[[#This Row],[_ConstraintCode]]=5,Tasks[[#This Row],[_ConstraintCode]]=7),Tasks[[#This Row],[_ConstraintStart]],2958465)</f>
        <v>2958465</v>
      </c>
      <c r="CI19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0" s="115" t="str">
        <f aca="false">IF(NOT(Tasks[[#This Row],[_IsLeaf]]=1),"",IF(N(Tasks[[#This Row],[Duration]])&lt;=0,Tasks[[#This Row],[_LeafCalcStart]],WORKDAY.INTL(Tasks[[#This Row],[_LeafCalcStart]],Tasks[[#This Row],[Duration]]-1,WorkWeek,Holidays)))</f>
        <v/>
      </c>
      <c r="CK19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0" s="38" t="n">
        <f aca="false">IF(NOT(Tasks[[#This Row],[_IsLeaf]]=1),0,IF(N(Tasks[[#This Row],[Actual Finish]])&gt;0,1,MIN(1,N(Tasks[[#This Row],[% Complete]]))))</f>
        <v>0</v>
      </c>
      <c r="CN190" s="38" t="n">
        <f aca="false">IF(OR(NOT(Tasks[[#This Row],[_IsLeaf]]=1),Tasks[[#This Row],[Resource]]=""),0,N(Tasks[[#This Row],[Duration]])*HoursPerDay*IF(Tasks[[#This Row],[Units]]="",DefaultUnits,Tasks[[#This Row],[Units]]))</f>
        <v>0</v>
      </c>
      <c r="CO190" s="38" t="n">
        <f aca="false">IF(Tasks[[#This Row],[_LeafWork]]=0,0,Tasks[[#This Row],[_LeafWork]]*IFERROR(INDEX(res_Rate,MATCH(Tasks[[#This Row],[Resource]],res_Name,0)),0))</f>
        <v>0</v>
      </c>
      <c r="CP190" s="38" t="n">
        <f aca="false">Tasks[[#This Row],[_LeafWork]]+IF(Tasks[[#This Row],[_IsLeaf]]=1,SUMIFS(asg_Work,asg_TaskUID,Tasks[[#This Row],[UID]],asg_Valid,1),0)</f>
        <v>0</v>
      </c>
      <c r="CQ190" s="38" t="n">
        <f aca="false">Tasks[[#This Row],[_LeafCost]]+IF(Tasks[[#This Row],[_IsLeaf]]=1,SUMIFS(asg_Cost,asg_TaskUID,Tasks[[#This Row],[UID]],asg_Valid,1),0)</f>
        <v>0</v>
      </c>
      <c r="CR190" s="38" t="n">
        <f aca="false">IF(Tasks[[#This Row],[_LeafTotalCost]]=0,Tasks[[#This Row],[_LeafAC]],Tasks[[#This Row],[_LeafAC]]*Tasks[[#This Row],[_LeafCost]]/Tasks[[#This Row],[_LeafTotalCost]])</f>
        <v>0</v>
      </c>
      <c r="CS19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0" s="38" t="n">
        <f aca="false">IF(NOT(Tasks[[#This Row],[_IsLeaf]]=1),0,MAX(_xlfn.MAXIFS(Tasks[_Row],Tasks[Pred1 UID],Tasks[[#This Row],[UID]]),_xlfn.MAXIFS(Tasks[_Row],Tasks[Pred2 UID],Tasks[[#This Row],[UID]]),_xlfn.MAXIFS(Tasks[_Row],Tasks[Pred3 UID],Tasks[[#This Row],[UID]]),_xlfn.MAXIFS(Tasks[_Row],Tasks[Pred4 UID],Tasks[[#This Row],[UID]])))</f>
        <v>0</v>
      </c>
      <c r="DB19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0" s="115" t="str">
        <f aca="false">IF(NOT(Tasks[[#This Row],[_IsLeaf]]=1),"",IF(N(Tasks[[#This Row],[Duration]])&lt;=0,Tasks[[#This Row],[_LeafLateFinish]],WORKDAY.INTL(Tasks[[#This Row],[_LeafLateFinish]],-(Tasks[[#This Row],[Duration]]-1),WorkWeek,Holidays)))</f>
        <v/>
      </c>
      <c r="DE19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0" s="114" t="b">
        <f aca="false">AND(Tasks[[#This Row],[_IsLeaf]]=1,Tasks[[#This Row],[_LeafProgress]]&lt;1,N(Tasks[[#This Row],[_LeafTotalSlack]])&lt;=CriticalSlackDays)</f>
        <v>0</v>
      </c>
      <c r="DG190" s="38" t="n">
        <f aca="false">IF(AND(Tasks[[#This Row],[_IsLeaf]]=1,Tasks[[#This Row],[_ConstraintCode]]=1,Tasks[[#This Row],[Mode]]&lt;&gt;"Manual",N(Tasks[[#This Row],[Actual Start]])=0),MAX(0,N(Tasks[[#This Row],[Free Slack]])),0)</f>
        <v>0</v>
      </c>
      <c r="DH190" s="115" t="str">
        <f aca="false">IF(NOT(Tasks[[#This Row],[_IsLeaf]]=1),"",IF(Tasks[[#This Row],[_AlapShift]]=0,Tasks[[#This Row],[_LeafCalcStart]],WORKDAY.INTL(Tasks[[#This Row],[_LeafCalcStart]],Tasks[[#This Row],[_AlapShift]],WorkWeek,Holidays)))</f>
        <v/>
      </c>
      <c r="DI190" s="115" t="str">
        <f aca="false">IF(NOT(Tasks[[#This Row],[_IsLeaf]]=1),"",IF(Tasks[[#This Row],[_AlapShift]]=0,Tasks[[#This Row],[_LeafCalcFinish]],WORKDAY.INTL(Tasks[[#This Row],[_LeafCalcFinish]],Tasks[[#This Row],[_AlapShift]],WorkWeek,Holidays)))</f>
        <v/>
      </c>
      <c r="DJ190" s="115" t="str">
        <f aca="false">IF(NOT(Tasks[[#This Row],[_IsLeaf]]=1),"",IF(Tasks[[#This Row],[_AlapShift]]=0,Tasks[[#This Row],[_LeafFcstStart]],WORKDAY.INTL(Tasks[[#This Row],[_LeafFcstStart]],Tasks[[#This Row],[_AlapShift]],WorkWeek,Holidays)))</f>
        <v/>
      </c>
      <c r="DK190" s="115" t="str">
        <f aca="false">IF(NOT(Tasks[[#This Row],[_IsLeaf]]=1),"",IF(Tasks[[#This Row],[_AlapShift]]=0,Tasks[[#This Row],[_LeafFcstFinish]],WORKDAY.INTL(Tasks[[#This Row],[_LeafFcstFinish]],Tasks[[#This Row],[_AlapShift]],WorkWeek,Holidays)))</f>
        <v/>
      </c>
      <c r="DL190" s="115" t="str">
        <f aca="false">IF(Tasks[[#This Row],[Task Name]]="","",IF(Tasks[[#This Row],[_IsSummary]],MIN(INDEX(Tasks[_ShownCalcStart],Tasks[[#This Row],[_Row]]+1):INDEX(Tasks[_ShownCalcStart],Tasks[[#This Row],[_Row]]+Tasks[[#This Row],[_Descendants]])),Tasks[[#This Row],[_ShownCalcStart]]))</f>
        <v/>
      </c>
      <c r="DM190" s="115" t="str">
        <f aca="false">IF(Tasks[[#This Row],[Task Name]]="","",IF(Tasks[[#This Row],[_IsSummary]],MAX(INDEX(Tasks[_ShownCalcFinish],Tasks[[#This Row],[_Row]]+1):INDEX(Tasks[_ShownCalcFinish],Tasks[[#This Row],[_Row]]+Tasks[[#This Row],[_Descendants]])),Tasks[[#This Row],[_ShownCalcFinish]]))</f>
        <v/>
      </c>
      <c r="DN19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0" s="38" t="n">
        <f aca="false">IF(AND(Tasks[[#This Row],[_IsLeaf]]=1,Tasks[[#This Row],[_LeafTotalWork]]&gt;0),NETWORKDAYS.INTL(ProjectStart,Tasks[[#This Row],[_ShownFcstStart]],WorkWeek,Holidays),0)</f>
        <v>0</v>
      </c>
      <c r="EA190" s="38" t="n">
        <f aca="false">IF(AND(Tasks[[#This Row],[_IsLeaf]]=1,Tasks[[#This Row],[_LeafTotalWork]]&gt;0),MAX(Tasks[[#This Row],[_StartWorkday]],NETWORKDAYS.INTL(ProjectStart,Tasks[[#This Row],[_ShownFcstFinish]],WorkWeek,Holidays)),0)</f>
        <v>0</v>
      </c>
      <c r="EB190" s="38" t="n">
        <f aca="false">IF(AND(Tasks[[#This Row],[_IsLeaf]]=1,Tasks[[#This Row],[_LeafTotalWork]]&gt;0),Tasks[[#This Row],[_LeafWork]]/(Tasks[[#This Row],[_FinishWorkday]]-Tasks[[#This Row],[_StartWorkday]]+1),0)</f>
        <v>0</v>
      </c>
      <c r="EC190" s="38" t="n">
        <f aca="false">Tasks[[#This Row],[_WorkPerWorkday]]*(Tasks[[#This Row],[_StartWorkday]]-1)</f>
        <v>-0</v>
      </c>
      <c r="ED190" s="38" t="n">
        <f aca="false">IF(Tasks[[#This Row],[_IsLeaf]]=1,MAX(N(Tasks[[#This Row],[Duration]]),0.1),0)</f>
        <v>0</v>
      </c>
      <c r="EE190" s="38" t="n">
        <f aca="false">Tasks[[#This Row],[_WeightDur]]*Tasks[[#This Row],[_LeafProgress]]</f>
        <v>0</v>
      </c>
      <c r="EF19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0" s="38" t="str">
        <f aca="false">IF(AND(Tasks[[#This Row],[_IsLeaf]]=1,N(Tasks[[#This Row],[Duration]])=0,Tasks[[#This Row],[_LeafProgress]]&lt;1),Tasks[[#This Row],[_ShownFcstFinish]]+Tasks[[#This Row],[_Row]]/100000,"")</f>
        <v/>
      </c>
      <c r="EH19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0" s="38" t="n">
        <f aca="false">IF(NOT(Tasks[[#This Row],[_IsLeaf]]=1),0,IF(Tasks[[#This Row],[Baseline Cost]]="",Tasks[[#This Row],[_LeafTotalCost]],N(Tasks[[#This Row],[Baseline Cost]])))</f>
        <v>0</v>
      </c>
      <c r="EJ190" s="38" t="n">
        <f aca="false">Tasks[[#This Row],[_LeafBudget]]*Tasks[[#This Row],[_PlannedPct]]</f>
        <v>0</v>
      </c>
      <c r="EK190" s="38" t="n">
        <f aca="false">Tasks[[#This Row],[_LeafBudget]]*Tasks[[#This Row],[_LeafProgress]]</f>
        <v>0</v>
      </c>
      <c r="EL190" s="38" t="n">
        <f aca="false">IF(NOT(Tasks[[#This Row],[_IsLeaf]]=1),0,IF(Tasks[[#This Row],[Actual Cost]]="",Tasks[[#This Row],[_LeafTotalCost]]*Tasks[[#This Row],[_LeafProgress]],N(Tasks[[#This Row],[Actual Cost]])))</f>
        <v>0</v>
      </c>
      <c r="EM190" s="38" t="str">
        <f aca="false">IF(Tasks[[#This Row],[Task Name]]="","",LEFT(Tasks[[#This Row],[WBS]],FIND(".",Tasks[[#This Row],[WBS]]&amp;".")-1))</f>
        <v/>
      </c>
      <c r="EN190" s="38" t="str">
        <f aca="false">IF(AND(Tasks[[#This Row],[Task Name]]&lt;&gt;"",Tasks[[#This Row],[_Level]]=1),Tasks[[#This Row],[_Row]],"")</f>
        <v/>
      </c>
      <c r="EO190" s="38" t="str">
        <f aca="false">IF(AND(Tasks[[#This Row],[_IsLeaf]]=1,N(Tasks[[#This Row],[Duration]])=0),Tasks[[#This Row],[Planned Finish]]+Tasks[[#This Row],[_Row]]/100000,"")</f>
        <v/>
      </c>
      <c r="EP190" s="38" t="str">
        <f aca="false">IF(AND(Tasks[[#This Row],[_IsLeaf]]=1,Tasks[[#This Row],[_LeafProgress]]&lt;1,OR(N(Tasks[[#This Row],[Finish Var]])&gt;0,Tasks[[#This Row],[Status]]="Late Start")),MAX(0,Tasks[[#This Row],[Finish Var]])+1-Tasks[[#This Row],[_Row]]/1000000,"")</f>
        <v/>
      </c>
      <c r="EQ190" s="38" t="str">
        <f aca="false">IF(AND(Tasks[[#This Row],[_IsLeaf]]=1,N(Tasks[[#This Row],[Actual Start]])=0,Tasks[[#This Row],[_ShownFcstStart]]&gt;=StatusDate,Tasks[[#This Row],[_ShownFcstStart]]&lt;=LookaheadEnd),Tasks[[#This Row],[_ShownFcstStart]]+Tasks[[#This Row],[_Row]]/100000,"")</f>
        <v/>
      </c>
      <c r="ER190" s="38" t="str">
        <f aca="false">IF(AND(Tasks[[#This Row],[_IsLeaf]]=1,Tasks[[#This Row],[_LeafProgress]]&lt;1,Tasks[[#This Row],[_ShownFcstFinish]]&gt;=StatusDate,Tasks[[#This Row],[_ShownFcstFinish]]&lt;=LookaheadEnd),Tasks[[#This Row],[_ShownFcstFinish]]+Tasks[[#This Row],[_Row]]/100000,"")</f>
        <v/>
      </c>
      <c r="ES190" s="38" t="str">
        <f aca="false">IF(Tasks[[#This Row],[_LeafCritical]],Tasks[[#This Row],[_ShownFcstStart]]+Tasks[[#This Row],[_Row]]/100000,"")</f>
        <v/>
      </c>
      <c r="ET190" s="38" t="n">
        <f aca="false">Tasks[[#This Row],[_LeafWork]]*Tasks[[#This Row],[_LeafProgress]]</f>
        <v>0</v>
      </c>
      <c r="EU190" s="115" t="str">
        <f aca="false">IF(AND(Tasks[[#This Row],[_IsLeaf]]=1,Tasks[[#This Row],[_LeafProgress]]&gt;=1),IF(N(Tasks[[#This Row],[Actual Finish]])&gt;0,Tasks[[#This Row],[Actual Finish]],Tasks[[#This Row],[_ShownFcstFinish]]),"")</f>
        <v/>
      </c>
      <c r="EV190" s="38" t="n">
        <f aca="false">IF(Tasks[[#This Row],[_IsLeaf]]=1,N(Tasks[[#This Row],[Story Points]]),0)</f>
        <v>0</v>
      </c>
      <c r="EW190" s="38" t="str">
        <f aca="false">IF(AND(Tasks[[#This Row],[_IsLeaf]]=1,CurrentSprint&lt;&gt;"",Tasks[[#This Row],[Sprint]]=CurrentSprint),Tasks[[#This Row],[_Row]],"")</f>
        <v/>
      </c>
    </row>
    <row r="191" customFormat="false" ht="15" hidden="false" customHeight="false" outlineLevel="0" collapsed="false">
      <c r="A191" s="51" t="str">
        <f aca="false">IF(Tasks[[#This Row],[Task Name]]="","",COUNTA(Tasks[[#Headers],[Task Name]]:Tasks[[#This Row],[Task Name]])-1)</f>
        <v/>
      </c>
      <c r="B191" s="52" t="n">
        <v>186</v>
      </c>
      <c r="C19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52"/>
      <c r="E191" s="53"/>
      <c r="F191" s="52"/>
      <c r="G191" s="52"/>
      <c r="H191" s="52"/>
      <c r="I191" s="52"/>
      <c r="J191" s="52"/>
      <c r="K191" s="52"/>
      <c r="L191" s="52"/>
      <c r="M191" s="52"/>
      <c r="N191" s="52"/>
      <c r="O191" s="52"/>
      <c r="P191" s="52"/>
      <c r="Q191" s="52"/>
      <c r="R191" s="52"/>
      <c r="S191" s="53"/>
      <c r="T191" s="102"/>
      <c r="U191" s="102"/>
      <c r="V191" s="7"/>
      <c r="W191" s="7"/>
      <c r="X191" s="53"/>
      <c r="Y191" s="31" t="str">
        <f aca="false">IF(Tasks[[#This Row],[Task Name]]="","",IF(Tasks[[#This Row],[_IsSummary]],MIN(INDEX(Tasks[_ShownFcstStart],Tasks[[#This Row],[_Row]]+1):INDEX(Tasks[_ShownFcstStart],Tasks[[#This Row],[_Row]]+Tasks[[#This Row],[_Descendants]])),Tasks[[#This Row],[_ShownFcstStart]]))</f>
        <v/>
      </c>
      <c r="Z191" s="31" t="str">
        <f aca="false">IF(Tasks[[#This Row],[Task Name]]="","",IF(Tasks[[#This Row],[_IsSummary]],MAX(INDEX(Tasks[_ShownFcstFinish],Tasks[[#This Row],[_Row]]+1):INDEX(Tasks[_ShownFcstFinish],Tasks[[#This Row],[_Row]]+Tasks[[#This Row],[_Descendants]])),Tasks[[#This Row],[_ShownFcstFinish]]))</f>
        <v/>
      </c>
      <c r="AA191" s="51" t="str">
        <f aca="false">IF(Tasks[[#This Row],[Task Name]]="","",IF(Tasks[[#This Row],[Progress]]&gt;=1,"Complete",IF(OR(N(Tasks[[#This Row],[Actual Start]])&gt;0,Tasks[[#This Row],[Progress]]&gt;0),IF(Tasks[[#This Row],[Finish Var]]&gt;0,"Behind","In Progress"),IF(Tasks[[#This Row],[Planned Start]]&lt;StatusDate,"Late Start","Not Started"))))</f>
        <v/>
      </c>
      <c r="AB191" s="51" t="str">
        <f aca="false">IF(Tasks[[#This Row],[Task Name]]="","",IF(IF(Tasks[[#This Row],[_IsSummary]],COUNTIF(INDEX(Tasks[_LeafCritical],Tasks[[#This Row],[_Row]]+1):INDEX(Tasks[_LeafCritical],Tasks[[#This Row],[_Row]]+Tasks[[#This Row],[_Descendants]]),TRUE())&gt;0,Tasks[[#This Row],[_LeafCritical]]),"Yes",""))</f>
        <v/>
      </c>
      <c r="AC19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1" s="51" t="str">
        <f aca="false">IF(Tasks[[#This Row],[Task Name]]="","",IF(Tasks[[#This Row],[_Level]]&lt;=OutlineShowLevel,"Yes","No"))</f>
        <v/>
      </c>
      <c r="AE191" s="7"/>
      <c r="AF191" s="52"/>
      <c r="AG191" s="53"/>
      <c r="AH191" s="7"/>
      <c r="AI19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1" s="31" t="str">
        <f aca="false">IF(Tasks[[#This Row],[Task Name]]="","",IF(N(Tasks[[#This Row],[Baseline Start]])&gt;0,Tasks[[#This Row],[Baseline Start]],Tasks[[#This Row],[_CalcStart]]))</f>
        <v/>
      </c>
      <c r="AK191" s="31" t="str">
        <f aca="false">IF(Tasks[[#This Row],[Task Name]]="","",IF(N(Tasks[[#This Row],[Baseline Finish]])&gt;0,Tasks[[#This Row],[Baseline Finish]],Tasks[[#This Row],[_CalcFinish]]))</f>
        <v/>
      </c>
      <c r="AL19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1" s="31" t="str">
        <f aca="false">IF(Tasks[[#This Row],[Task Name]]="","",IF(Tasks[[#This Row],[_IsSummary]],MIN(INDEX(Tasks[_LeafLateStart],Tasks[[#This Row],[_Row]]+1):INDEX(Tasks[_LeafLateStart],Tasks[[#This Row],[_Row]]+Tasks[[#This Row],[_Descendants]])),Tasks[[#This Row],[_LeafLateStart]]))</f>
        <v/>
      </c>
      <c r="AN191" s="31" t="str">
        <f aca="false">IF(Tasks[[#This Row],[Task Name]]="","",IF(Tasks[[#This Row],[_IsSummary]],MAX(INDEX(Tasks[_LeafLateFinish],Tasks[[#This Row],[_Row]]+1):INDEX(Tasks[_LeafLateFinish],Tasks[[#This Row],[_Row]]+Tasks[[#This Row],[_Descendants]])),Tasks[[#This Row],[_LeafLateFinish]]))</f>
        <v/>
      </c>
      <c r="AO191" s="51" t="str">
        <f aca="false">IF(Tasks[[#This Row],[Task Name]]="","",IF(Tasks[[#This Row],[_IsSummary]],MIN(INDEX(Tasks[_LeafTotalSlack],Tasks[[#This Row],[_Row]]+1):INDEX(Tasks[_LeafTotalSlack],Tasks[[#This Row],[_Row]]+Tasks[[#This Row],[_Descendants]])),Tasks[[#This Row],[_LeafTotalSlack]]))</f>
        <v/>
      </c>
      <c r="AP19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1" s="110" t="str">
        <f aca="false">IF(Tasks[[#This Row],[Task Name]]="","",IF(Tasks[[#This Row],[_IsSummary]],SUM(INDEX(Tasks[_LeafTotalWork],Tasks[[#This Row],[_Row]]+1):INDEX(Tasks[_LeafTotalWork],Tasks[[#This Row],[_Row]]+Tasks[[#This Row],[_Descendants]])),Tasks[[#This Row],[_LeafTotalWork]]))</f>
        <v/>
      </c>
      <c r="AV19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1" s="111" t="str">
        <f aca="false">IF(Tasks[[#This Row],[Task Name]]="","",IF(Tasks[[#This Row],[_IsSummary]],SUM(INDEX(Tasks[_LeafTotalCost],Tasks[[#This Row],[_Row]]+1):INDEX(Tasks[_LeafTotalCost],Tasks[[#This Row],[_Row]]+Tasks[[#This Row],[_Descendants]])),Tasks[[#This Row],[_LeafTotalCost]]))</f>
        <v/>
      </c>
      <c r="AY191" s="112"/>
      <c r="AZ19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1" s="52"/>
      <c r="BB191" s="98"/>
      <c r="BC191" s="51" t="str">
        <f aca="false">IF(OR(Tasks[[#This Row],[Task Name]]="",Tasks[[#This Row],[Baseline Duration]]=""),"",Tasks[[#This Row],[BL Source Duration]]-N(Tasks[[#This Row],[Baseline Duration]]))</f>
        <v/>
      </c>
      <c r="BD191" s="110" t="str">
        <f aca="false">IF(OR(Tasks[[#This Row],[Task Name]]="",Tasks[[#This Row],[Baseline Work]]=""),"",Tasks[[#This Row],[Work]]-N(Tasks[[#This Row],[Baseline Work]]))</f>
        <v/>
      </c>
      <c r="BE191" s="111" t="str">
        <f aca="false">IF(OR(Tasks[[#This Row],[Task Name]]="",Tasks[[#This Row],[Baseline Cost]]=""),"",Tasks[[#This Row],[Cost]]-N(Tasks[[#This Row],[Baseline Cost]]))</f>
        <v/>
      </c>
      <c r="BF191" s="31" t="str">
        <f aca="false">IF(Tasks[[#This Row],[Task Name]]="","",Tasks[[#This Row],[Forecast Start]])</f>
        <v/>
      </c>
      <c r="BG191" s="31" t="str">
        <f aca="false">IF(Tasks[[#This Row],[Task Name]]="","",Tasks[[#This Row],[Forecast Finish]])</f>
        <v/>
      </c>
      <c r="BH191" s="51" t="str">
        <f aca="false">IF(Tasks[[#This Row],[Task Name]]="","",IF(Tasks[[#This Row],[_IsSummary]],NETWORKDAYS.INTL(Tasks[[#This Row],[Forecast Start]],Tasks[[#This Row],[Forecast Finish]],WorkWeek,Holidays),N(Tasks[[#This Row],[Duration]])))</f>
        <v/>
      </c>
      <c r="BI191" s="110" t="str">
        <f aca="false">IF(Tasks[[#This Row],[Task Name]]="","",Tasks[[#This Row],[Work]])</f>
        <v/>
      </c>
      <c r="BJ191" s="111" t="str">
        <f aca="false">IF(Tasks[[#This Row],[Task Name]]="","",Tasks[[#This Row],[Cost]])</f>
        <v/>
      </c>
      <c r="BK191" s="7"/>
      <c r="BL191" s="7"/>
      <c r="BM191" s="52"/>
      <c r="BN191" s="113"/>
      <c r="BO191" s="112"/>
      <c r="BP191" s="111" t="str">
        <f aca="false">IF(Tasks[[#This Row],[Task Name]]="","",IF(Tasks[[#This Row],[_IsSummary]],SUM(INDEX(Tasks[_LeafEV],Tasks[[#This Row],[_Row]]+1):INDEX(Tasks[_LeafEV],Tasks[[#This Row],[_Row]]+Tasks[[#This Row],[_Descendants]])),Tasks[[#This Row],[_LeafEV]]))</f>
        <v/>
      </c>
      <c r="BQ191" s="111" t="str">
        <f aca="false">IF(Tasks[[#This Row],[Task Name]]="","",IF(Tasks[[#This Row],[_IsSummary]],SUM(INDEX(Tasks[_LeafBudget],Tasks[[#This Row],[_Row]]+1):INDEX(Tasks[_LeafBudget],Tasks[[#This Row],[_Row]]+Tasks[[#This Row],[_Descendants]])),Tasks[[#This Row],[_LeafBudget]]))</f>
        <v/>
      </c>
      <c r="BR191" s="111" t="str">
        <f aca="false">IF(Tasks[[#This Row],[Task Name]]="","",IF(Tasks[[#This Row],[_IsSummary]],SUM(INDEX(Tasks[_LeafPV],Tasks[[#This Row],[_Row]]+1):INDEX(Tasks[_LeafPV],Tasks[[#This Row],[_Row]]+Tasks[[#This Row],[_Descendants]])),Tasks[[#This Row],[_LeafPV]]))</f>
        <v/>
      </c>
      <c r="BS191" s="111" t="str">
        <f aca="false">IF(Tasks[[#This Row],[Task Name]]="","",IF(Tasks[[#This Row],[_IsSummary]],SUM(INDEX(Tasks[_LeafAC],Tasks[[#This Row],[_Row]]+1):INDEX(Tasks[_LeafAC],Tasks[[#This Row],[_Row]]+Tasks[[#This Row],[_Descendants]])),Tasks[[#This Row],[_LeafAC]]))</f>
        <v/>
      </c>
      <c r="BT191" s="38" t="str">
        <f aca="false">IF(Tasks[[#This Row],[Task Name]]="","",MAX(1,N(Tasks[[#This Row],[Level]])))</f>
        <v/>
      </c>
      <c r="BU191" s="38" t="n">
        <f aca="false">ROW()-ROW(Tasks[[#Headers],[ID]])</f>
        <v>186</v>
      </c>
      <c r="BV191" s="38" t="n">
        <f aca="false">IF(OR(Tasks[[#This Row],[Task Name]]="",Tasks[[#This Row],[_Level]]&lt;=1),0,IFERROR(LOOKUP(2,1/(Tasks[[#Headers],[_Level]]:Tasks[[#This Row],[_Level]]=Tasks[[#This Row],[_Level]]-1),ROW(Tasks[[#Headers],[_Level]]:Tasks[[#This Row],[_Level]])),0))</f>
        <v>0</v>
      </c>
      <c r="BW191" s="38" t="n">
        <f aca="false">IFERROR(N(INDEX(Tasks[_Level],Tasks[[#This Row],[_Row]]+1)),0)</f>
        <v>0</v>
      </c>
      <c r="BX191" s="114" t="b">
        <f aca="false">AND(Tasks[[#This Row],[Task Name]]&lt;&gt;"",Tasks[[#This Row],[_NextLevel]]&gt;Tasks[[#This Row],[_Level]])</f>
        <v>0</v>
      </c>
      <c r="BY191" s="38" t="n">
        <f aca="false">IF(Tasks[[#This Row],[_IsSummary]],COUNTIF(Tasks[WBS],Tasks[[#This Row],[WBS]]&amp;".*"),0)</f>
        <v>0</v>
      </c>
      <c r="BZ191" s="38" t="n">
        <f aca="false">IF(AND(Tasks[[#This Row],[Task Name]]&lt;&gt;"",NOT(Tasks[[#This Row],[_IsSummary]])),1,0)</f>
        <v>0</v>
      </c>
      <c r="CA191" s="38" t="n">
        <f aca="false">IF(N(Tasks[[#This Row],[Pred1 UID]])=0,0,IFERROR(MATCH(Tasks[[#This Row],[Pred1 UID]],Tasks[UID],0),-1))</f>
        <v>0</v>
      </c>
      <c r="CB191" s="38" t="n">
        <f aca="false">IF(N(Tasks[[#This Row],[Pred2 UID]])=0,0,IFERROR(MATCH(Tasks[[#This Row],[Pred2 UID]],Tasks[UID],0),-1))</f>
        <v>0</v>
      </c>
      <c r="CC191" s="38" t="n">
        <f aca="false">IF(N(Tasks[[#This Row],[Pred3 UID]])=0,0,IFERROR(MATCH(Tasks[[#This Row],[Pred3 UID]],Tasks[UID],0),-1))</f>
        <v>0</v>
      </c>
      <c r="CD191" s="38" t="n">
        <f aca="false">IF(N(Tasks[[#This Row],[Pred4 UID]])=0,0,IFERROR(MATCH(Tasks[[#This Row],[Pred4 UID]],Tasks[UID],0),-1))</f>
        <v>0</v>
      </c>
      <c r="CE19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1" s="115" t="n">
        <f aca="false">IF(OR(Tasks[[#This Row],[_ConstraintCode]]=2,Tasks[[#This Row],[_ConstraintCode]]=3,Tasks[[#This Row],[_ConstraintCode]]=4,Tasks[[#This Row],[_ConstraintCode]]=6),Tasks[[#This Row],[_ConstraintStart]],0)</f>
        <v>0</v>
      </c>
      <c r="CH191" s="115" t="n">
        <f aca="false">IF(OR(Tasks[[#This Row],[_ConstraintCode]]=2,Tasks[[#This Row],[_ConstraintCode]]=3,Tasks[[#This Row],[_ConstraintCode]]=5,Tasks[[#This Row],[_ConstraintCode]]=7),Tasks[[#This Row],[_ConstraintStart]],2958465)</f>
        <v>2958465</v>
      </c>
      <c r="CI19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1" s="115" t="str">
        <f aca="false">IF(NOT(Tasks[[#This Row],[_IsLeaf]]=1),"",IF(N(Tasks[[#This Row],[Duration]])&lt;=0,Tasks[[#This Row],[_LeafCalcStart]],WORKDAY.INTL(Tasks[[#This Row],[_LeafCalcStart]],Tasks[[#This Row],[Duration]]-1,WorkWeek,Holidays)))</f>
        <v/>
      </c>
      <c r="CK19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1" s="38" t="n">
        <f aca="false">IF(NOT(Tasks[[#This Row],[_IsLeaf]]=1),0,IF(N(Tasks[[#This Row],[Actual Finish]])&gt;0,1,MIN(1,N(Tasks[[#This Row],[% Complete]]))))</f>
        <v>0</v>
      </c>
      <c r="CN191" s="38" t="n">
        <f aca="false">IF(OR(NOT(Tasks[[#This Row],[_IsLeaf]]=1),Tasks[[#This Row],[Resource]]=""),0,N(Tasks[[#This Row],[Duration]])*HoursPerDay*IF(Tasks[[#This Row],[Units]]="",DefaultUnits,Tasks[[#This Row],[Units]]))</f>
        <v>0</v>
      </c>
      <c r="CO191" s="38" t="n">
        <f aca="false">IF(Tasks[[#This Row],[_LeafWork]]=0,0,Tasks[[#This Row],[_LeafWork]]*IFERROR(INDEX(res_Rate,MATCH(Tasks[[#This Row],[Resource]],res_Name,0)),0))</f>
        <v>0</v>
      </c>
      <c r="CP191" s="38" t="n">
        <f aca="false">Tasks[[#This Row],[_LeafWork]]+IF(Tasks[[#This Row],[_IsLeaf]]=1,SUMIFS(asg_Work,asg_TaskUID,Tasks[[#This Row],[UID]],asg_Valid,1),0)</f>
        <v>0</v>
      </c>
      <c r="CQ191" s="38" t="n">
        <f aca="false">Tasks[[#This Row],[_LeafCost]]+IF(Tasks[[#This Row],[_IsLeaf]]=1,SUMIFS(asg_Cost,asg_TaskUID,Tasks[[#This Row],[UID]],asg_Valid,1),0)</f>
        <v>0</v>
      </c>
      <c r="CR191" s="38" t="n">
        <f aca="false">IF(Tasks[[#This Row],[_LeafTotalCost]]=0,Tasks[[#This Row],[_LeafAC]],Tasks[[#This Row],[_LeafAC]]*Tasks[[#This Row],[_LeafCost]]/Tasks[[#This Row],[_LeafTotalCost]])</f>
        <v>0</v>
      </c>
      <c r="CS19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1" s="38" t="n">
        <f aca="false">IF(NOT(Tasks[[#This Row],[_IsLeaf]]=1),0,MAX(_xlfn.MAXIFS(Tasks[_Row],Tasks[Pred1 UID],Tasks[[#This Row],[UID]]),_xlfn.MAXIFS(Tasks[_Row],Tasks[Pred2 UID],Tasks[[#This Row],[UID]]),_xlfn.MAXIFS(Tasks[_Row],Tasks[Pred3 UID],Tasks[[#This Row],[UID]]),_xlfn.MAXIFS(Tasks[_Row],Tasks[Pred4 UID],Tasks[[#This Row],[UID]])))</f>
        <v>0</v>
      </c>
      <c r="DB19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1" s="115" t="str">
        <f aca="false">IF(NOT(Tasks[[#This Row],[_IsLeaf]]=1),"",IF(N(Tasks[[#This Row],[Duration]])&lt;=0,Tasks[[#This Row],[_LeafLateFinish]],WORKDAY.INTL(Tasks[[#This Row],[_LeafLateFinish]],-(Tasks[[#This Row],[Duration]]-1),WorkWeek,Holidays)))</f>
        <v/>
      </c>
      <c r="DE19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1" s="114" t="b">
        <f aca="false">AND(Tasks[[#This Row],[_IsLeaf]]=1,Tasks[[#This Row],[_LeafProgress]]&lt;1,N(Tasks[[#This Row],[_LeafTotalSlack]])&lt;=CriticalSlackDays)</f>
        <v>0</v>
      </c>
      <c r="DG191" s="38" t="n">
        <f aca="false">IF(AND(Tasks[[#This Row],[_IsLeaf]]=1,Tasks[[#This Row],[_ConstraintCode]]=1,Tasks[[#This Row],[Mode]]&lt;&gt;"Manual",N(Tasks[[#This Row],[Actual Start]])=0),MAX(0,N(Tasks[[#This Row],[Free Slack]])),0)</f>
        <v>0</v>
      </c>
      <c r="DH191" s="115" t="str">
        <f aca="false">IF(NOT(Tasks[[#This Row],[_IsLeaf]]=1),"",IF(Tasks[[#This Row],[_AlapShift]]=0,Tasks[[#This Row],[_LeafCalcStart]],WORKDAY.INTL(Tasks[[#This Row],[_LeafCalcStart]],Tasks[[#This Row],[_AlapShift]],WorkWeek,Holidays)))</f>
        <v/>
      </c>
      <c r="DI191" s="115" t="str">
        <f aca="false">IF(NOT(Tasks[[#This Row],[_IsLeaf]]=1),"",IF(Tasks[[#This Row],[_AlapShift]]=0,Tasks[[#This Row],[_LeafCalcFinish]],WORKDAY.INTL(Tasks[[#This Row],[_LeafCalcFinish]],Tasks[[#This Row],[_AlapShift]],WorkWeek,Holidays)))</f>
        <v/>
      </c>
      <c r="DJ191" s="115" t="str">
        <f aca="false">IF(NOT(Tasks[[#This Row],[_IsLeaf]]=1),"",IF(Tasks[[#This Row],[_AlapShift]]=0,Tasks[[#This Row],[_LeafFcstStart]],WORKDAY.INTL(Tasks[[#This Row],[_LeafFcstStart]],Tasks[[#This Row],[_AlapShift]],WorkWeek,Holidays)))</f>
        <v/>
      </c>
      <c r="DK191" s="115" t="str">
        <f aca="false">IF(NOT(Tasks[[#This Row],[_IsLeaf]]=1),"",IF(Tasks[[#This Row],[_AlapShift]]=0,Tasks[[#This Row],[_LeafFcstFinish]],WORKDAY.INTL(Tasks[[#This Row],[_LeafFcstFinish]],Tasks[[#This Row],[_AlapShift]],WorkWeek,Holidays)))</f>
        <v/>
      </c>
      <c r="DL191" s="115" t="str">
        <f aca="false">IF(Tasks[[#This Row],[Task Name]]="","",IF(Tasks[[#This Row],[_IsSummary]],MIN(INDEX(Tasks[_ShownCalcStart],Tasks[[#This Row],[_Row]]+1):INDEX(Tasks[_ShownCalcStart],Tasks[[#This Row],[_Row]]+Tasks[[#This Row],[_Descendants]])),Tasks[[#This Row],[_ShownCalcStart]]))</f>
        <v/>
      </c>
      <c r="DM191" s="115" t="str">
        <f aca="false">IF(Tasks[[#This Row],[Task Name]]="","",IF(Tasks[[#This Row],[_IsSummary]],MAX(INDEX(Tasks[_ShownCalcFinish],Tasks[[#This Row],[_Row]]+1):INDEX(Tasks[_ShownCalcFinish],Tasks[[#This Row],[_Row]]+Tasks[[#This Row],[_Descendants]])),Tasks[[#This Row],[_ShownCalcFinish]]))</f>
        <v/>
      </c>
      <c r="DN19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1" s="38" t="n">
        <f aca="false">IF(AND(Tasks[[#This Row],[_IsLeaf]]=1,Tasks[[#This Row],[_LeafTotalWork]]&gt;0),NETWORKDAYS.INTL(ProjectStart,Tasks[[#This Row],[_ShownFcstStart]],WorkWeek,Holidays),0)</f>
        <v>0</v>
      </c>
      <c r="EA191" s="38" t="n">
        <f aca="false">IF(AND(Tasks[[#This Row],[_IsLeaf]]=1,Tasks[[#This Row],[_LeafTotalWork]]&gt;0),MAX(Tasks[[#This Row],[_StartWorkday]],NETWORKDAYS.INTL(ProjectStart,Tasks[[#This Row],[_ShownFcstFinish]],WorkWeek,Holidays)),0)</f>
        <v>0</v>
      </c>
      <c r="EB191" s="38" t="n">
        <f aca="false">IF(AND(Tasks[[#This Row],[_IsLeaf]]=1,Tasks[[#This Row],[_LeafTotalWork]]&gt;0),Tasks[[#This Row],[_LeafWork]]/(Tasks[[#This Row],[_FinishWorkday]]-Tasks[[#This Row],[_StartWorkday]]+1),0)</f>
        <v>0</v>
      </c>
      <c r="EC191" s="38" t="n">
        <f aca="false">Tasks[[#This Row],[_WorkPerWorkday]]*(Tasks[[#This Row],[_StartWorkday]]-1)</f>
        <v>-0</v>
      </c>
      <c r="ED191" s="38" t="n">
        <f aca="false">IF(Tasks[[#This Row],[_IsLeaf]]=1,MAX(N(Tasks[[#This Row],[Duration]]),0.1),0)</f>
        <v>0</v>
      </c>
      <c r="EE191" s="38" t="n">
        <f aca="false">Tasks[[#This Row],[_WeightDur]]*Tasks[[#This Row],[_LeafProgress]]</f>
        <v>0</v>
      </c>
      <c r="EF19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1" s="38" t="str">
        <f aca="false">IF(AND(Tasks[[#This Row],[_IsLeaf]]=1,N(Tasks[[#This Row],[Duration]])=0,Tasks[[#This Row],[_LeafProgress]]&lt;1),Tasks[[#This Row],[_ShownFcstFinish]]+Tasks[[#This Row],[_Row]]/100000,"")</f>
        <v/>
      </c>
      <c r="EH19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1" s="38" t="n">
        <f aca="false">IF(NOT(Tasks[[#This Row],[_IsLeaf]]=1),0,IF(Tasks[[#This Row],[Baseline Cost]]="",Tasks[[#This Row],[_LeafTotalCost]],N(Tasks[[#This Row],[Baseline Cost]])))</f>
        <v>0</v>
      </c>
      <c r="EJ191" s="38" t="n">
        <f aca="false">Tasks[[#This Row],[_LeafBudget]]*Tasks[[#This Row],[_PlannedPct]]</f>
        <v>0</v>
      </c>
      <c r="EK191" s="38" t="n">
        <f aca="false">Tasks[[#This Row],[_LeafBudget]]*Tasks[[#This Row],[_LeafProgress]]</f>
        <v>0</v>
      </c>
      <c r="EL191" s="38" t="n">
        <f aca="false">IF(NOT(Tasks[[#This Row],[_IsLeaf]]=1),0,IF(Tasks[[#This Row],[Actual Cost]]="",Tasks[[#This Row],[_LeafTotalCost]]*Tasks[[#This Row],[_LeafProgress]],N(Tasks[[#This Row],[Actual Cost]])))</f>
        <v>0</v>
      </c>
      <c r="EM191" s="38" t="str">
        <f aca="false">IF(Tasks[[#This Row],[Task Name]]="","",LEFT(Tasks[[#This Row],[WBS]],FIND(".",Tasks[[#This Row],[WBS]]&amp;".")-1))</f>
        <v/>
      </c>
      <c r="EN191" s="38" t="str">
        <f aca="false">IF(AND(Tasks[[#This Row],[Task Name]]&lt;&gt;"",Tasks[[#This Row],[_Level]]=1),Tasks[[#This Row],[_Row]],"")</f>
        <v/>
      </c>
      <c r="EO191" s="38" t="str">
        <f aca="false">IF(AND(Tasks[[#This Row],[_IsLeaf]]=1,N(Tasks[[#This Row],[Duration]])=0),Tasks[[#This Row],[Planned Finish]]+Tasks[[#This Row],[_Row]]/100000,"")</f>
        <v/>
      </c>
      <c r="EP191" s="38" t="str">
        <f aca="false">IF(AND(Tasks[[#This Row],[_IsLeaf]]=1,Tasks[[#This Row],[_LeafProgress]]&lt;1,OR(N(Tasks[[#This Row],[Finish Var]])&gt;0,Tasks[[#This Row],[Status]]="Late Start")),MAX(0,Tasks[[#This Row],[Finish Var]])+1-Tasks[[#This Row],[_Row]]/1000000,"")</f>
        <v/>
      </c>
      <c r="EQ191" s="38" t="str">
        <f aca="false">IF(AND(Tasks[[#This Row],[_IsLeaf]]=1,N(Tasks[[#This Row],[Actual Start]])=0,Tasks[[#This Row],[_ShownFcstStart]]&gt;=StatusDate,Tasks[[#This Row],[_ShownFcstStart]]&lt;=LookaheadEnd),Tasks[[#This Row],[_ShownFcstStart]]+Tasks[[#This Row],[_Row]]/100000,"")</f>
        <v/>
      </c>
      <c r="ER191" s="38" t="str">
        <f aca="false">IF(AND(Tasks[[#This Row],[_IsLeaf]]=1,Tasks[[#This Row],[_LeafProgress]]&lt;1,Tasks[[#This Row],[_ShownFcstFinish]]&gt;=StatusDate,Tasks[[#This Row],[_ShownFcstFinish]]&lt;=LookaheadEnd),Tasks[[#This Row],[_ShownFcstFinish]]+Tasks[[#This Row],[_Row]]/100000,"")</f>
        <v/>
      </c>
      <c r="ES191" s="38" t="str">
        <f aca="false">IF(Tasks[[#This Row],[_LeafCritical]],Tasks[[#This Row],[_ShownFcstStart]]+Tasks[[#This Row],[_Row]]/100000,"")</f>
        <v/>
      </c>
      <c r="ET191" s="38" t="n">
        <f aca="false">Tasks[[#This Row],[_LeafWork]]*Tasks[[#This Row],[_LeafProgress]]</f>
        <v>0</v>
      </c>
      <c r="EU191" s="115" t="str">
        <f aca="false">IF(AND(Tasks[[#This Row],[_IsLeaf]]=1,Tasks[[#This Row],[_LeafProgress]]&gt;=1),IF(N(Tasks[[#This Row],[Actual Finish]])&gt;0,Tasks[[#This Row],[Actual Finish]],Tasks[[#This Row],[_ShownFcstFinish]]),"")</f>
        <v/>
      </c>
      <c r="EV191" s="38" t="n">
        <f aca="false">IF(Tasks[[#This Row],[_IsLeaf]]=1,N(Tasks[[#This Row],[Story Points]]),0)</f>
        <v>0</v>
      </c>
      <c r="EW191" s="38" t="str">
        <f aca="false">IF(AND(Tasks[[#This Row],[_IsLeaf]]=1,CurrentSprint&lt;&gt;"",Tasks[[#This Row],[Sprint]]=CurrentSprint),Tasks[[#This Row],[_Row]],"")</f>
        <v/>
      </c>
    </row>
    <row r="192" customFormat="false" ht="15" hidden="false" customHeight="false" outlineLevel="0" collapsed="false">
      <c r="A192" s="51" t="str">
        <f aca="false">IF(Tasks[[#This Row],[Task Name]]="","",COUNTA(Tasks[[#Headers],[Task Name]]:Tasks[[#This Row],[Task Name]])-1)</f>
        <v/>
      </c>
      <c r="B192" s="52" t="n">
        <v>187</v>
      </c>
      <c r="C19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52"/>
      <c r="E192" s="53"/>
      <c r="F192" s="52"/>
      <c r="G192" s="52"/>
      <c r="H192" s="52"/>
      <c r="I192" s="52"/>
      <c r="J192" s="52"/>
      <c r="K192" s="52"/>
      <c r="L192" s="52"/>
      <c r="M192" s="52"/>
      <c r="N192" s="52"/>
      <c r="O192" s="52"/>
      <c r="P192" s="52"/>
      <c r="Q192" s="52"/>
      <c r="R192" s="52"/>
      <c r="S192" s="53"/>
      <c r="T192" s="102"/>
      <c r="U192" s="102"/>
      <c r="V192" s="7"/>
      <c r="W192" s="7"/>
      <c r="X192" s="53"/>
      <c r="Y192" s="31" t="str">
        <f aca="false">IF(Tasks[[#This Row],[Task Name]]="","",IF(Tasks[[#This Row],[_IsSummary]],MIN(INDEX(Tasks[_ShownFcstStart],Tasks[[#This Row],[_Row]]+1):INDEX(Tasks[_ShownFcstStart],Tasks[[#This Row],[_Row]]+Tasks[[#This Row],[_Descendants]])),Tasks[[#This Row],[_ShownFcstStart]]))</f>
        <v/>
      </c>
      <c r="Z192" s="31" t="str">
        <f aca="false">IF(Tasks[[#This Row],[Task Name]]="","",IF(Tasks[[#This Row],[_IsSummary]],MAX(INDEX(Tasks[_ShownFcstFinish],Tasks[[#This Row],[_Row]]+1):INDEX(Tasks[_ShownFcstFinish],Tasks[[#This Row],[_Row]]+Tasks[[#This Row],[_Descendants]])),Tasks[[#This Row],[_ShownFcstFinish]]))</f>
        <v/>
      </c>
      <c r="AA192" s="51" t="str">
        <f aca="false">IF(Tasks[[#This Row],[Task Name]]="","",IF(Tasks[[#This Row],[Progress]]&gt;=1,"Complete",IF(OR(N(Tasks[[#This Row],[Actual Start]])&gt;0,Tasks[[#This Row],[Progress]]&gt;0),IF(Tasks[[#This Row],[Finish Var]]&gt;0,"Behind","In Progress"),IF(Tasks[[#This Row],[Planned Start]]&lt;StatusDate,"Late Start","Not Started"))))</f>
        <v/>
      </c>
      <c r="AB192" s="51" t="str">
        <f aca="false">IF(Tasks[[#This Row],[Task Name]]="","",IF(IF(Tasks[[#This Row],[_IsSummary]],COUNTIF(INDEX(Tasks[_LeafCritical],Tasks[[#This Row],[_Row]]+1):INDEX(Tasks[_LeafCritical],Tasks[[#This Row],[_Row]]+Tasks[[#This Row],[_Descendants]]),TRUE())&gt;0,Tasks[[#This Row],[_LeafCritical]]),"Yes",""))</f>
        <v/>
      </c>
      <c r="AC19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2" s="51" t="str">
        <f aca="false">IF(Tasks[[#This Row],[Task Name]]="","",IF(Tasks[[#This Row],[_Level]]&lt;=OutlineShowLevel,"Yes","No"))</f>
        <v/>
      </c>
      <c r="AE192" s="7"/>
      <c r="AF192" s="52"/>
      <c r="AG192" s="53"/>
      <c r="AH192" s="7"/>
      <c r="AI19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2" s="31" t="str">
        <f aca="false">IF(Tasks[[#This Row],[Task Name]]="","",IF(N(Tasks[[#This Row],[Baseline Start]])&gt;0,Tasks[[#This Row],[Baseline Start]],Tasks[[#This Row],[_CalcStart]]))</f>
        <v/>
      </c>
      <c r="AK192" s="31" t="str">
        <f aca="false">IF(Tasks[[#This Row],[Task Name]]="","",IF(N(Tasks[[#This Row],[Baseline Finish]])&gt;0,Tasks[[#This Row],[Baseline Finish]],Tasks[[#This Row],[_CalcFinish]]))</f>
        <v/>
      </c>
      <c r="AL19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2" s="31" t="str">
        <f aca="false">IF(Tasks[[#This Row],[Task Name]]="","",IF(Tasks[[#This Row],[_IsSummary]],MIN(INDEX(Tasks[_LeafLateStart],Tasks[[#This Row],[_Row]]+1):INDEX(Tasks[_LeafLateStart],Tasks[[#This Row],[_Row]]+Tasks[[#This Row],[_Descendants]])),Tasks[[#This Row],[_LeafLateStart]]))</f>
        <v/>
      </c>
      <c r="AN192" s="31" t="str">
        <f aca="false">IF(Tasks[[#This Row],[Task Name]]="","",IF(Tasks[[#This Row],[_IsSummary]],MAX(INDEX(Tasks[_LeafLateFinish],Tasks[[#This Row],[_Row]]+1):INDEX(Tasks[_LeafLateFinish],Tasks[[#This Row],[_Row]]+Tasks[[#This Row],[_Descendants]])),Tasks[[#This Row],[_LeafLateFinish]]))</f>
        <v/>
      </c>
      <c r="AO192" s="51" t="str">
        <f aca="false">IF(Tasks[[#This Row],[Task Name]]="","",IF(Tasks[[#This Row],[_IsSummary]],MIN(INDEX(Tasks[_LeafTotalSlack],Tasks[[#This Row],[_Row]]+1):INDEX(Tasks[_LeafTotalSlack],Tasks[[#This Row],[_Row]]+Tasks[[#This Row],[_Descendants]])),Tasks[[#This Row],[_LeafTotalSlack]]))</f>
        <v/>
      </c>
      <c r="AP19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2" s="110" t="str">
        <f aca="false">IF(Tasks[[#This Row],[Task Name]]="","",IF(Tasks[[#This Row],[_IsSummary]],SUM(INDEX(Tasks[_LeafTotalWork],Tasks[[#This Row],[_Row]]+1):INDEX(Tasks[_LeafTotalWork],Tasks[[#This Row],[_Row]]+Tasks[[#This Row],[_Descendants]])),Tasks[[#This Row],[_LeafTotalWork]]))</f>
        <v/>
      </c>
      <c r="AV19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2" s="111" t="str">
        <f aca="false">IF(Tasks[[#This Row],[Task Name]]="","",IF(Tasks[[#This Row],[_IsSummary]],SUM(INDEX(Tasks[_LeafTotalCost],Tasks[[#This Row],[_Row]]+1):INDEX(Tasks[_LeafTotalCost],Tasks[[#This Row],[_Row]]+Tasks[[#This Row],[_Descendants]])),Tasks[[#This Row],[_LeafTotalCost]]))</f>
        <v/>
      </c>
      <c r="AY192" s="112"/>
      <c r="AZ19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2" s="52"/>
      <c r="BB192" s="98"/>
      <c r="BC192" s="51" t="str">
        <f aca="false">IF(OR(Tasks[[#This Row],[Task Name]]="",Tasks[[#This Row],[Baseline Duration]]=""),"",Tasks[[#This Row],[BL Source Duration]]-N(Tasks[[#This Row],[Baseline Duration]]))</f>
        <v/>
      </c>
      <c r="BD192" s="110" t="str">
        <f aca="false">IF(OR(Tasks[[#This Row],[Task Name]]="",Tasks[[#This Row],[Baseline Work]]=""),"",Tasks[[#This Row],[Work]]-N(Tasks[[#This Row],[Baseline Work]]))</f>
        <v/>
      </c>
      <c r="BE192" s="111" t="str">
        <f aca="false">IF(OR(Tasks[[#This Row],[Task Name]]="",Tasks[[#This Row],[Baseline Cost]]=""),"",Tasks[[#This Row],[Cost]]-N(Tasks[[#This Row],[Baseline Cost]]))</f>
        <v/>
      </c>
      <c r="BF192" s="31" t="str">
        <f aca="false">IF(Tasks[[#This Row],[Task Name]]="","",Tasks[[#This Row],[Forecast Start]])</f>
        <v/>
      </c>
      <c r="BG192" s="31" t="str">
        <f aca="false">IF(Tasks[[#This Row],[Task Name]]="","",Tasks[[#This Row],[Forecast Finish]])</f>
        <v/>
      </c>
      <c r="BH192" s="51" t="str">
        <f aca="false">IF(Tasks[[#This Row],[Task Name]]="","",IF(Tasks[[#This Row],[_IsSummary]],NETWORKDAYS.INTL(Tasks[[#This Row],[Forecast Start]],Tasks[[#This Row],[Forecast Finish]],WorkWeek,Holidays),N(Tasks[[#This Row],[Duration]])))</f>
        <v/>
      </c>
      <c r="BI192" s="110" t="str">
        <f aca="false">IF(Tasks[[#This Row],[Task Name]]="","",Tasks[[#This Row],[Work]])</f>
        <v/>
      </c>
      <c r="BJ192" s="111" t="str">
        <f aca="false">IF(Tasks[[#This Row],[Task Name]]="","",Tasks[[#This Row],[Cost]])</f>
        <v/>
      </c>
      <c r="BK192" s="7"/>
      <c r="BL192" s="7"/>
      <c r="BM192" s="52"/>
      <c r="BN192" s="113"/>
      <c r="BO192" s="112"/>
      <c r="BP192" s="111" t="str">
        <f aca="false">IF(Tasks[[#This Row],[Task Name]]="","",IF(Tasks[[#This Row],[_IsSummary]],SUM(INDEX(Tasks[_LeafEV],Tasks[[#This Row],[_Row]]+1):INDEX(Tasks[_LeafEV],Tasks[[#This Row],[_Row]]+Tasks[[#This Row],[_Descendants]])),Tasks[[#This Row],[_LeafEV]]))</f>
        <v/>
      </c>
      <c r="BQ192" s="111" t="str">
        <f aca="false">IF(Tasks[[#This Row],[Task Name]]="","",IF(Tasks[[#This Row],[_IsSummary]],SUM(INDEX(Tasks[_LeafBudget],Tasks[[#This Row],[_Row]]+1):INDEX(Tasks[_LeafBudget],Tasks[[#This Row],[_Row]]+Tasks[[#This Row],[_Descendants]])),Tasks[[#This Row],[_LeafBudget]]))</f>
        <v/>
      </c>
      <c r="BR192" s="111" t="str">
        <f aca="false">IF(Tasks[[#This Row],[Task Name]]="","",IF(Tasks[[#This Row],[_IsSummary]],SUM(INDEX(Tasks[_LeafPV],Tasks[[#This Row],[_Row]]+1):INDEX(Tasks[_LeafPV],Tasks[[#This Row],[_Row]]+Tasks[[#This Row],[_Descendants]])),Tasks[[#This Row],[_LeafPV]]))</f>
        <v/>
      </c>
      <c r="BS192" s="111" t="str">
        <f aca="false">IF(Tasks[[#This Row],[Task Name]]="","",IF(Tasks[[#This Row],[_IsSummary]],SUM(INDEX(Tasks[_LeafAC],Tasks[[#This Row],[_Row]]+1):INDEX(Tasks[_LeafAC],Tasks[[#This Row],[_Row]]+Tasks[[#This Row],[_Descendants]])),Tasks[[#This Row],[_LeafAC]]))</f>
        <v/>
      </c>
      <c r="BT192" s="38" t="str">
        <f aca="false">IF(Tasks[[#This Row],[Task Name]]="","",MAX(1,N(Tasks[[#This Row],[Level]])))</f>
        <v/>
      </c>
      <c r="BU192" s="38" t="n">
        <f aca="false">ROW()-ROW(Tasks[[#Headers],[ID]])</f>
        <v>187</v>
      </c>
      <c r="BV192" s="38" t="n">
        <f aca="false">IF(OR(Tasks[[#This Row],[Task Name]]="",Tasks[[#This Row],[_Level]]&lt;=1),0,IFERROR(LOOKUP(2,1/(Tasks[[#Headers],[_Level]]:Tasks[[#This Row],[_Level]]=Tasks[[#This Row],[_Level]]-1),ROW(Tasks[[#Headers],[_Level]]:Tasks[[#This Row],[_Level]])),0))</f>
        <v>0</v>
      </c>
      <c r="BW192" s="38" t="n">
        <f aca="false">IFERROR(N(INDEX(Tasks[_Level],Tasks[[#This Row],[_Row]]+1)),0)</f>
        <v>0</v>
      </c>
      <c r="BX192" s="114" t="b">
        <f aca="false">AND(Tasks[[#This Row],[Task Name]]&lt;&gt;"",Tasks[[#This Row],[_NextLevel]]&gt;Tasks[[#This Row],[_Level]])</f>
        <v>0</v>
      </c>
      <c r="BY192" s="38" t="n">
        <f aca="false">IF(Tasks[[#This Row],[_IsSummary]],COUNTIF(Tasks[WBS],Tasks[[#This Row],[WBS]]&amp;".*"),0)</f>
        <v>0</v>
      </c>
      <c r="BZ192" s="38" t="n">
        <f aca="false">IF(AND(Tasks[[#This Row],[Task Name]]&lt;&gt;"",NOT(Tasks[[#This Row],[_IsSummary]])),1,0)</f>
        <v>0</v>
      </c>
      <c r="CA192" s="38" t="n">
        <f aca="false">IF(N(Tasks[[#This Row],[Pred1 UID]])=0,0,IFERROR(MATCH(Tasks[[#This Row],[Pred1 UID]],Tasks[UID],0),-1))</f>
        <v>0</v>
      </c>
      <c r="CB192" s="38" t="n">
        <f aca="false">IF(N(Tasks[[#This Row],[Pred2 UID]])=0,0,IFERROR(MATCH(Tasks[[#This Row],[Pred2 UID]],Tasks[UID],0),-1))</f>
        <v>0</v>
      </c>
      <c r="CC192" s="38" t="n">
        <f aca="false">IF(N(Tasks[[#This Row],[Pred3 UID]])=0,0,IFERROR(MATCH(Tasks[[#This Row],[Pred3 UID]],Tasks[UID],0),-1))</f>
        <v>0</v>
      </c>
      <c r="CD192" s="38" t="n">
        <f aca="false">IF(N(Tasks[[#This Row],[Pred4 UID]])=0,0,IFERROR(MATCH(Tasks[[#This Row],[Pred4 UID]],Tasks[UID],0),-1))</f>
        <v>0</v>
      </c>
      <c r="CE19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2" s="115" t="n">
        <f aca="false">IF(OR(Tasks[[#This Row],[_ConstraintCode]]=2,Tasks[[#This Row],[_ConstraintCode]]=3,Tasks[[#This Row],[_ConstraintCode]]=4,Tasks[[#This Row],[_ConstraintCode]]=6),Tasks[[#This Row],[_ConstraintStart]],0)</f>
        <v>0</v>
      </c>
      <c r="CH192" s="115" t="n">
        <f aca="false">IF(OR(Tasks[[#This Row],[_ConstraintCode]]=2,Tasks[[#This Row],[_ConstraintCode]]=3,Tasks[[#This Row],[_ConstraintCode]]=5,Tasks[[#This Row],[_ConstraintCode]]=7),Tasks[[#This Row],[_ConstraintStart]],2958465)</f>
        <v>2958465</v>
      </c>
      <c r="CI19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2" s="115" t="str">
        <f aca="false">IF(NOT(Tasks[[#This Row],[_IsLeaf]]=1),"",IF(N(Tasks[[#This Row],[Duration]])&lt;=0,Tasks[[#This Row],[_LeafCalcStart]],WORKDAY.INTL(Tasks[[#This Row],[_LeafCalcStart]],Tasks[[#This Row],[Duration]]-1,WorkWeek,Holidays)))</f>
        <v/>
      </c>
      <c r="CK19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2" s="38" t="n">
        <f aca="false">IF(NOT(Tasks[[#This Row],[_IsLeaf]]=1),0,IF(N(Tasks[[#This Row],[Actual Finish]])&gt;0,1,MIN(1,N(Tasks[[#This Row],[% Complete]]))))</f>
        <v>0</v>
      </c>
      <c r="CN192" s="38" t="n">
        <f aca="false">IF(OR(NOT(Tasks[[#This Row],[_IsLeaf]]=1),Tasks[[#This Row],[Resource]]=""),0,N(Tasks[[#This Row],[Duration]])*HoursPerDay*IF(Tasks[[#This Row],[Units]]="",DefaultUnits,Tasks[[#This Row],[Units]]))</f>
        <v>0</v>
      </c>
      <c r="CO192" s="38" t="n">
        <f aca="false">IF(Tasks[[#This Row],[_LeafWork]]=0,0,Tasks[[#This Row],[_LeafWork]]*IFERROR(INDEX(res_Rate,MATCH(Tasks[[#This Row],[Resource]],res_Name,0)),0))</f>
        <v>0</v>
      </c>
      <c r="CP192" s="38" t="n">
        <f aca="false">Tasks[[#This Row],[_LeafWork]]+IF(Tasks[[#This Row],[_IsLeaf]]=1,SUMIFS(asg_Work,asg_TaskUID,Tasks[[#This Row],[UID]],asg_Valid,1),0)</f>
        <v>0</v>
      </c>
      <c r="CQ192" s="38" t="n">
        <f aca="false">Tasks[[#This Row],[_LeafCost]]+IF(Tasks[[#This Row],[_IsLeaf]]=1,SUMIFS(asg_Cost,asg_TaskUID,Tasks[[#This Row],[UID]],asg_Valid,1),0)</f>
        <v>0</v>
      </c>
      <c r="CR192" s="38" t="n">
        <f aca="false">IF(Tasks[[#This Row],[_LeafTotalCost]]=0,Tasks[[#This Row],[_LeafAC]],Tasks[[#This Row],[_LeafAC]]*Tasks[[#This Row],[_LeafCost]]/Tasks[[#This Row],[_LeafTotalCost]])</f>
        <v>0</v>
      </c>
      <c r="CS19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2" s="38" t="n">
        <f aca="false">IF(NOT(Tasks[[#This Row],[_IsLeaf]]=1),0,MAX(_xlfn.MAXIFS(Tasks[_Row],Tasks[Pred1 UID],Tasks[[#This Row],[UID]]),_xlfn.MAXIFS(Tasks[_Row],Tasks[Pred2 UID],Tasks[[#This Row],[UID]]),_xlfn.MAXIFS(Tasks[_Row],Tasks[Pred3 UID],Tasks[[#This Row],[UID]]),_xlfn.MAXIFS(Tasks[_Row],Tasks[Pred4 UID],Tasks[[#This Row],[UID]])))</f>
        <v>0</v>
      </c>
      <c r="DB19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2" s="115" t="str">
        <f aca="false">IF(NOT(Tasks[[#This Row],[_IsLeaf]]=1),"",IF(N(Tasks[[#This Row],[Duration]])&lt;=0,Tasks[[#This Row],[_LeafLateFinish]],WORKDAY.INTL(Tasks[[#This Row],[_LeafLateFinish]],-(Tasks[[#This Row],[Duration]]-1),WorkWeek,Holidays)))</f>
        <v/>
      </c>
      <c r="DE19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2" s="114" t="b">
        <f aca="false">AND(Tasks[[#This Row],[_IsLeaf]]=1,Tasks[[#This Row],[_LeafProgress]]&lt;1,N(Tasks[[#This Row],[_LeafTotalSlack]])&lt;=CriticalSlackDays)</f>
        <v>0</v>
      </c>
      <c r="DG192" s="38" t="n">
        <f aca="false">IF(AND(Tasks[[#This Row],[_IsLeaf]]=1,Tasks[[#This Row],[_ConstraintCode]]=1,Tasks[[#This Row],[Mode]]&lt;&gt;"Manual",N(Tasks[[#This Row],[Actual Start]])=0),MAX(0,N(Tasks[[#This Row],[Free Slack]])),0)</f>
        <v>0</v>
      </c>
      <c r="DH192" s="115" t="str">
        <f aca="false">IF(NOT(Tasks[[#This Row],[_IsLeaf]]=1),"",IF(Tasks[[#This Row],[_AlapShift]]=0,Tasks[[#This Row],[_LeafCalcStart]],WORKDAY.INTL(Tasks[[#This Row],[_LeafCalcStart]],Tasks[[#This Row],[_AlapShift]],WorkWeek,Holidays)))</f>
        <v/>
      </c>
      <c r="DI192" s="115" t="str">
        <f aca="false">IF(NOT(Tasks[[#This Row],[_IsLeaf]]=1),"",IF(Tasks[[#This Row],[_AlapShift]]=0,Tasks[[#This Row],[_LeafCalcFinish]],WORKDAY.INTL(Tasks[[#This Row],[_LeafCalcFinish]],Tasks[[#This Row],[_AlapShift]],WorkWeek,Holidays)))</f>
        <v/>
      </c>
      <c r="DJ192" s="115" t="str">
        <f aca="false">IF(NOT(Tasks[[#This Row],[_IsLeaf]]=1),"",IF(Tasks[[#This Row],[_AlapShift]]=0,Tasks[[#This Row],[_LeafFcstStart]],WORKDAY.INTL(Tasks[[#This Row],[_LeafFcstStart]],Tasks[[#This Row],[_AlapShift]],WorkWeek,Holidays)))</f>
        <v/>
      </c>
      <c r="DK192" s="115" t="str">
        <f aca="false">IF(NOT(Tasks[[#This Row],[_IsLeaf]]=1),"",IF(Tasks[[#This Row],[_AlapShift]]=0,Tasks[[#This Row],[_LeafFcstFinish]],WORKDAY.INTL(Tasks[[#This Row],[_LeafFcstFinish]],Tasks[[#This Row],[_AlapShift]],WorkWeek,Holidays)))</f>
        <v/>
      </c>
      <c r="DL192" s="115" t="str">
        <f aca="false">IF(Tasks[[#This Row],[Task Name]]="","",IF(Tasks[[#This Row],[_IsSummary]],MIN(INDEX(Tasks[_ShownCalcStart],Tasks[[#This Row],[_Row]]+1):INDEX(Tasks[_ShownCalcStart],Tasks[[#This Row],[_Row]]+Tasks[[#This Row],[_Descendants]])),Tasks[[#This Row],[_ShownCalcStart]]))</f>
        <v/>
      </c>
      <c r="DM192" s="115" t="str">
        <f aca="false">IF(Tasks[[#This Row],[Task Name]]="","",IF(Tasks[[#This Row],[_IsSummary]],MAX(INDEX(Tasks[_ShownCalcFinish],Tasks[[#This Row],[_Row]]+1):INDEX(Tasks[_ShownCalcFinish],Tasks[[#This Row],[_Row]]+Tasks[[#This Row],[_Descendants]])),Tasks[[#This Row],[_ShownCalcFinish]]))</f>
        <v/>
      </c>
      <c r="DN19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2" s="38" t="n">
        <f aca="false">IF(AND(Tasks[[#This Row],[_IsLeaf]]=1,Tasks[[#This Row],[_LeafTotalWork]]&gt;0),NETWORKDAYS.INTL(ProjectStart,Tasks[[#This Row],[_ShownFcstStart]],WorkWeek,Holidays),0)</f>
        <v>0</v>
      </c>
      <c r="EA192" s="38" t="n">
        <f aca="false">IF(AND(Tasks[[#This Row],[_IsLeaf]]=1,Tasks[[#This Row],[_LeafTotalWork]]&gt;0),MAX(Tasks[[#This Row],[_StartWorkday]],NETWORKDAYS.INTL(ProjectStart,Tasks[[#This Row],[_ShownFcstFinish]],WorkWeek,Holidays)),0)</f>
        <v>0</v>
      </c>
      <c r="EB192" s="38" t="n">
        <f aca="false">IF(AND(Tasks[[#This Row],[_IsLeaf]]=1,Tasks[[#This Row],[_LeafTotalWork]]&gt;0),Tasks[[#This Row],[_LeafWork]]/(Tasks[[#This Row],[_FinishWorkday]]-Tasks[[#This Row],[_StartWorkday]]+1),0)</f>
        <v>0</v>
      </c>
      <c r="EC192" s="38" t="n">
        <f aca="false">Tasks[[#This Row],[_WorkPerWorkday]]*(Tasks[[#This Row],[_StartWorkday]]-1)</f>
        <v>-0</v>
      </c>
      <c r="ED192" s="38" t="n">
        <f aca="false">IF(Tasks[[#This Row],[_IsLeaf]]=1,MAX(N(Tasks[[#This Row],[Duration]]),0.1),0)</f>
        <v>0</v>
      </c>
      <c r="EE192" s="38" t="n">
        <f aca="false">Tasks[[#This Row],[_WeightDur]]*Tasks[[#This Row],[_LeafProgress]]</f>
        <v>0</v>
      </c>
      <c r="EF19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2" s="38" t="str">
        <f aca="false">IF(AND(Tasks[[#This Row],[_IsLeaf]]=1,N(Tasks[[#This Row],[Duration]])=0,Tasks[[#This Row],[_LeafProgress]]&lt;1),Tasks[[#This Row],[_ShownFcstFinish]]+Tasks[[#This Row],[_Row]]/100000,"")</f>
        <v/>
      </c>
      <c r="EH19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2" s="38" t="n">
        <f aca="false">IF(NOT(Tasks[[#This Row],[_IsLeaf]]=1),0,IF(Tasks[[#This Row],[Baseline Cost]]="",Tasks[[#This Row],[_LeafTotalCost]],N(Tasks[[#This Row],[Baseline Cost]])))</f>
        <v>0</v>
      </c>
      <c r="EJ192" s="38" t="n">
        <f aca="false">Tasks[[#This Row],[_LeafBudget]]*Tasks[[#This Row],[_PlannedPct]]</f>
        <v>0</v>
      </c>
      <c r="EK192" s="38" t="n">
        <f aca="false">Tasks[[#This Row],[_LeafBudget]]*Tasks[[#This Row],[_LeafProgress]]</f>
        <v>0</v>
      </c>
      <c r="EL192" s="38" t="n">
        <f aca="false">IF(NOT(Tasks[[#This Row],[_IsLeaf]]=1),0,IF(Tasks[[#This Row],[Actual Cost]]="",Tasks[[#This Row],[_LeafTotalCost]]*Tasks[[#This Row],[_LeafProgress]],N(Tasks[[#This Row],[Actual Cost]])))</f>
        <v>0</v>
      </c>
      <c r="EM192" s="38" t="str">
        <f aca="false">IF(Tasks[[#This Row],[Task Name]]="","",LEFT(Tasks[[#This Row],[WBS]],FIND(".",Tasks[[#This Row],[WBS]]&amp;".")-1))</f>
        <v/>
      </c>
      <c r="EN192" s="38" t="str">
        <f aca="false">IF(AND(Tasks[[#This Row],[Task Name]]&lt;&gt;"",Tasks[[#This Row],[_Level]]=1),Tasks[[#This Row],[_Row]],"")</f>
        <v/>
      </c>
      <c r="EO192" s="38" t="str">
        <f aca="false">IF(AND(Tasks[[#This Row],[_IsLeaf]]=1,N(Tasks[[#This Row],[Duration]])=0),Tasks[[#This Row],[Planned Finish]]+Tasks[[#This Row],[_Row]]/100000,"")</f>
        <v/>
      </c>
      <c r="EP192" s="38" t="str">
        <f aca="false">IF(AND(Tasks[[#This Row],[_IsLeaf]]=1,Tasks[[#This Row],[_LeafProgress]]&lt;1,OR(N(Tasks[[#This Row],[Finish Var]])&gt;0,Tasks[[#This Row],[Status]]="Late Start")),MAX(0,Tasks[[#This Row],[Finish Var]])+1-Tasks[[#This Row],[_Row]]/1000000,"")</f>
        <v/>
      </c>
      <c r="EQ192" s="38" t="str">
        <f aca="false">IF(AND(Tasks[[#This Row],[_IsLeaf]]=1,N(Tasks[[#This Row],[Actual Start]])=0,Tasks[[#This Row],[_ShownFcstStart]]&gt;=StatusDate,Tasks[[#This Row],[_ShownFcstStart]]&lt;=LookaheadEnd),Tasks[[#This Row],[_ShownFcstStart]]+Tasks[[#This Row],[_Row]]/100000,"")</f>
        <v/>
      </c>
      <c r="ER192" s="38" t="str">
        <f aca="false">IF(AND(Tasks[[#This Row],[_IsLeaf]]=1,Tasks[[#This Row],[_LeafProgress]]&lt;1,Tasks[[#This Row],[_ShownFcstFinish]]&gt;=StatusDate,Tasks[[#This Row],[_ShownFcstFinish]]&lt;=LookaheadEnd),Tasks[[#This Row],[_ShownFcstFinish]]+Tasks[[#This Row],[_Row]]/100000,"")</f>
        <v/>
      </c>
      <c r="ES192" s="38" t="str">
        <f aca="false">IF(Tasks[[#This Row],[_LeafCritical]],Tasks[[#This Row],[_ShownFcstStart]]+Tasks[[#This Row],[_Row]]/100000,"")</f>
        <v/>
      </c>
      <c r="ET192" s="38" t="n">
        <f aca="false">Tasks[[#This Row],[_LeafWork]]*Tasks[[#This Row],[_LeafProgress]]</f>
        <v>0</v>
      </c>
      <c r="EU192" s="115" t="str">
        <f aca="false">IF(AND(Tasks[[#This Row],[_IsLeaf]]=1,Tasks[[#This Row],[_LeafProgress]]&gt;=1),IF(N(Tasks[[#This Row],[Actual Finish]])&gt;0,Tasks[[#This Row],[Actual Finish]],Tasks[[#This Row],[_ShownFcstFinish]]),"")</f>
        <v/>
      </c>
      <c r="EV192" s="38" t="n">
        <f aca="false">IF(Tasks[[#This Row],[_IsLeaf]]=1,N(Tasks[[#This Row],[Story Points]]),0)</f>
        <v>0</v>
      </c>
      <c r="EW192" s="38" t="str">
        <f aca="false">IF(AND(Tasks[[#This Row],[_IsLeaf]]=1,CurrentSprint&lt;&gt;"",Tasks[[#This Row],[Sprint]]=CurrentSprint),Tasks[[#This Row],[_Row]],"")</f>
        <v/>
      </c>
    </row>
    <row r="193" customFormat="false" ht="15" hidden="false" customHeight="false" outlineLevel="0" collapsed="false">
      <c r="A193" s="51" t="str">
        <f aca="false">IF(Tasks[[#This Row],[Task Name]]="","",COUNTA(Tasks[[#Headers],[Task Name]]:Tasks[[#This Row],[Task Name]])-1)</f>
        <v/>
      </c>
      <c r="B193" s="52" t="n">
        <v>188</v>
      </c>
      <c r="C19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52"/>
      <c r="E193" s="53"/>
      <c r="F193" s="52"/>
      <c r="G193" s="52"/>
      <c r="H193" s="52"/>
      <c r="I193" s="52"/>
      <c r="J193" s="52"/>
      <c r="K193" s="52"/>
      <c r="L193" s="52"/>
      <c r="M193" s="52"/>
      <c r="N193" s="52"/>
      <c r="O193" s="52"/>
      <c r="P193" s="52"/>
      <c r="Q193" s="52"/>
      <c r="R193" s="52"/>
      <c r="S193" s="53"/>
      <c r="T193" s="102"/>
      <c r="U193" s="102"/>
      <c r="V193" s="7"/>
      <c r="W193" s="7"/>
      <c r="X193" s="53"/>
      <c r="Y193" s="31" t="str">
        <f aca="false">IF(Tasks[[#This Row],[Task Name]]="","",IF(Tasks[[#This Row],[_IsSummary]],MIN(INDEX(Tasks[_ShownFcstStart],Tasks[[#This Row],[_Row]]+1):INDEX(Tasks[_ShownFcstStart],Tasks[[#This Row],[_Row]]+Tasks[[#This Row],[_Descendants]])),Tasks[[#This Row],[_ShownFcstStart]]))</f>
        <v/>
      </c>
      <c r="Z193" s="31" t="str">
        <f aca="false">IF(Tasks[[#This Row],[Task Name]]="","",IF(Tasks[[#This Row],[_IsSummary]],MAX(INDEX(Tasks[_ShownFcstFinish],Tasks[[#This Row],[_Row]]+1):INDEX(Tasks[_ShownFcstFinish],Tasks[[#This Row],[_Row]]+Tasks[[#This Row],[_Descendants]])),Tasks[[#This Row],[_ShownFcstFinish]]))</f>
        <v/>
      </c>
      <c r="AA193" s="51" t="str">
        <f aca="false">IF(Tasks[[#This Row],[Task Name]]="","",IF(Tasks[[#This Row],[Progress]]&gt;=1,"Complete",IF(OR(N(Tasks[[#This Row],[Actual Start]])&gt;0,Tasks[[#This Row],[Progress]]&gt;0),IF(Tasks[[#This Row],[Finish Var]]&gt;0,"Behind","In Progress"),IF(Tasks[[#This Row],[Planned Start]]&lt;StatusDate,"Late Start","Not Started"))))</f>
        <v/>
      </c>
      <c r="AB193" s="51" t="str">
        <f aca="false">IF(Tasks[[#This Row],[Task Name]]="","",IF(IF(Tasks[[#This Row],[_IsSummary]],COUNTIF(INDEX(Tasks[_LeafCritical],Tasks[[#This Row],[_Row]]+1):INDEX(Tasks[_LeafCritical],Tasks[[#This Row],[_Row]]+Tasks[[#This Row],[_Descendants]]),TRUE())&gt;0,Tasks[[#This Row],[_LeafCritical]]),"Yes",""))</f>
        <v/>
      </c>
      <c r="AC19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3" s="51" t="str">
        <f aca="false">IF(Tasks[[#This Row],[Task Name]]="","",IF(Tasks[[#This Row],[_Level]]&lt;=OutlineShowLevel,"Yes","No"))</f>
        <v/>
      </c>
      <c r="AE193" s="7"/>
      <c r="AF193" s="52"/>
      <c r="AG193" s="53"/>
      <c r="AH193" s="7"/>
      <c r="AI19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3" s="31" t="str">
        <f aca="false">IF(Tasks[[#This Row],[Task Name]]="","",IF(N(Tasks[[#This Row],[Baseline Start]])&gt;0,Tasks[[#This Row],[Baseline Start]],Tasks[[#This Row],[_CalcStart]]))</f>
        <v/>
      </c>
      <c r="AK193" s="31" t="str">
        <f aca="false">IF(Tasks[[#This Row],[Task Name]]="","",IF(N(Tasks[[#This Row],[Baseline Finish]])&gt;0,Tasks[[#This Row],[Baseline Finish]],Tasks[[#This Row],[_CalcFinish]]))</f>
        <v/>
      </c>
      <c r="AL19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3" s="31" t="str">
        <f aca="false">IF(Tasks[[#This Row],[Task Name]]="","",IF(Tasks[[#This Row],[_IsSummary]],MIN(INDEX(Tasks[_LeafLateStart],Tasks[[#This Row],[_Row]]+1):INDEX(Tasks[_LeafLateStart],Tasks[[#This Row],[_Row]]+Tasks[[#This Row],[_Descendants]])),Tasks[[#This Row],[_LeafLateStart]]))</f>
        <v/>
      </c>
      <c r="AN193" s="31" t="str">
        <f aca="false">IF(Tasks[[#This Row],[Task Name]]="","",IF(Tasks[[#This Row],[_IsSummary]],MAX(INDEX(Tasks[_LeafLateFinish],Tasks[[#This Row],[_Row]]+1):INDEX(Tasks[_LeafLateFinish],Tasks[[#This Row],[_Row]]+Tasks[[#This Row],[_Descendants]])),Tasks[[#This Row],[_LeafLateFinish]]))</f>
        <v/>
      </c>
      <c r="AO193" s="51" t="str">
        <f aca="false">IF(Tasks[[#This Row],[Task Name]]="","",IF(Tasks[[#This Row],[_IsSummary]],MIN(INDEX(Tasks[_LeafTotalSlack],Tasks[[#This Row],[_Row]]+1):INDEX(Tasks[_LeafTotalSlack],Tasks[[#This Row],[_Row]]+Tasks[[#This Row],[_Descendants]])),Tasks[[#This Row],[_LeafTotalSlack]]))</f>
        <v/>
      </c>
      <c r="AP19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3" s="110" t="str">
        <f aca="false">IF(Tasks[[#This Row],[Task Name]]="","",IF(Tasks[[#This Row],[_IsSummary]],SUM(INDEX(Tasks[_LeafTotalWork],Tasks[[#This Row],[_Row]]+1):INDEX(Tasks[_LeafTotalWork],Tasks[[#This Row],[_Row]]+Tasks[[#This Row],[_Descendants]])),Tasks[[#This Row],[_LeafTotalWork]]))</f>
        <v/>
      </c>
      <c r="AV19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3" s="111" t="str">
        <f aca="false">IF(Tasks[[#This Row],[Task Name]]="","",IF(Tasks[[#This Row],[_IsSummary]],SUM(INDEX(Tasks[_LeafTotalCost],Tasks[[#This Row],[_Row]]+1):INDEX(Tasks[_LeafTotalCost],Tasks[[#This Row],[_Row]]+Tasks[[#This Row],[_Descendants]])),Tasks[[#This Row],[_LeafTotalCost]]))</f>
        <v/>
      </c>
      <c r="AY193" s="112"/>
      <c r="AZ19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3" s="52"/>
      <c r="BB193" s="98"/>
      <c r="BC193" s="51" t="str">
        <f aca="false">IF(OR(Tasks[[#This Row],[Task Name]]="",Tasks[[#This Row],[Baseline Duration]]=""),"",Tasks[[#This Row],[BL Source Duration]]-N(Tasks[[#This Row],[Baseline Duration]]))</f>
        <v/>
      </c>
      <c r="BD193" s="110" t="str">
        <f aca="false">IF(OR(Tasks[[#This Row],[Task Name]]="",Tasks[[#This Row],[Baseline Work]]=""),"",Tasks[[#This Row],[Work]]-N(Tasks[[#This Row],[Baseline Work]]))</f>
        <v/>
      </c>
      <c r="BE193" s="111" t="str">
        <f aca="false">IF(OR(Tasks[[#This Row],[Task Name]]="",Tasks[[#This Row],[Baseline Cost]]=""),"",Tasks[[#This Row],[Cost]]-N(Tasks[[#This Row],[Baseline Cost]]))</f>
        <v/>
      </c>
      <c r="BF193" s="31" t="str">
        <f aca="false">IF(Tasks[[#This Row],[Task Name]]="","",Tasks[[#This Row],[Forecast Start]])</f>
        <v/>
      </c>
      <c r="BG193" s="31" t="str">
        <f aca="false">IF(Tasks[[#This Row],[Task Name]]="","",Tasks[[#This Row],[Forecast Finish]])</f>
        <v/>
      </c>
      <c r="BH193" s="51" t="str">
        <f aca="false">IF(Tasks[[#This Row],[Task Name]]="","",IF(Tasks[[#This Row],[_IsSummary]],NETWORKDAYS.INTL(Tasks[[#This Row],[Forecast Start]],Tasks[[#This Row],[Forecast Finish]],WorkWeek,Holidays),N(Tasks[[#This Row],[Duration]])))</f>
        <v/>
      </c>
      <c r="BI193" s="110" t="str">
        <f aca="false">IF(Tasks[[#This Row],[Task Name]]="","",Tasks[[#This Row],[Work]])</f>
        <v/>
      </c>
      <c r="BJ193" s="111" t="str">
        <f aca="false">IF(Tasks[[#This Row],[Task Name]]="","",Tasks[[#This Row],[Cost]])</f>
        <v/>
      </c>
      <c r="BK193" s="7"/>
      <c r="BL193" s="7"/>
      <c r="BM193" s="52"/>
      <c r="BN193" s="113"/>
      <c r="BO193" s="112"/>
      <c r="BP193" s="111" t="str">
        <f aca="false">IF(Tasks[[#This Row],[Task Name]]="","",IF(Tasks[[#This Row],[_IsSummary]],SUM(INDEX(Tasks[_LeafEV],Tasks[[#This Row],[_Row]]+1):INDEX(Tasks[_LeafEV],Tasks[[#This Row],[_Row]]+Tasks[[#This Row],[_Descendants]])),Tasks[[#This Row],[_LeafEV]]))</f>
        <v/>
      </c>
      <c r="BQ193" s="111" t="str">
        <f aca="false">IF(Tasks[[#This Row],[Task Name]]="","",IF(Tasks[[#This Row],[_IsSummary]],SUM(INDEX(Tasks[_LeafBudget],Tasks[[#This Row],[_Row]]+1):INDEX(Tasks[_LeafBudget],Tasks[[#This Row],[_Row]]+Tasks[[#This Row],[_Descendants]])),Tasks[[#This Row],[_LeafBudget]]))</f>
        <v/>
      </c>
      <c r="BR193" s="111" t="str">
        <f aca="false">IF(Tasks[[#This Row],[Task Name]]="","",IF(Tasks[[#This Row],[_IsSummary]],SUM(INDEX(Tasks[_LeafPV],Tasks[[#This Row],[_Row]]+1):INDEX(Tasks[_LeafPV],Tasks[[#This Row],[_Row]]+Tasks[[#This Row],[_Descendants]])),Tasks[[#This Row],[_LeafPV]]))</f>
        <v/>
      </c>
      <c r="BS193" s="111" t="str">
        <f aca="false">IF(Tasks[[#This Row],[Task Name]]="","",IF(Tasks[[#This Row],[_IsSummary]],SUM(INDEX(Tasks[_LeafAC],Tasks[[#This Row],[_Row]]+1):INDEX(Tasks[_LeafAC],Tasks[[#This Row],[_Row]]+Tasks[[#This Row],[_Descendants]])),Tasks[[#This Row],[_LeafAC]]))</f>
        <v/>
      </c>
      <c r="BT193" s="38" t="str">
        <f aca="false">IF(Tasks[[#This Row],[Task Name]]="","",MAX(1,N(Tasks[[#This Row],[Level]])))</f>
        <v/>
      </c>
      <c r="BU193" s="38" t="n">
        <f aca="false">ROW()-ROW(Tasks[[#Headers],[ID]])</f>
        <v>188</v>
      </c>
      <c r="BV193" s="38" t="n">
        <f aca="false">IF(OR(Tasks[[#This Row],[Task Name]]="",Tasks[[#This Row],[_Level]]&lt;=1),0,IFERROR(LOOKUP(2,1/(Tasks[[#Headers],[_Level]]:Tasks[[#This Row],[_Level]]=Tasks[[#This Row],[_Level]]-1),ROW(Tasks[[#Headers],[_Level]]:Tasks[[#This Row],[_Level]])),0))</f>
        <v>0</v>
      </c>
      <c r="BW193" s="38" t="n">
        <f aca="false">IFERROR(N(INDEX(Tasks[_Level],Tasks[[#This Row],[_Row]]+1)),0)</f>
        <v>0</v>
      </c>
      <c r="BX193" s="114" t="b">
        <f aca="false">AND(Tasks[[#This Row],[Task Name]]&lt;&gt;"",Tasks[[#This Row],[_NextLevel]]&gt;Tasks[[#This Row],[_Level]])</f>
        <v>0</v>
      </c>
      <c r="BY193" s="38" t="n">
        <f aca="false">IF(Tasks[[#This Row],[_IsSummary]],COUNTIF(Tasks[WBS],Tasks[[#This Row],[WBS]]&amp;".*"),0)</f>
        <v>0</v>
      </c>
      <c r="BZ193" s="38" t="n">
        <f aca="false">IF(AND(Tasks[[#This Row],[Task Name]]&lt;&gt;"",NOT(Tasks[[#This Row],[_IsSummary]])),1,0)</f>
        <v>0</v>
      </c>
      <c r="CA193" s="38" t="n">
        <f aca="false">IF(N(Tasks[[#This Row],[Pred1 UID]])=0,0,IFERROR(MATCH(Tasks[[#This Row],[Pred1 UID]],Tasks[UID],0),-1))</f>
        <v>0</v>
      </c>
      <c r="CB193" s="38" t="n">
        <f aca="false">IF(N(Tasks[[#This Row],[Pred2 UID]])=0,0,IFERROR(MATCH(Tasks[[#This Row],[Pred2 UID]],Tasks[UID],0),-1))</f>
        <v>0</v>
      </c>
      <c r="CC193" s="38" t="n">
        <f aca="false">IF(N(Tasks[[#This Row],[Pred3 UID]])=0,0,IFERROR(MATCH(Tasks[[#This Row],[Pred3 UID]],Tasks[UID],0),-1))</f>
        <v>0</v>
      </c>
      <c r="CD193" s="38" t="n">
        <f aca="false">IF(N(Tasks[[#This Row],[Pred4 UID]])=0,0,IFERROR(MATCH(Tasks[[#This Row],[Pred4 UID]],Tasks[UID],0),-1))</f>
        <v>0</v>
      </c>
      <c r="CE19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3" s="115" t="n">
        <f aca="false">IF(OR(Tasks[[#This Row],[_ConstraintCode]]=2,Tasks[[#This Row],[_ConstraintCode]]=3,Tasks[[#This Row],[_ConstraintCode]]=4,Tasks[[#This Row],[_ConstraintCode]]=6),Tasks[[#This Row],[_ConstraintStart]],0)</f>
        <v>0</v>
      </c>
      <c r="CH193" s="115" t="n">
        <f aca="false">IF(OR(Tasks[[#This Row],[_ConstraintCode]]=2,Tasks[[#This Row],[_ConstraintCode]]=3,Tasks[[#This Row],[_ConstraintCode]]=5,Tasks[[#This Row],[_ConstraintCode]]=7),Tasks[[#This Row],[_ConstraintStart]],2958465)</f>
        <v>2958465</v>
      </c>
      <c r="CI19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3" s="115" t="str">
        <f aca="false">IF(NOT(Tasks[[#This Row],[_IsLeaf]]=1),"",IF(N(Tasks[[#This Row],[Duration]])&lt;=0,Tasks[[#This Row],[_LeafCalcStart]],WORKDAY.INTL(Tasks[[#This Row],[_LeafCalcStart]],Tasks[[#This Row],[Duration]]-1,WorkWeek,Holidays)))</f>
        <v/>
      </c>
      <c r="CK19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3" s="38" t="n">
        <f aca="false">IF(NOT(Tasks[[#This Row],[_IsLeaf]]=1),0,IF(N(Tasks[[#This Row],[Actual Finish]])&gt;0,1,MIN(1,N(Tasks[[#This Row],[% Complete]]))))</f>
        <v>0</v>
      </c>
      <c r="CN193" s="38" t="n">
        <f aca="false">IF(OR(NOT(Tasks[[#This Row],[_IsLeaf]]=1),Tasks[[#This Row],[Resource]]=""),0,N(Tasks[[#This Row],[Duration]])*HoursPerDay*IF(Tasks[[#This Row],[Units]]="",DefaultUnits,Tasks[[#This Row],[Units]]))</f>
        <v>0</v>
      </c>
      <c r="CO193" s="38" t="n">
        <f aca="false">IF(Tasks[[#This Row],[_LeafWork]]=0,0,Tasks[[#This Row],[_LeafWork]]*IFERROR(INDEX(res_Rate,MATCH(Tasks[[#This Row],[Resource]],res_Name,0)),0))</f>
        <v>0</v>
      </c>
      <c r="CP193" s="38" t="n">
        <f aca="false">Tasks[[#This Row],[_LeafWork]]+IF(Tasks[[#This Row],[_IsLeaf]]=1,SUMIFS(asg_Work,asg_TaskUID,Tasks[[#This Row],[UID]],asg_Valid,1),0)</f>
        <v>0</v>
      </c>
      <c r="CQ193" s="38" t="n">
        <f aca="false">Tasks[[#This Row],[_LeafCost]]+IF(Tasks[[#This Row],[_IsLeaf]]=1,SUMIFS(asg_Cost,asg_TaskUID,Tasks[[#This Row],[UID]],asg_Valid,1),0)</f>
        <v>0</v>
      </c>
      <c r="CR193" s="38" t="n">
        <f aca="false">IF(Tasks[[#This Row],[_LeafTotalCost]]=0,Tasks[[#This Row],[_LeafAC]],Tasks[[#This Row],[_LeafAC]]*Tasks[[#This Row],[_LeafCost]]/Tasks[[#This Row],[_LeafTotalCost]])</f>
        <v>0</v>
      </c>
      <c r="CS19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3" s="38" t="n">
        <f aca="false">IF(NOT(Tasks[[#This Row],[_IsLeaf]]=1),0,MAX(_xlfn.MAXIFS(Tasks[_Row],Tasks[Pred1 UID],Tasks[[#This Row],[UID]]),_xlfn.MAXIFS(Tasks[_Row],Tasks[Pred2 UID],Tasks[[#This Row],[UID]]),_xlfn.MAXIFS(Tasks[_Row],Tasks[Pred3 UID],Tasks[[#This Row],[UID]]),_xlfn.MAXIFS(Tasks[_Row],Tasks[Pred4 UID],Tasks[[#This Row],[UID]])))</f>
        <v>0</v>
      </c>
      <c r="DB19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3" s="115" t="str">
        <f aca="false">IF(NOT(Tasks[[#This Row],[_IsLeaf]]=1),"",IF(N(Tasks[[#This Row],[Duration]])&lt;=0,Tasks[[#This Row],[_LeafLateFinish]],WORKDAY.INTL(Tasks[[#This Row],[_LeafLateFinish]],-(Tasks[[#This Row],[Duration]]-1),WorkWeek,Holidays)))</f>
        <v/>
      </c>
      <c r="DE19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3" s="114" t="b">
        <f aca="false">AND(Tasks[[#This Row],[_IsLeaf]]=1,Tasks[[#This Row],[_LeafProgress]]&lt;1,N(Tasks[[#This Row],[_LeafTotalSlack]])&lt;=CriticalSlackDays)</f>
        <v>0</v>
      </c>
      <c r="DG193" s="38" t="n">
        <f aca="false">IF(AND(Tasks[[#This Row],[_IsLeaf]]=1,Tasks[[#This Row],[_ConstraintCode]]=1,Tasks[[#This Row],[Mode]]&lt;&gt;"Manual",N(Tasks[[#This Row],[Actual Start]])=0),MAX(0,N(Tasks[[#This Row],[Free Slack]])),0)</f>
        <v>0</v>
      </c>
      <c r="DH193" s="115" t="str">
        <f aca="false">IF(NOT(Tasks[[#This Row],[_IsLeaf]]=1),"",IF(Tasks[[#This Row],[_AlapShift]]=0,Tasks[[#This Row],[_LeafCalcStart]],WORKDAY.INTL(Tasks[[#This Row],[_LeafCalcStart]],Tasks[[#This Row],[_AlapShift]],WorkWeek,Holidays)))</f>
        <v/>
      </c>
      <c r="DI193" s="115" t="str">
        <f aca="false">IF(NOT(Tasks[[#This Row],[_IsLeaf]]=1),"",IF(Tasks[[#This Row],[_AlapShift]]=0,Tasks[[#This Row],[_LeafCalcFinish]],WORKDAY.INTL(Tasks[[#This Row],[_LeafCalcFinish]],Tasks[[#This Row],[_AlapShift]],WorkWeek,Holidays)))</f>
        <v/>
      </c>
      <c r="DJ193" s="115" t="str">
        <f aca="false">IF(NOT(Tasks[[#This Row],[_IsLeaf]]=1),"",IF(Tasks[[#This Row],[_AlapShift]]=0,Tasks[[#This Row],[_LeafFcstStart]],WORKDAY.INTL(Tasks[[#This Row],[_LeafFcstStart]],Tasks[[#This Row],[_AlapShift]],WorkWeek,Holidays)))</f>
        <v/>
      </c>
      <c r="DK193" s="115" t="str">
        <f aca="false">IF(NOT(Tasks[[#This Row],[_IsLeaf]]=1),"",IF(Tasks[[#This Row],[_AlapShift]]=0,Tasks[[#This Row],[_LeafFcstFinish]],WORKDAY.INTL(Tasks[[#This Row],[_LeafFcstFinish]],Tasks[[#This Row],[_AlapShift]],WorkWeek,Holidays)))</f>
        <v/>
      </c>
      <c r="DL193" s="115" t="str">
        <f aca="false">IF(Tasks[[#This Row],[Task Name]]="","",IF(Tasks[[#This Row],[_IsSummary]],MIN(INDEX(Tasks[_ShownCalcStart],Tasks[[#This Row],[_Row]]+1):INDEX(Tasks[_ShownCalcStart],Tasks[[#This Row],[_Row]]+Tasks[[#This Row],[_Descendants]])),Tasks[[#This Row],[_ShownCalcStart]]))</f>
        <v/>
      </c>
      <c r="DM193" s="115" t="str">
        <f aca="false">IF(Tasks[[#This Row],[Task Name]]="","",IF(Tasks[[#This Row],[_IsSummary]],MAX(INDEX(Tasks[_ShownCalcFinish],Tasks[[#This Row],[_Row]]+1):INDEX(Tasks[_ShownCalcFinish],Tasks[[#This Row],[_Row]]+Tasks[[#This Row],[_Descendants]])),Tasks[[#This Row],[_ShownCalcFinish]]))</f>
        <v/>
      </c>
      <c r="DN19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3" s="38" t="n">
        <f aca="false">IF(AND(Tasks[[#This Row],[_IsLeaf]]=1,Tasks[[#This Row],[_LeafTotalWork]]&gt;0),NETWORKDAYS.INTL(ProjectStart,Tasks[[#This Row],[_ShownFcstStart]],WorkWeek,Holidays),0)</f>
        <v>0</v>
      </c>
      <c r="EA193" s="38" t="n">
        <f aca="false">IF(AND(Tasks[[#This Row],[_IsLeaf]]=1,Tasks[[#This Row],[_LeafTotalWork]]&gt;0),MAX(Tasks[[#This Row],[_StartWorkday]],NETWORKDAYS.INTL(ProjectStart,Tasks[[#This Row],[_ShownFcstFinish]],WorkWeek,Holidays)),0)</f>
        <v>0</v>
      </c>
      <c r="EB193" s="38" t="n">
        <f aca="false">IF(AND(Tasks[[#This Row],[_IsLeaf]]=1,Tasks[[#This Row],[_LeafTotalWork]]&gt;0),Tasks[[#This Row],[_LeafWork]]/(Tasks[[#This Row],[_FinishWorkday]]-Tasks[[#This Row],[_StartWorkday]]+1),0)</f>
        <v>0</v>
      </c>
      <c r="EC193" s="38" t="n">
        <f aca="false">Tasks[[#This Row],[_WorkPerWorkday]]*(Tasks[[#This Row],[_StartWorkday]]-1)</f>
        <v>-0</v>
      </c>
      <c r="ED193" s="38" t="n">
        <f aca="false">IF(Tasks[[#This Row],[_IsLeaf]]=1,MAX(N(Tasks[[#This Row],[Duration]]),0.1),0)</f>
        <v>0</v>
      </c>
      <c r="EE193" s="38" t="n">
        <f aca="false">Tasks[[#This Row],[_WeightDur]]*Tasks[[#This Row],[_LeafProgress]]</f>
        <v>0</v>
      </c>
      <c r="EF19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3" s="38" t="str">
        <f aca="false">IF(AND(Tasks[[#This Row],[_IsLeaf]]=1,N(Tasks[[#This Row],[Duration]])=0,Tasks[[#This Row],[_LeafProgress]]&lt;1),Tasks[[#This Row],[_ShownFcstFinish]]+Tasks[[#This Row],[_Row]]/100000,"")</f>
        <v/>
      </c>
      <c r="EH19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3" s="38" t="n">
        <f aca="false">IF(NOT(Tasks[[#This Row],[_IsLeaf]]=1),0,IF(Tasks[[#This Row],[Baseline Cost]]="",Tasks[[#This Row],[_LeafTotalCost]],N(Tasks[[#This Row],[Baseline Cost]])))</f>
        <v>0</v>
      </c>
      <c r="EJ193" s="38" t="n">
        <f aca="false">Tasks[[#This Row],[_LeafBudget]]*Tasks[[#This Row],[_PlannedPct]]</f>
        <v>0</v>
      </c>
      <c r="EK193" s="38" t="n">
        <f aca="false">Tasks[[#This Row],[_LeafBudget]]*Tasks[[#This Row],[_LeafProgress]]</f>
        <v>0</v>
      </c>
      <c r="EL193" s="38" t="n">
        <f aca="false">IF(NOT(Tasks[[#This Row],[_IsLeaf]]=1),0,IF(Tasks[[#This Row],[Actual Cost]]="",Tasks[[#This Row],[_LeafTotalCost]]*Tasks[[#This Row],[_LeafProgress]],N(Tasks[[#This Row],[Actual Cost]])))</f>
        <v>0</v>
      </c>
      <c r="EM193" s="38" t="str">
        <f aca="false">IF(Tasks[[#This Row],[Task Name]]="","",LEFT(Tasks[[#This Row],[WBS]],FIND(".",Tasks[[#This Row],[WBS]]&amp;".")-1))</f>
        <v/>
      </c>
      <c r="EN193" s="38" t="str">
        <f aca="false">IF(AND(Tasks[[#This Row],[Task Name]]&lt;&gt;"",Tasks[[#This Row],[_Level]]=1),Tasks[[#This Row],[_Row]],"")</f>
        <v/>
      </c>
      <c r="EO193" s="38" t="str">
        <f aca="false">IF(AND(Tasks[[#This Row],[_IsLeaf]]=1,N(Tasks[[#This Row],[Duration]])=0),Tasks[[#This Row],[Planned Finish]]+Tasks[[#This Row],[_Row]]/100000,"")</f>
        <v/>
      </c>
      <c r="EP193" s="38" t="str">
        <f aca="false">IF(AND(Tasks[[#This Row],[_IsLeaf]]=1,Tasks[[#This Row],[_LeafProgress]]&lt;1,OR(N(Tasks[[#This Row],[Finish Var]])&gt;0,Tasks[[#This Row],[Status]]="Late Start")),MAX(0,Tasks[[#This Row],[Finish Var]])+1-Tasks[[#This Row],[_Row]]/1000000,"")</f>
        <v/>
      </c>
      <c r="EQ193" s="38" t="str">
        <f aca="false">IF(AND(Tasks[[#This Row],[_IsLeaf]]=1,N(Tasks[[#This Row],[Actual Start]])=0,Tasks[[#This Row],[_ShownFcstStart]]&gt;=StatusDate,Tasks[[#This Row],[_ShownFcstStart]]&lt;=LookaheadEnd),Tasks[[#This Row],[_ShownFcstStart]]+Tasks[[#This Row],[_Row]]/100000,"")</f>
        <v/>
      </c>
      <c r="ER193" s="38" t="str">
        <f aca="false">IF(AND(Tasks[[#This Row],[_IsLeaf]]=1,Tasks[[#This Row],[_LeafProgress]]&lt;1,Tasks[[#This Row],[_ShownFcstFinish]]&gt;=StatusDate,Tasks[[#This Row],[_ShownFcstFinish]]&lt;=LookaheadEnd),Tasks[[#This Row],[_ShownFcstFinish]]+Tasks[[#This Row],[_Row]]/100000,"")</f>
        <v/>
      </c>
      <c r="ES193" s="38" t="str">
        <f aca="false">IF(Tasks[[#This Row],[_LeafCritical]],Tasks[[#This Row],[_ShownFcstStart]]+Tasks[[#This Row],[_Row]]/100000,"")</f>
        <v/>
      </c>
      <c r="ET193" s="38" t="n">
        <f aca="false">Tasks[[#This Row],[_LeafWork]]*Tasks[[#This Row],[_LeafProgress]]</f>
        <v>0</v>
      </c>
      <c r="EU193" s="115" t="str">
        <f aca="false">IF(AND(Tasks[[#This Row],[_IsLeaf]]=1,Tasks[[#This Row],[_LeafProgress]]&gt;=1),IF(N(Tasks[[#This Row],[Actual Finish]])&gt;0,Tasks[[#This Row],[Actual Finish]],Tasks[[#This Row],[_ShownFcstFinish]]),"")</f>
        <v/>
      </c>
      <c r="EV193" s="38" t="n">
        <f aca="false">IF(Tasks[[#This Row],[_IsLeaf]]=1,N(Tasks[[#This Row],[Story Points]]),0)</f>
        <v>0</v>
      </c>
      <c r="EW193" s="38" t="str">
        <f aca="false">IF(AND(Tasks[[#This Row],[_IsLeaf]]=1,CurrentSprint&lt;&gt;"",Tasks[[#This Row],[Sprint]]=CurrentSprint),Tasks[[#This Row],[_Row]],"")</f>
        <v/>
      </c>
    </row>
    <row r="194" customFormat="false" ht="15" hidden="false" customHeight="false" outlineLevel="0" collapsed="false">
      <c r="A194" s="51" t="str">
        <f aca="false">IF(Tasks[[#This Row],[Task Name]]="","",COUNTA(Tasks[[#Headers],[Task Name]]:Tasks[[#This Row],[Task Name]])-1)</f>
        <v/>
      </c>
      <c r="B194" s="52" t="n">
        <v>189</v>
      </c>
      <c r="C19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52"/>
      <c r="E194" s="53"/>
      <c r="F194" s="52"/>
      <c r="G194" s="52"/>
      <c r="H194" s="52"/>
      <c r="I194" s="52"/>
      <c r="J194" s="52"/>
      <c r="K194" s="52"/>
      <c r="L194" s="52"/>
      <c r="M194" s="52"/>
      <c r="N194" s="52"/>
      <c r="O194" s="52"/>
      <c r="P194" s="52"/>
      <c r="Q194" s="52"/>
      <c r="R194" s="52"/>
      <c r="S194" s="53"/>
      <c r="T194" s="102"/>
      <c r="U194" s="102"/>
      <c r="V194" s="7"/>
      <c r="W194" s="7"/>
      <c r="X194" s="53"/>
      <c r="Y194" s="31" t="str">
        <f aca="false">IF(Tasks[[#This Row],[Task Name]]="","",IF(Tasks[[#This Row],[_IsSummary]],MIN(INDEX(Tasks[_ShownFcstStart],Tasks[[#This Row],[_Row]]+1):INDEX(Tasks[_ShownFcstStart],Tasks[[#This Row],[_Row]]+Tasks[[#This Row],[_Descendants]])),Tasks[[#This Row],[_ShownFcstStart]]))</f>
        <v/>
      </c>
      <c r="Z194" s="31" t="str">
        <f aca="false">IF(Tasks[[#This Row],[Task Name]]="","",IF(Tasks[[#This Row],[_IsSummary]],MAX(INDEX(Tasks[_ShownFcstFinish],Tasks[[#This Row],[_Row]]+1):INDEX(Tasks[_ShownFcstFinish],Tasks[[#This Row],[_Row]]+Tasks[[#This Row],[_Descendants]])),Tasks[[#This Row],[_ShownFcstFinish]]))</f>
        <v/>
      </c>
      <c r="AA194" s="51" t="str">
        <f aca="false">IF(Tasks[[#This Row],[Task Name]]="","",IF(Tasks[[#This Row],[Progress]]&gt;=1,"Complete",IF(OR(N(Tasks[[#This Row],[Actual Start]])&gt;0,Tasks[[#This Row],[Progress]]&gt;0),IF(Tasks[[#This Row],[Finish Var]]&gt;0,"Behind","In Progress"),IF(Tasks[[#This Row],[Planned Start]]&lt;StatusDate,"Late Start","Not Started"))))</f>
        <v/>
      </c>
      <c r="AB194" s="51" t="str">
        <f aca="false">IF(Tasks[[#This Row],[Task Name]]="","",IF(IF(Tasks[[#This Row],[_IsSummary]],COUNTIF(INDEX(Tasks[_LeafCritical],Tasks[[#This Row],[_Row]]+1):INDEX(Tasks[_LeafCritical],Tasks[[#This Row],[_Row]]+Tasks[[#This Row],[_Descendants]]),TRUE())&gt;0,Tasks[[#This Row],[_LeafCritical]]),"Yes",""))</f>
        <v/>
      </c>
      <c r="AC19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4" s="51" t="str">
        <f aca="false">IF(Tasks[[#This Row],[Task Name]]="","",IF(Tasks[[#This Row],[_Level]]&lt;=OutlineShowLevel,"Yes","No"))</f>
        <v/>
      </c>
      <c r="AE194" s="7"/>
      <c r="AF194" s="52"/>
      <c r="AG194" s="53"/>
      <c r="AH194" s="7"/>
      <c r="AI19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4" s="31" t="str">
        <f aca="false">IF(Tasks[[#This Row],[Task Name]]="","",IF(N(Tasks[[#This Row],[Baseline Start]])&gt;0,Tasks[[#This Row],[Baseline Start]],Tasks[[#This Row],[_CalcStart]]))</f>
        <v/>
      </c>
      <c r="AK194" s="31" t="str">
        <f aca="false">IF(Tasks[[#This Row],[Task Name]]="","",IF(N(Tasks[[#This Row],[Baseline Finish]])&gt;0,Tasks[[#This Row],[Baseline Finish]],Tasks[[#This Row],[_CalcFinish]]))</f>
        <v/>
      </c>
      <c r="AL19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4" s="31" t="str">
        <f aca="false">IF(Tasks[[#This Row],[Task Name]]="","",IF(Tasks[[#This Row],[_IsSummary]],MIN(INDEX(Tasks[_LeafLateStart],Tasks[[#This Row],[_Row]]+1):INDEX(Tasks[_LeafLateStart],Tasks[[#This Row],[_Row]]+Tasks[[#This Row],[_Descendants]])),Tasks[[#This Row],[_LeafLateStart]]))</f>
        <v/>
      </c>
      <c r="AN194" s="31" t="str">
        <f aca="false">IF(Tasks[[#This Row],[Task Name]]="","",IF(Tasks[[#This Row],[_IsSummary]],MAX(INDEX(Tasks[_LeafLateFinish],Tasks[[#This Row],[_Row]]+1):INDEX(Tasks[_LeafLateFinish],Tasks[[#This Row],[_Row]]+Tasks[[#This Row],[_Descendants]])),Tasks[[#This Row],[_LeafLateFinish]]))</f>
        <v/>
      </c>
      <c r="AO194" s="51" t="str">
        <f aca="false">IF(Tasks[[#This Row],[Task Name]]="","",IF(Tasks[[#This Row],[_IsSummary]],MIN(INDEX(Tasks[_LeafTotalSlack],Tasks[[#This Row],[_Row]]+1):INDEX(Tasks[_LeafTotalSlack],Tasks[[#This Row],[_Row]]+Tasks[[#This Row],[_Descendants]])),Tasks[[#This Row],[_LeafTotalSlack]]))</f>
        <v/>
      </c>
      <c r="AP19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4" s="110" t="str">
        <f aca="false">IF(Tasks[[#This Row],[Task Name]]="","",IF(Tasks[[#This Row],[_IsSummary]],SUM(INDEX(Tasks[_LeafTotalWork],Tasks[[#This Row],[_Row]]+1):INDEX(Tasks[_LeafTotalWork],Tasks[[#This Row],[_Row]]+Tasks[[#This Row],[_Descendants]])),Tasks[[#This Row],[_LeafTotalWork]]))</f>
        <v/>
      </c>
      <c r="AV19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4" s="111" t="str">
        <f aca="false">IF(Tasks[[#This Row],[Task Name]]="","",IF(Tasks[[#This Row],[_IsSummary]],SUM(INDEX(Tasks[_LeafTotalCost],Tasks[[#This Row],[_Row]]+1):INDEX(Tasks[_LeafTotalCost],Tasks[[#This Row],[_Row]]+Tasks[[#This Row],[_Descendants]])),Tasks[[#This Row],[_LeafTotalCost]]))</f>
        <v/>
      </c>
      <c r="AY194" s="112"/>
      <c r="AZ19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4" s="52"/>
      <c r="BB194" s="98"/>
      <c r="BC194" s="51" t="str">
        <f aca="false">IF(OR(Tasks[[#This Row],[Task Name]]="",Tasks[[#This Row],[Baseline Duration]]=""),"",Tasks[[#This Row],[BL Source Duration]]-N(Tasks[[#This Row],[Baseline Duration]]))</f>
        <v/>
      </c>
      <c r="BD194" s="110" t="str">
        <f aca="false">IF(OR(Tasks[[#This Row],[Task Name]]="",Tasks[[#This Row],[Baseline Work]]=""),"",Tasks[[#This Row],[Work]]-N(Tasks[[#This Row],[Baseline Work]]))</f>
        <v/>
      </c>
      <c r="BE194" s="111" t="str">
        <f aca="false">IF(OR(Tasks[[#This Row],[Task Name]]="",Tasks[[#This Row],[Baseline Cost]]=""),"",Tasks[[#This Row],[Cost]]-N(Tasks[[#This Row],[Baseline Cost]]))</f>
        <v/>
      </c>
      <c r="BF194" s="31" t="str">
        <f aca="false">IF(Tasks[[#This Row],[Task Name]]="","",Tasks[[#This Row],[Forecast Start]])</f>
        <v/>
      </c>
      <c r="BG194" s="31" t="str">
        <f aca="false">IF(Tasks[[#This Row],[Task Name]]="","",Tasks[[#This Row],[Forecast Finish]])</f>
        <v/>
      </c>
      <c r="BH194" s="51" t="str">
        <f aca="false">IF(Tasks[[#This Row],[Task Name]]="","",IF(Tasks[[#This Row],[_IsSummary]],NETWORKDAYS.INTL(Tasks[[#This Row],[Forecast Start]],Tasks[[#This Row],[Forecast Finish]],WorkWeek,Holidays),N(Tasks[[#This Row],[Duration]])))</f>
        <v/>
      </c>
      <c r="BI194" s="110" t="str">
        <f aca="false">IF(Tasks[[#This Row],[Task Name]]="","",Tasks[[#This Row],[Work]])</f>
        <v/>
      </c>
      <c r="BJ194" s="111" t="str">
        <f aca="false">IF(Tasks[[#This Row],[Task Name]]="","",Tasks[[#This Row],[Cost]])</f>
        <v/>
      </c>
      <c r="BK194" s="7"/>
      <c r="BL194" s="7"/>
      <c r="BM194" s="52"/>
      <c r="BN194" s="113"/>
      <c r="BO194" s="112"/>
      <c r="BP194" s="111" t="str">
        <f aca="false">IF(Tasks[[#This Row],[Task Name]]="","",IF(Tasks[[#This Row],[_IsSummary]],SUM(INDEX(Tasks[_LeafEV],Tasks[[#This Row],[_Row]]+1):INDEX(Tasks[_LeafEV],Tasks[[#This Row],[_Row]]+Tasks[[#This Row],[_Descendants]])),Tasks[[#This Row],[_LeafEV]]))</f>
        <v/>
      </c>
      <c r="BQ194" s="111" t="str">
        <f aca="false">IF(Tasks[[#This Row],[Task Name]]="","",IF(Tasks[[#This Row],[_IsSummary]],SUM(INDEX(Tasks[_LeafBudget],Tasks[[#This Row],[_Row]]+1):INDEX(Tasks[_LeafBudget],Tasks[[#This Row],[_Row]]+Tasks[[#This Row],[_Descendants]])),Tasks[[#This Row],[_LeafBudget]]))</f>
        <v/>
      </c>
      <c r="BR194" s="111" t="str">
        <f aca="false">IF(Tasks[[#This Row],[Task Name]]="","",IF(Tasks[[#This Row],[_IsSummary]],SUM(INDEX(Tasks[_LeafPV],Tasks[[#This Row],[_Row]]+1):INDEX(Tasks[_LeafPV],Tasks[[#This Row],[_Row]]+Tasks[[#This Row],[_Descendants]])),Tasks[[#This Row],[_LeafPV]]))</f>
        <v/>
      </c>
      <c r="BS194" s="111" t="str">
        <f aca="false">IF(Tasks[[#This Row],[Task Name]]="","",IF(Tasks[[#This Row],[_IsSummary]],SUM(INDEX(Tasks[_LeafAC],Tasks[[#This Row],[_Row]]+1):INDEX(Tasks[_LeafAC],Tasks[[#This Row],[_Row]]+Tasks[[#This Row],[_Descendants]])),Tasks[[#This Row],[_LeafAC]]))</f>
        <v/>
      </c>
      <c r="BT194" s="38" t="str">
        <f aca="false">IF(Tasks[[#This Row],[Task Name]]="","",MAX(1,N(Tasks[[#This Row],[Level]])))</f>
        <v/>
      </c>
      <c r="BU194" s="38" t="n">
        <f aca="false">ROW()-ROW(Tasks[[#Headers],[ID]])</f>
        <v>189</v>
      </c>
      <c r="BV194" s="38" t="n">
        <f aca="false">IF(OR(Tasks[[#This Row],[Task Name]]="",Tasks[[#This Row],[_Level]]&lt;=1),0,IFERROR(LOOKUP(2,1/(Tasks[[#Headers],[_Level]]:Tasks[[#This Row],[_Level]]=Tasks[[#This Row],[_Level]]-1),ROW(Tasks[[#Headers],[_Level]]:Tasks[[#This Row],[_Level]])),0))</f>
        <v>0</v>
      </c>
      <c r="BW194" s="38" t="n">
        <f aca="false">IFERROR(N(INDEX(Tasks[_Level],Tasks[[#This Row],[_Row]]+1)),0)</f>
        <v>0</v>
      </c>
      <c r="BX194" s="114" t="b">
        <f aca="false">AND(Tasks[[#This Row],[Task Name]]&lt;&gt;"",Tasks[[#This Row],[_NextLevel]]&gt;Tasks[[#This Row],[_Level]])</f>
        <v>0</v>
      </c>
      <c r="BY194" s="38" t="n">
        <f aca="false">IF(Tasks[[#This Row],[_IsSummary]],COUNTIF(Tasks[WBS],Tasks[[#This Row],[WBS]]&amp;".*"),0)</f>
        <v>0</v>
      </c>
      <c r="BZ194" s="38" t="n">
        <f aca="false">IF(AND(Tasks[[#This Row],[Task Name]]&lt;&gt;"",NOT(Tasks[[#This Row],[_IsSummary]])),1,0)</f>
        <v>0</v>
      </c>
      <c r="CA194" s="38" t="n">
        <f aca="false">IF(N(Tasks[[#This Row],[Pred1 UID]])=0,0,IFERROR(MATCH(Tasks[[#This Row],[Pred1 UID]],Tasks[UID],0),-1))</f>
        <v>0</v>
      </c>
      <c r="CB194" s="38" t="n">
        <f aca="false">IF(N(Tasks[[#This Row],[Pred2 UID]])=0,0,IFERROR(MATCH(Tasks[[#This Row],[Pred2 UID]],Tasks[UID],0),-1))</f>
        <v>0</v>
      </c>
      <c r="CC194" s="38" t="n">
        <f aca="false">IF(N(Tasks[[#This Row],[Pred3 UID]])=0,0,IFERROR(MATCH(Tasks[[#This Row],[Pred3 UID]],Tasks[UID],0),-1))</f>
        <v>0</v>
      </c>
      <c r="CD194" s="38" t="n">
        <f aca="false">IF(N(Tasks[[#This Row],[Pred4 UID]])=0,0,IFERROR(MATCH(Tasks[[#This Row],[Pred4 UID]],Tasks[UID],0),-1))</f>
        <v>0</v>
      </c>
      <c r="CE19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4" s="115" t="n">
        <f aca="false">IF(OR(Tasks[[#This Row],[_ConstraintCode]]=2,Tasks[[#This Row],[_ConstraintCode]]=3,Tasks[[#This Row],[_ConstraintCode]]=4,Tasks[[#This Row],[_ConstraintCode]]=6),Tasks[[#This Row],[_ConstraintStart]],0)</f>
        <v>0</v>
      </c>
      <c r="CH194" s="115" t="n">
        <f aca="false">IF(OR(Tasks[[#This Row],[_ConstraintCode]]=2,Tasks[[#This Row],[_ConstraintCode]]=3,Tasks[[#This Row],[_ConstraintCode]]=5,Tasks[[#This Row],[_ConstraintCode]]=7),Tasks[[#This Row],[_ConstraintStart]],2958465)</f>
        <v>2958465</v>
      </c>
      <c r="CI19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4" s="115" t="str">
        <f aca="false">IF(NOT(Tasks[[#This Row],[_IsLeaf]]=1),"",IF(N(Tasks[[#This Row],[Duration]])&lt;=0,Tasks[[#This Row],[_LeafCalcStart]],WORKDAY.INTL(Tasks[[#This Row],[_LeafCalcStart]],Tasks[[#This Row],[Duration]]-1,WorkWeek,Holidays)))</f>
        <v/>
      </c>
      <c r="CK19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4" s="38" t="n">
        <f aca="false">IF(NOT(Tasks[[#This Row],[_IsLeaf]]=1),0,IF(N(Tasks[[#This Row],[Actual Finish]])&gt;0,1,MIN(1,N(Tasks[[#This Row],[% Complete]]))))</f>
        <v>0</v>
      </c>
      <c r="CN194" s="38" t="n">
        <f aca="false">IF(OR(NOT(Tasks[[#This Row],[_IsLeaf]]=1),Tasks[[#This Row],[Resource]]=""),0,N(Tasks[[#This Row],[Duration]])*HoursPerDay*IF(Tasks[[#This Row],[Units]]="",DefaultUnits,Tasks[[#This Row],[Units]]))</f>
        <v>0</v>
      </c>
      <c r="CO194" s="38" t="n">
        <f aca="false">IF(Tasks[[#This Row],[_LeafWork]]=0,0,Tasks[[#This Row],[_LeafWork]]*IFERROR(INDEX(res_Rate,MATCH(Tasks[[#This Row],[Resource]],res_Name,0)),0))</f>
        <v>0</v>
      </c>
      <c r="CP194" s="38" t="n">
        <f aca="false">Tasks[[#This Row],[_LeafWork]]+IF(Tasks[[#This Row],[_IsLeaf]]=1,SUMIFS(asg_Work,asg_TaskUID,Tasks[[#This Row],[UID]],asg_Valid,1),0)</f>
        <v>0</v>
      </c>
      <c r="CQ194" s="38" t="n">
        <f aca="false">Tasks[[#This Row],[_LeafCost]]+IF(Tasks[[#This Row],[_IsLeaf]]=1,SUMIFS(asg_Cost,asg_TaskUID,Tasks[[#This Row],[UID]],asg_Valid,1),0)</f>
        <v>0</v>
      </c>
      <c r="CR194" s="38" t="n">
        <f aca="false">IF(Tasks[[#This Row],[_LeafTotalCost]]=0,Tasks[[#This Row],[_LeafAC]],Tasks[[#This Row],[_LeafAC]]*Tasks[[#This Row],[_LeafCost]]/Tasks[[#This Row],[_LeafTotalCost]])</f>
        <v>0</v>
      </c>
      <c r="CS19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4" s="38" t="n">
        <f aca="false">IF(NOT(Tasks[[#This Row],[_IsLeaf]]=1),0,MAX(_xlfn.MAXIFS(Tasks[_Row],Tasks[Pred1 UID],Tasks[[#This Row],[UID]]),_xlfn.MAXIFS(Tasks[_Row],Tasks[Pred2 UID],Tasks[[#This Row],[UID]]),_xlfn.MAXIFS(Tasks[_Row],Tasks[Pred3 UID],Tasks[[#This Row],[UID]]),_xlfn.MAXIFS(Tasks[_Row],Tasks[Pred4 UID],Tasks[[#This Row],[UID]])))</f>
        <v>0</v>
      </c>
      <c r="DB19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4" s="115" t="str">
        <f aca="false">IF(NOT(Tasks[[#This Row],[_IsLeaf]]=1),"",IF(N(Tasks[[#This Row],[Duration]])&lt;=0,Tasks[[#This Row],[_LeafLateFinish]],WORKDAY.INTL(Tasks[[#This Row],[_LeafLateFinish]],-(Tasks[[#This Row],[Duration]]-1),WorkWeek,Holidays)))</f>
        <v/>
      </c>
      <c r="DE19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4" s="114" t="b">
        <f aca="false">AND(Tasks[[#This Row],[_IsLeaf]]=1,Tasks[[#This Row],[_LeafProgress]]&lt;1,N(Tasks[[#This Row],[_LeafTotalSlack]])&lt;=CriticalSlackDays)</f>
        <v>0</v>
      </c>
      <c r="DG194" s="38" t="n">
        <f aca="false">IF(AND(Tasks[[#This Row],[_IsLeaf]]=1,Tasks[[#This Row],[_ConstraintCode]]=1,Tasks[[#This Row],[Mode]]&lt;&gt;"Manual",N(Tasks[[#This Row],[Actual Start]])=0),MAX(0,N(Tasks[[#This Row],[Free Slack]])),0)</f>
        <v>0</v>
      </c>
      <c r="DH194" s="115" t="str">
        <f aca="false">IF(NOT(Tasks[[#This Row],[_IsLeaf]]=1),"",IF(Tasks[[#This Row],[_AlapShift]]=0,Tasks[[#This Row],[_LeafCalcStart]],WORKDAY.INTL(Tasks[[#This Row],[_LeafCalcStart]],Tasks[[#This Row],[_AlapShift]],WorkWeek,Holidays)))</f>
        <v/>
      </c>
      <c r="DI194" s="115" t="str">
        <f aca="false">IF(NOT(Tasks[[#This Row],[_IsLeaf]]=1),"",IF(Tasks[[#This Row],[_AlapShift]]=0,Tasks[[#This Row],[_LeafCalcFinish]],WORKDAY.INTL(Tasks[[#This Row],[_LeafCalcFinish]],Tasks[[#This Row],[_AlapShift]],WorkWeek,Holidays)))</f>
        <v/>
      </c>
      <c r="DJ194" s="115" t="str">
        <f aca="false">IF(NOT(Tasks[[#This Row],[_IsLeaf]]=1),"",IF(Tasks[[#This Row],[_AlapShift]]=0,Tasks[[#This Row],[_LeafFcstStart]],WORKDAY.INTL(Tasks[[#This Row],[_LeafFcstStart]],Tasks[[#This Row],[_AlapShift]],WorkWeek,Holidays)))</f>
        <v/>
      </c>
      <c r="DK194" s="115" t="str">
        <f aca="false">IF(NOT(Tasks[[#This Row],[_IsLeaf]]=1),"",IF(Tasks[[#This Row],[_AlapShift]]=0,Tasks[[#This Row],[_LeafFcstFinish]],WORKDAY.INTL(Tasks[[#This Row],[_LeafFcstFinish]],Tasks[[#This Row],[_AlapShift]],WorkWeek,Holidays)))</f>
        <v/>
      </c>
      <c r="DL194" s="115" t="str">
        <f aca="false">IF(Tasks[[#This Row],[Task Name]]="","",IF(Tasks[[#This Row],[_IsSummary]],MIN(INDEX(Tasks[_ShownCalcStart],Tasks[[#This Row],[_Row]]+1):INDEX(Tasks[_ShownCalcStart],Tasks[[#This Row],[_Row]]+Tasks[[#This Row],[_Descendants]])),Tasks[[#This Row],[_ShownCalcStart]]))</f>
        <v/>
      </c>
      <c r="DM194" s="115" t="str">
        <f aca="false">IF(Tasks[[#This Row],[Task Name]]="","",IF(Tasks[[#This Row],[_IsSummary]],MAX(INDEX(Tasks[_ShownCalcFinish],Tasks[[#This Row],[_Row]]+1):INDEX(Tasks[_ShownCalcFinish],Tasks[[#This Row],[_Row]]+Tasks[[#This Row],[_Descendants]])),Tasks[[#This Row],[_ShownCalcFinish]]))</f>
        <v/>
      </c>
      <c r="DN19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4" s="38" t="n">
        <f aca="false">IF(AND(Tasks[[#This Row],[_IsLeaf]]=1,Tasks[[#This Row],[_LeafTotalWork]]&gt;0),NETWORKDAYS.INTL(ProjectStart,Tasks[[#This Row],[_ShownFcstStart]],WorkWeek,Holidays),0)</f>
        <v>0</v>
      </c>
      <c r="EA194" s="38" t="n">
        <f aca="false">IF(AND(Tasks[[#This Row],[_IsLeaf]]=1,Tasks[[#This Row],[_LeafTotalWork]]&gt;0),MAX(Tasks[[#This Row],[_StartWorkday]],NETWORKDAYS.INTL(ProjectStart,Tasks[[#This Row],[_ShownFcstFinish]],WorkWeek,Holidays)),0)</f>
        <v>0</v>
      </c>
      <c r="EB194" s="38" t="n">
        <f aca="false">IF(AND(Tasks[[#This Row],[_IsLeaf]]=1,Tasks[[#This Row],[_LeafTotalWork]]&gt;0),Tasks[[#This Row],[_LeafWork]]/(Tasks[[#This Row],[_FinishWorkday]]-Tasks[[#This Row],[_StartWorkday]]+1),0)</f>
        <v>0</v>
      </c>
      <c r="EC194" s="38" t="n">
        <f aca="false">Tasks[[#This Row],[_WorkPerWorkday]]*(Tasks[[#This Row],[_StartWorkday]]-1)</f>
        <v>-0</v>
      </c>
      <c r="ED194" s="38" t="n">
        <f aca="false">IF(Tasks[[#This Row],[_IsLeaf]]=1,MAX(N(Tasks[[#This Row],[Duration]]),0.1),0)</f>
        <v>0</v>
      </c>
      <c r="EE194" s="38" t="n">
        <f aca="false">Tasks[[#This Row],[_WeightDur]]*Tasks[[#This Row],[_LeafProgress]]</f>
        <v>0</v>
      </c>
      <c r="EF19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4" s="38" t="str">
        <f aca="false">IF(AND(Tasks[[#This Row],[_IsLeaf]]=1,N(Tasks[[#This Row],[Duration]])=0,Tasks[[#This Row],[_LeafProgress]]&lt;1),Tasks[[#This Row],[_ShownFcstFinish]]+Tasks[[#This Row],[_Row]]/100000,"")</f>
        <v/>
      </c>
      <c r="EH19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4" s="38" t="n">
        <f aca="false">IF(NOT(Tasks[[#This Row],[_IsLeaf]]=1),0,IF(Tasks[[#This Row],[Baseline Cost]]="",Tasks[[#This Row],[_LeafTotalCost]],N(Tasks[[#This Row],[Baseline Cost]])))</f>
        <v>0</v>
      </c>
      <c r="EJ194" s="38" t="n">
        <f aca="false">Tasks[[#This Row],[_LeafBudget]]*Tasks[[#This Row],[_PlannedPct]]</f>
        <v>0</v>
      </c>
      <c r="EK194" s="38" t="n">
        <f aca="false">Tasks[[#This Row],[_LeafBudget]]*Tasks[[#This Row],[_LeafProgress]]</f>
        <v>0</v>
      </c>
      <c r="EL194" s="38" t="n">
        <f aca="false">IF(NOT(Tasks[[#This Row],[_IsLeaf]]=1),0,IF(Tasks[[#This Row],[Actual Cost]]="",Tasks[[#This Row],[_LeafTotalCost]]*Tasks[[#This Row],[_LeafProgress]],N(Tasks[[#This Row],[Actual Cost]])))</f>
        <v>0</v>
      </c>
      <c r="EM194" s="38" t="str">
        <f aca="false">IF(Tasks[[#This Row],[Task Name]]="","",LEFT(Tasks[[#This Row],[WBS]],FIND(".",Tasks[[#This Row],[WBS]]&amp;".")-1))</f>
        <v/>
      </c>
      <c r="EN194" s="38" t="str">
        <f aca="false">IF(AND(Tasks[[#This Row],[Task Name]]&lt;&gt;"",Tasks[[#This Row],[_Level]]=1),Tasks[[#This Row],[_Row]],"")</f>
        <v/>
      </c>
      <c r="EO194" s="38" t="str">
        <f aca="false">IF(AND(Tasks[[#This Row],[_IsLeaf]]=1,N(Tasks[[#This Row],[Duration]])=0),Tasks[[#This Row],[Planned Finish]]+Tasks[[#This Row],[_Row]]/100000,"")</f>
        <v/>
      </c>
      <c r="EP194" s="38" t="str">
        <f aca="false">IF(AND(Tasks[[#This Row],[_IsLeaf]]=1,Tasks[[#This Row],[_LeafProgress]]&lt;1,OR(N(Tasks[[#This Row],[Finish Var]])&gt;0,Tasks[[#This Row],[Status]]="Late Start")),MAX(0,Tasks[[#This Row],[Finish Var]])+1-Tasks[[#This Row],[_Row]]/1000000,"")</f>
        <v/>
      </c>
      <c r="EQ194" s="38" t="str">
        <f aca="false">IF(AND(Tasks[[#This Row],[_IsLeaf]]=1,N(Tasks[[#This Row],[Actual Start]])=0,Tasks[[#This Row],[_ShownFcstStart]]&gt;=StatusDate,Tasks[[#This Row],[_ShownFcstStart]]&lt;=LookaheadEnd),Tasks[[#This Row],[_ShownFcstStart]]+Tasks[[#This Row],[_Row]]/100000,"")</f>
        <v/>
      </c>
      <c r="ER194" s="38" t="str">
        <f aca="false">IF(AND(Tasks[[#This Row],[_IsLeaf]]=1,Tasks[[#This Row],[_LeafProgress]]&lt;1,Tasks[[#This Row],[_ShownFcstFinish]]&gt;=StatusDate,Tasks[[#This Row],[_ShownFcstFinish]]&lt;=LookaheadEnd),Tasks[[#This Row],[_ShownFcstFinish]]+Tasks[[#This Row],[_Row]]/100000,"")</f>
        <v/>
      </c>
      <c r="ES194" s="38" t="str">
        <f aca="false">IF(Tasks[[#This Row],[_LeafCritical]],Tasks[[#This Row],[_ShownFcstStart]]+Tasks[[#This Row],[_Row]]/100000,"")</f>
        <v/>
      </c>
      <c r="ET194" s="38" t="n">
        <f aca="false">Tasks[[#This Row],[_LeafWork]]*Tasks[[#This Row],[_LeafProgress]]</f>
        <v>0</v>
      </c>
      <c r="EU194" s="115" t="str">
        <f aca="false">IF(AND(Tasks[[#This Row],[_IsLeaf]]=1,Tasks[[#This Row],[_LeafProgress]]&gt;=1),IF(N(Tasks[[#This Row],[Actual Finish]])&gt;0,Tasks[[#This Row],[Actual Finish]],Tasks[[#This Row],[_ShownFcstFinish]]),"")</f>
        <v/>
      </c>
      <c r="EV194" s="38" t="n">
        <f aca="false">IF(Tasks[[#This Row],[_IsLeaf]]=1,N(Tasks[[#This Row],[Story Points]]),0)</f>
        <v>0</v>
      </c>
      <c r="EW194" s="38" t="str">
        <f aca="false">IF(AND(Tasks[[#This Row],[_IsLeaf]]=1,CurrentSprint&lt;&gt;"",Tasks[[#This Row],[Sprint]]=CurrentSprint),Tasks[[#This Row],[_Row]],"")</f>
        <v/>
      </c>
    </row>
    <row r="195" customFormat="false" ht="15" hidden="false" customHeight="false" outlineLevel="0" collapsed="false">
      <c r="A195" s="51" t="str">
        <f aca="false">IF(Tasks[[#This Row],[Task Name]]="","",COUNTA(Tasks[[#Headers],[Task Name]]:Tasks[[#This Row],[Task Name]])-1)</f>
        <v/>
      </c>
      <c r="B195" s="52" t="n">
        <v>190</v>
      </c>
      <c r="C19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52"/>
      <c r="E195" s="53"/>
      <c r="F195" s="52"/>
      <c r="G195" s="52"/>
      <c r="H195" s="52"/>
      <c r="I195" s="52"/>
      <c r="J195" s="52"/>
      <c r="K195" s="52"/>
      <c r="L195" s="52"/>
      <c r="M195" s="52"/>
      <c r="N195" s="52"/>
      <c r="O195" s="52"/>
      <c r="P195" s="52"/>
      <c r="Q195" s="52"/>
      <c r="R195" s="52"/>
      <c r="S195" s="53"/>
      <c r="T195" s="102"/>
      <c r="U195" s="102"/>
      <c r="V195" s="7"/>
      <c r="W195" s="7"/>
      <c r="X195" s="53"/>
      <c r="Y195" s="31" t="str">
        <f aca="false">IF(Tasks[[#This Row],[Task Name]]="","",IF(Tasks[[#This Row],[_IsSummary]],MIN(INDEX(Tasks[_ShownFcstStart],Tasks[[#This Row],[_Row]]+1):INDEX(Tasks[_ShownFcstStart],Tasks[[#This Row],[_Row]]+Tasks[[#This Row],[_Descendants]])),Tasks[[#This Row],[_ShownFcstStart]]))</f>
        <v/>
      </c>
      <c r="Z195" s="31" t="str">
        <f aca="false">IF(Tasks[[#This Row],[Task Name]]="","",IF(Tasks[[#This Row],[_IsSummary]],MAX(INDEX(Tasks[_ShownFcstFinish],Tasks[[#This Row],[_Row]]+1):INDEX(Tasks[_ShownFcstFinish],Tasks[[#This Row],[_Row]]+Tasks[[#This Row],[_Descendants]])),Tasks[[#This Row],[_ShownFcstFinish]]))</f>
        <v/>
      </c>
      <c r="AA195" s="51" t="str">
        <f aca="false">IF(Tasks[[#This Row],[Task Name]]="","",IF(Tasks[[#This Row],[Progress]]&gt;=1,"Complete",IF(OR(N(Tasks[[#This Row],[Actual Start]])&gt;0,Tasks[[#This Row],[Progress]]&gt;0),IF(Tasks[[#This Row],[Finish Var]]&gt;0,"Behind","In Progress"),IF(Tasks[[#This Row],[Planned Start]]&lt;StatusDate,"Late Start","Not Started"))))</f>
        <v/>
      </c>
      <c r="AB195" s="51" t="str">
        <f aca="false">IF(Tasks[[#This Row],[Task Name]]="","",IF(IF(Tasks[[#This Row],[_IsSummary]],COUNTIF(INDEX(Tasks[_LeafCritical],Tasks[[#This Row],[_Row]]+1):INDEX(Tasks[_LeafCritical],Tasks[[#This Row],[_Row]]+Tasks[[#This Row],[_Descendants]]),TRUE())&gt;0,Tasks[[#This Row],[_LeafCritical]]),"Yes",""))</f>
        <v/>
      </c>
      <c r="AC19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5" s="51" t="str">
        <f aca="false">IF(Tasks[[#This Row],[Task Name]]="","",IF(Tasks[[#This Row],[_Level]]&lt;=OutlineShowLevel,"Yes","No"))</f>
        <v/>
      </c>
      <c r="AE195" s="7"/>
      <c r="AF195" s="52"/>
      <c r="AG195" s="53"/>
      <c r="AH195" s="7"/>
      <c r="AI19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5" s="31" t="str">
        <f aca="false">IF(Tasks[[#This Row],[Task Name]]="","",IF(N(Tasks[[#This Row],[Baseline Start]])&gt;0,Tasks[[#This Row],[Baseline Start]],Tasks[[#This Row],[_CalcStart]]))</f>
        <v/>
      </c>
      <c r="AK195" s="31" t="str">
        <f aca="false">IF(Tasks[[#This Row],[Task Name]]="","",IF(N(Tasks[[#This Row],[Baseline Finish]])&gt;0,Tasks[[#This Row],[Baseline Finish]],Tasks[[#This Row],[_CalcFinish]]))</f>
        <v/>
      </c>
      <c r="AL19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5" s="31" t="str">
        <f aca="false">IF(Tasks[[#This Row],[Task Name]]="","",IF(Tasks[[#This Row],[_IsSummary]],MIN(INDEX(Tasks[_LeafLateStart],Tasks[[#This Row],[_Row]]+1):INDEX(Tasks[_LeafLateStart],Tasks[[#This Row],[_Row]]+Tasks[[#This Row],[_Descendants]])),Tasks[[#This Row],[_LeafLateStart]]))</f>
        <v/>
      </c>
      <c r="AN195" s="31" t="str">
        <f aca="false">IF(Tasks[[#This Row],[Task Name]]="","",IF(Tasks[[#This Row],[_IsSummary]],MAX(INDEX(Tasks[_LeafLateFinish],Tasks[[#This Row],[_Row]]+1):INDEX(Tasks[_LeafLateFinish],Tasks[[#This Row],[_Row]]+Tasks[[#This Row],[_Descendants]])),Tasks[[#This Row],[_LeafLateFinish]]))</f>
        <v/>
      </c>
      <c r="AO195" s="51" t="str">
        <f aca="false">IF(Tasks[[#This Row],[Task Name]]="","",IF(Tasks[[#This Row],[_IsSummary]],MIN(INDEX(Tasks[_LeafTotalSlack],Tasks[[#This Row],[_Row]]+1):INDEX(Tasks[_LeafTotalSlack],Tasks[[#This Row],[_Row]]+Tasks[[#This Row],[_Descendants]])),Tasks[[#This Row],[_LeafTotalSlack]]))</f>
        <v/>
      </c>
      <c r="AP19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5" s="110" t="str">
        <f aca="false">IF(Tasks[[#This Row],[Task Name]]="","",IF(Tasks[[#This Row],[_IsSummary]],SUM(INDEX(Tasks[_LeafTotalWork],Tasks[[#This Row],[_Row]]+1):INDEX(Tasks[_LeafTotalWork],Tasks[[#This Row],[_Row]]+Tasks[[#This Row],[_Descendants]])),Tasks[[#This Row],[_LeafTotalWork]]))</f>
        <v/>
      </c>
      <c r="AV19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5" s="111" t="str">
        <f aca="false">IF(Tasks[[#This Row],[Task Name]]="","",IF(Tasks[[#This Row],[_IsSummary]],SUM(INDEX(Tasks[_LeafTotalCost],Tasks[[#This Row],[_Row]]+1):INDEX(Tasks[_LeafTotalCost],Tasks[[#This Row],[_Row]]+Tasks[[#This Row],[_Descendants]])),Tasks[[#This Row],[_LeafTotalCost]]))</f>
        <v/>
      </c>
      <c r="AY195" s="112"/>
      <c r="AZ19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5" s="52"/>
      <c r="BB195" s="98"/>
      <c r="BC195" s="51" t="str">
        <f aca="false">IF(OR(Tasks[[#This Row],[Task Name]]="",Tasks[[#This Row],[Baseline Duration]]=""),"",Tasks[[#This Row],[BL Source Duration]]-N(Tasks[[#This Row],[Baseline Duration]]))</f>
        <v/>
      </c>
      <c r="BD195" s="110" t="str">
        <f aca="false">IF(OR(Tasks[[#This Row],[Task Name]]="",Tasks[[#This Row],[Baseline Work]]=""),"",Tasks[[#This Row],[Work]]-N(Tasks[[#This Row],[Baseline Work]]))</f>
        <v/>
      </c>
      <c r="BE195" s="111" t="str">
        <f aca="false">IF(OR(Tasks[[#This Row],[Task Name]]="",Tasks[[#This Row],[Baseline Cost]]=""),"",Tasks[[#This Row],[Cost]]-N(Tasks[[#This Row],[Baseline Cost]]))</f>
        <v/>
      </c>
      <c r="BF195" s="31" t="str">
        <f aca="false">IF(Tasks[[#This Row],[Task Name]]="","",Tasks[[#This Row],[Forecast Start]])</f>
        <v/>
      </c>
      <c r="BG195" s="31" t="str">
        <f aca="false">IF(Tasks[[#This Row],[Task Name]]="","",Tasks[[#This Row],[Forecast Finish]])</f>
        <v/>
      </c>
      <c r="BH195" s="51" t="str">
        <f aca="false">IF(Tasks[[#This Row],[Task Name]]="","",IF(Tasks[[#This Row],[_IsSummary]],NETWORKDAYS.INTL(Tasks[[#This Row],[Forecast Start]],Tasks[[#This Row],[Forecast Finish]],WorkWeek,Holidays),N(Tasks[[#This Row],[Duration]])))</f>
        <v/>
      </c>
      <c r="BI195" s="110" t="str">
        <f aca="false">IF(Tasks[[#This Row],[Task Name]]="","",Tasks[[#This Row],[Work]])</f>
        <v/>
      </c>
      <c r="BJ195" s="111" t="str">
        <f aca="false">IF(Tasks[[#This Row],[Task Name]]="","",Tasks[[#This Row],[Cost]])</f>
        <v/>
      </c>
      <c r="BK195" s="7"/>
      <c r="BL195" s="7"/>
      <c r="BM195" s="52"/>
      <c r="BN195" s="113"/>
      <c r="BO195" s="112"/>
      <c r="BP195" s="111" t="str">
        <f aca="false">IF(Tasks[[#This Row],[Task Name]]="","",IF(Tasks[[#This Row],[_IsSummary]],SUM(INDEX(Tasks[_LeafEV],Tasks[[#This Row],[_Row]]+1):INDEX(Tasks[_LeafEV],Tasks[[#This Row],[_Row]]+Tasks[[#This Row],[_Descendants]])),Tasks[[#This Row],[_LeafEV]]))</f>
        <v/>
      </c>
      <c r="BQ195" s="111" t="str">
        <f aca="false">IF(Tasks[[#This Row],[Task Name]]="","",IF(Tasks[[#This Row],[_IsSummary]],SUM(INDEX(Tasks[_LeafBudget],Tasks[[#This Row],[_Row]]+1):INDEX(Tasks[_LeafBudget],Tasks[[#This Row],[_Row]]+Tasks[[#This Row],[_Descendants]])),Tasks[[#This Row],[_LeafBudget]]))</f>
        <v/>
      </c>
      <c r="BR195" s="111" t="str">
        <f aca="false">IF(Tasks[[#This Row],[Task Name]]="","",IF(Tasks[[#This Row],[_IsSummary]],SUM(INDEX(Tasks[_LeafPV],Tasks[[#This Row],[_Row]]+1):INDEX(Tasks[_LeafPV],Tasks[[#This Row],[_Row]]+Tasks[[#This Row],[_Descendants]])),Tasks[[#This Row],[_LeafPV]]))</f>
        <v/>
      </c>
      <c r="BS195" s="111" t="str">
        <f aca="false">IF(Tasks[[#This Row],[Task Name]]="","",IF(Tasks[[#This Row],[_IsSummary]],SUM(INDEX(Tasks[_LeafAC],Tasks[[#This Row],[_Row]]+1):INDEX(Tasks[_LeafAC],Tasks[[#This Row],[_Row]]+Tasks[[#This Row],[_Descendants]])),Tasks[[#This Row],[_LeafAC]]))</f>
        <v/>
      </c>
      <c r="BT195" s="38" t="str">
        <f aca="false">IF(Tasks[[#This Row],[Task Name]]="","",MAX(1,N(Tasks[[#This Row],[Level]])))</f>
        <v/>
      </c>
      <c r="BU195" s="38" t="n">
        <f aca="false">ROW()-ROW(Tasks[[#Headers],[ID]])</f>
        <v>190</v>
      </c>
      <c r="BV195" s="38" t="n">
        <f aca="false">IF(OR(Tasks[[#This Row],[Task Name]]="",Tasks[[#This Row],[_Level]]&lt;=1),0,IFERROR(LOOKUP(2,1/(Tasks[[#Headers],[_Level]]:Tasks[[#This Row],[_Level]]=Tasks[[#This Row],[_Level]]-1),ROW(Tasks[[#Headers],[_Level]]:Tasks[[#This Row],[_Level]])),0))</f>
        <v>0</v>
      </c>
      <c r="BW195" s="38" t="n">
        <f aca="false">IFERROR(N(INDEX(Tasks[_Level],Tasks[[#This Row],[_Row]]+1)),0)</f>
        <v>0</v>
      </c>
      <c r="BX195" s="114" t="b">
        <f aca="false">AND(Tasks[[#This Row],[Task Name]]&lt;&gt;"",Tasks[[#This Row],[_NextLevel]]&gt;Tasks[[#This Row],[_Level]])</f>
        <v>0</v>
      </c>
      <c r="BY195" s="38" t="n">
        <f aca="false">IF(Tasks[[#This Row],[_IsSummary]],COUNTIF(Tasks[WBS],Tasks[[#This Row],[WBS]]&amp;".*"),0)</f>
        <v>0</v>
      </c>
      <c r="BZ195" s="38" t="n">
        <f aca="false">IF(AND(Tasks[[#This Row],[Task Name]]&lt;&gt;"",NOT(Tasks[[#This Row],[_IsSummary]])),1,0)</f>
        <v>0</v>
      </c>
      <c r="CA195" s="38" t="n">
        <f aca="false">IF(N(Tasks[[#This Row],[Pred1 UID]])=0,0,IFERROR(MATCH(Tasks[[#This Row],[Pred1 UID]],Tasks[UID],0),-1))</f>
        <v>0</v>
      </c>
      <c r="CB195" s="38" t="n">
        <f aca="false">IF(N(Tasks[[#This Row],[Pred2 UID]])=0,0,IFERROR(MATCH(Tasks[[#This Row],[Pred2 UID]],Tasks[UID],0),-1))</f>
        <v>0</v>
      </c>
      <c r="CC195" s="38" t="n">
        <f aca="false">IF(N(Tasks[[#This Row],[Pred3 UID]])=0,0,IFERROR(MATCH(Tasks[[#This Row],[Pred3 UID]],Tasks[UID],0),-1))</f>
        <v>0</v>
      </c>
      <c r="CD195" s="38" t="n">
        <f aca="false">IF(N(Tasks[[#This Row],[Pred4 UID]])=0,0,IFERROR(MATCH(Tasks[[#This Row],[Pred4 UID]],Tasks[UID],0),-1))</f>
        <v>0</v>
      </c>
      <c r="CE19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5" s="115" t="n">
        <f aca="false">IF(OR(Tasks[[#This Row],[_ConstraintCode]]=2,Tasks[[#This Row],[_ConstraintCode]]=3,Tasks[[#This Row],[_ConstraintCode]]=4,Tasks[[#This Row],[_ConstraintCode]]=6),Tasks[[#This Row],[_ConstraintStart]],0)</f>
        <v>0</v>
      </c>
      <c r="CH195" s="115" t="n">
        <f aca="false">IF(OR(Tasks[[#This Row],[_ConstraintCode]]=2,Tasks[[#This Row],[_ConstraintCode]]=3,Tasks[[#This Row],[_ConstraintCode]]=5,Tasks[[#This Row],[_ConstraintCode]]=7),Tasks[[#This Row],[_ConstraintStart]],2958465)</f>
        <v>2958465</v>
      </c>
      <c r="CI19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5" s="115" t="str">
        <f aca="false">IF(NOT(Tasks[[#This Row],[_IsLeaf]]=1),"",IF(N(Tasks[[#This Row],[Duration]])&lt;=0,Tasks[[#This Row],[_LeafCalcStart]],WORKDAY.INTL(Tasks[[#This Row],[_LeafCalcStart]],Tasks[[#This Row],[Duration]]-1,WorkWeek,Holidays)))</f>
        <v/>
      </c>
      <c r="CK19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5" s="38" t="n">
        <f aca="false">IF(NOT(Tasks[[#This Row],[_IsLeaf]]=1),0,IF(N(Tasks[[#This Row],[Actual Finish]])&gt;0,1,MIN(1,N(Tasks[[#This Row],[% Complete]]))))</f>
        <v>0</v>
      </c>
      <c r="CN195" s="38" t="n">
        <f aca="false">IF(OR(NOT(Tasks[[#This Row],[_IsLeaf]]=1),Tasks[[#This Row],[Resource]]=""),0,N(Tasks[[#This Row],[Duration]])*HoursPerDay*IF(Tasks[[#This Row],[Units]]="",DefaultUnits,Tasks[[#This Row],[Units]]))</f>
        <v>0</v>
      </c>
      <c r="CO195" s="38" t="n">
        <f aca="false">IF(Tasks[[#This Row],[_LeafWork]]=0,0,Tasks[[#This Row],[_LeafWork]]*IFERROR(INDEX(res_Rate,MATCH(Tasks[[#This Row],[Resource]],res_Name,0)),0))</f>
        <v>0</v>
      </c>
      <c r="CP195" s="38" t="n">
        <f aca="false">Tasks[[#This Row],[_LeafWork]]+IF(Tasks[[#This Row],[_IsLeaf]]=1,SUMIFS(asg_Work,asg_TaskUID,Tasks[[#This Row],[UID]],asg_Valid,1),0)</f>
        <v>0</v>
      </c>
      <c r="CQ195" s="38" t="n">
        <f aca="false">Tasks[[#This Row],[_LeafCost]]+IF(Tasks[[#This Row],[_IsLeaf]]=1,SUMIFS(asg_Cost,asg_TaskUID,Tasks[[#This Row],[UID]],asg_Valid,1),0)</f>
        <v>0</v>
      </c>
      <c r="CR195" s="38" t="n">
        <f aca="false">IF(Tasks[[#This Row],[_LeafTotalCost]]=0,Tasks[[#This Row],[_LeafAC]],Tasks[[#This Row],[_LeafAC]]*Tasks[[#This Row],[_LeafCost]]/Tasks[[#This Row],[_LeafTotalCost]])</f>
        <v>0</v>
      </c>
      <c r="CS19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5" s="38" t="n">
        <f aca="false">IF(NOT(Tasks[[#This Row],[_IsLeaf]]=1),0,MAX(_xlfn.MAXIFS(Tasks[_Row],Tasks[Pred1 UID],Tasks[[#This Row],[UID]]),_xlfn.MAXIFS(Tasks[_Row],Tasks[Pred2 UID],Tasks[[#This Row],[UID]]),_xlfn.MAXIFS(Tasks[_Row],Tasks[Pred3 UID],Tasks[[#This Row],[UID]]),_xlfn.MAXIFS(Tasks[_Row],Tasks[Pred4 UID],Tasks[[#This Row],[UID]])))</f>
        <v>0</v>
      </c>
      <c r="DB19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5" s="115" t="str">
        <f aca="false">IF(NOT(Tasks[[#This Row],[_IsLeaf]]=1),"",IF(N(Tasks[[#This Row],[Duration]])&lt;=0,Tasks[[#This Row],[_LeafLateFinish]],WORKDAY.INTL(Tasks[[#This Row],[_LeafLateFinish]],-(Tasks[[#This Row],[Duration]]-1),WorkWeek,Holidays)))</f>
        <v/>
      </c>
      <c r="DE19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5" s="114" t="b">
        <f aca="false">AND(Tasks[[#This Row],[_IsLeaf]]=1,Tasks[[#This Row],[_LeafProgress]]&lt;1,N(Tasks[[#This Row],[_LeafTotalSlack]])&lt;=CriticalSlackDays)</f>
        <v>0</v>
      </c>
      <c r="DG195" s="38" t="n">
        <f aca="false">IF(AND(Tasks[[#This Row],[_IsLeaf]]=1,Tasks[[#This Row],[_ConstraintCode]]=1,Tasks[[#This Row],[Mode]]&lt;&gt;"Manual",N(Tasks[[#This Row],[Actual Start]])=0),MAX(0,N(Tasks[[#This Row],[Free Slack]])),0)</f>
        <v>0</v>
      </c>
      <c r="DH195" s="115" t="str">
        <f aca="false">IF(NOT(Tasks[[#This Row],[_IsLeaf]]=1),"",IF(Tasks[[#This Row],[_AlapShift]]=0,Tasks[[#This Row],[_LeafCalcStart]],WORKDAY.INTL(Tasks[[#This Row],[_LeafCalcStart]],Tasks[[#This Row],[_AlapShift]],WorkWeek,Holidays)))</f>
        <v/>
      </c>
      <c r="DI195" s="115" t="str">
        <f aca="false">IF(NOT(Tasks[[#This Row],[_IsLeaf]]=1),"",IF(Tasks[[#This Row],[_AlapShift]]=0,Tasks[[#This Row],[_LeafCalcFinish]],WORKDAY.INTL(Tasks[[#This Row],[_LeafCalcFinish]],Tasks[[#This Row],[_AlapShift]],WorkWeek,Holidays)))</f>
        <v/>
      </c>
      <c r="DJ195" s="115" t="str">
        <f aca="false">IF(NOT(Tasks[[#This Row],[_IsLeaf]]=1),"",IF(Tasks[[#This Row],[_AlapShift]]=0,Tasks[[#This Row],[_LeafFcstStart]],WORKDAY.INTL(Tasks[[#This Row],[_LeafFcstStart]],Tasks[[#This Row],[_AlapShift]],WorkWeek,Holidays)))</f>
        <v/>
      </c>
      <c r="DK195" s="115" t="str">
        <f aca="false">IF(NOT(Tasks[[#This Row],[_IsLeaf]]=1),"",IF(Tasks[[#This Row],[_AlapShift]]=0,Tasks[[#This Row],[_LeafFcstFinish]],WORKDAY.INTL(Tasks[[#This Row],[_LeafFcstFinish]],Tasks[[#This Row],[_AlapShift]],WorkWeek,Holidays)))</f>
        <v/>
      </c>
      <c r="DL195" s="115" t="str">
        <f aca="false">IF(Tasks[[#This Row],[Task Name]]="","",IF(Tasks[[#This Row],[_IsSummary]],MIN(INDEX(Tasks[_ShownCalcStart],Tasks[[#This Row],[_Row]]+1):INDEX(Tasks[_ShownCalcStart],Tasks[[#This Row],[_Row]]+Tasks[[#This Row],[_Descendants]])),Tasks[[#This Row],[_ShownCalcStart]]))</f>
        <v/>
      </c>
      <c r="DM195" s="115" t="str">
        <f aca="false">IF(Tasks[[#This Row],[Task Name]]="","",IF(Tasks[[#This Row],[_IsSummary]],MAX(INDEX(Tasks[_ShownCalcFinish],Tasks[[#This Row],[_Row]]+1):INDEX(Tasks[_ShownCalcFinish],Tasks[[#This Row],[_Row]]+Tasks[[#This Row],[_Descendants]])),Tasks[[#This Row],[_ShownCalcFinish]]))</f>
        <v/>
      </c>
      <c r="DN19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5" s="38" t="n">
        <f aca="false">IF(AND(Tasks[[#This Row],[_IsLeaf]]=1,Tasks[[#This Row],[_LeafTotalWork]]&gt;0),NETWORKDAYS.INTL(ProjectStart,Tasks[[#This Row],[_ShownFcstStart]],WorkWeek,Holidays),0)</f>
        <v>0</v>
      </c>
      <c r="EA195" s="38" t="n">
        <f aca="false">IF(AND(Tasks[[#This Row],[_IsLeaf]]=1,Tasks[[#This Row],[_LeafTotalWork]]&gt;0),MAX(Tasks[[#This Row],[_StartWorkday]],NETWORKDAYS.INTL(ProjectStart,Tasks[[#This Row],[_ShownFcstFinish]],WorkWeek,Holidays)),0)</f>
        <v>0</v>
      </c>
      <c r="EB195" s="38" t="n">
        <f aca="false">IF(AND(Tasks[[#This Row],[_IsLeaf]]=1,Tasks[[#This Row],[_LeafTotalWork]]&gt;0),Tasks[[#This Row],[_LeafWork]]/(Tasks[[#This Row],[_FinishWorkday]]-Tasks[[#This Row],[_StartWorkday]]+1),0)</f>
        <v>0</v>
      </c>
      <c r="EC195" s="38" t="n">
        <f aca="false">Tasks[[#This Row],[_WorkPerWorkday]]*(Tasks[[#This Row],[_StartWorkday]]-1)</f>
        <v>-0</v>
      </c>
      <c r="ED195" s="38" t="n">
        <f aca="false">IF(Tasks[[#This Row],[_IsLeaf]]=1,MAX(N(Tasks[[#This Row],[Duration]]),0.1),0)</f>
        <v>0</v>
      </c>
      <c r="EE195" s="38" t="n">
        <f aca="false">Tasks[[#This Row],[_WeightDur]]*Tasks[[#This Row],[_LeafProgress]]</f>
        <v>0</v>
      </c>
      <c r="EF19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5" s="38" t="str">
        <f aca="false">IF(AND(Tasks[[#This Row],[_IsLeaf]]=1,N(Tasks[[#This Row],[Duration]])=0,Tasks[[#This Row],[_LeafProgress]]&lt;1),Tasks[[#This Row],[_ShownFcstFinish]]+Tasks[[#This Row],[_Row]]/100000,"")</f>
        <v/>
      </c>
      <c r="EH19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5" s="38" t="n">
        <f aca="false">IF(NOT(Tasks[[#This Row],[_IsLeaf]]=1),0,IF(Tasks[[#This Row],[Baseline Cost]]="",Tasks[[#This Row],[_LeafTotalCost]],N(Tasks[[#This Row],[Baseline Cost]])))</f>
        <v>0</v>
      </c>
      <c r="EJ195" s="38" t="n">
        <f aca="false">Tasks[[#This Row],[_LeafBudget]]*Tasks[[#This Row],[_PlannedPct]]</f>
        <v>0</v>
      </c>
      <c r="EK195" s="38" t="n">
        <f aca="false">Tasks[[#This Row],[_LeafBudget]]*Tasks[[#This Row],[_LeafProgress]]</f>
        <v>0</v>
      </c>
      <c r="EL195" s="38" t="n">
        <f aca="false">IF(NOT(Tasks[[#This Row],[_IsLeaf]]=1),0,IF(Tasks[[#This Row],[Actual Cost]]="",Tasks[[#This Row],[_LeafTotalCost]]*Tasks[[#This Row],[_LeafProgress]],N(Tasks[[#This Row],[Actual Cost]])))</f>
        <v>0</v>
      </c>
      <c r="EM195" s="38" t="str">
        <f aca="false">IF(Tasks[[#This Row],[Task Name]]="","",LEFT(Tasks[[#This Row],[WBS]],FIND(".",Tasks[[#This Row],[WBS]]&amp;".")-1))</f>
        <v/>
      </c>
      <c r="EN195" s="38" t="str">
        <f aca="false">IF(AND(Tasks[[#This Row],[Task Name]]&lt;&gt;"",Tasks[[#This Row],[_Level]]=1),Tasks[[#This Row],[_Row]],"")</f>
        <v/>
      </c>
      <c r="EO195" s="38" t="str">
        <f aca="false">IF(AND(Tasks[[#This Row],[_IsLeaf]]=1,N(Tasks[[#This Row],[Duration]])=0),Tasks[[#This Row],[Planned Finish]]+Tasks[[#This Row],[_Row]]/100000,"")</f>
        <v/>
      </c>
      <c r="EP195" s="38" t="str">
        <f aca="false">IF(AND(Tasks[[#This Row],[_IsLeaf]]=1,Tasks[[#This Row],[_LeafProgress]]&lt;1,OR(N(Tasks[[#This Row],[Finish Var]])&gt;0,Tasks[[#This Row],[Status]]="Late Start")),MAX(0,Tasks[[#This Row],[Finish Var]])+1-Tasks[[#This Row],[_Row]]/1000000,"")</f>
        <v/>
      </c>
      <c r="EQ195" s="38" t="str">
        <f aca="false">IF(AND(Tasks[[#This Row],[_IsLeaf]]=1,N(Tasks[[#This Row],[Actual Start]])=0,Tasks[[#This Row],[_ShownFcstStart]]&gt;=StatusDate,Tasks[[#This Row],[_ShownFcstStart]]&lt;=LookaheadEnd),Tasks[[#This Row],[_ShownFcstStart]]+Tasks[[#This Row],[_Row]]/100000,"")</f>
        <v/>
      </c>
      <c r="ER195" s="38" t="str">
        <f aca="false">IF(AND(Tasks[[#This Row],[_IsLeaf]]=1,Tasks[[#This Row],[_LeafProgress]]&lt;1,Tasks[[#This Row],[_ShownFcstFinish]]&gt;=StatusDate,Tasks[[#This Row],[_ShownFcstFinish]]&lt;=LookaheadEnd),Tasks[[#This Row],[_ShownFcstFinish]]+Tasks[[#This Row],[_Row]]/100000,"")</f>
        <v/>
      </c>
      <c r="ES195" s="38" t="str">
        <f aca="false">IF(Tasks[[#This Row],[_LeafCritical]],Tasks[[#This Row],[_ShownFcstStart]]+Tasks[[#This Row],[_Row]]/100000,"")</f>
        <v/>
      </c>
      <c r="ET195" s="38" t="n">
        <f aca="false">Tasks[[#This Row],[_LeafWork]]*Tasks[[#This Row],[_LeafProgress]]</f>
        <v>0</v>
      </c>
      <c r="EU195" s="115" t="str">
        <f aca="false">IF(AND(Tasks[[#This Row],[_IsLeaf]]=1,Tasks[[#This Row],[_LeafProgress]]&gt;=1),IF(N(Tasks[[#This Row],[Actual Finish]])&gt;0,Tasks[[#This Row],[Actual Finish]],Tasks[[#This Row],[_ShownFcstFinish]]),"")</f>
        <v/>
      </c>
      <c r="EV195" s="38" t="n">
        <f aca="false">IF(Tasks[[#This Row],[_IsLeaf]]=1,N(Tasks[[#This Row],[Story Points]]),0)</f>
        <v>0</v>
      </c>
      <c r="EW195" s="38" t="str">
        <f aca="false">IF(AND(Tasks[[#This Row],[_IsLeaf]]=1,CurrentSprint&lt;&gt;"",Tasks[[#This Row],[Sprint]]=CurrentSprint),Tasks[[#This Row],[_Row]],"")</f>
        <v/>
      </c>
    </row>
    <row r="196" customFormat="false" ht="15" hidden="false" customHeight="false" outlineLevel="0" collapsed="false">
      <c r="A196" s="51" t="str">
        <f aca="false">IF(Tasks[[#This Row],[Task Name]]="","",COUNTA(Tasks[[#Headers],[Task Name]]:Tasks[[#This Row],[Task Name]])-1)</f>
        <v/>
      </c>
      <c r="B196" s="52" t="n">
        <v>191</v>
      </c>
      <c r="C19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52"/>
      <c r="E196" s="53"/>
      <c r="F196" s="52"/>
      <c r="G196" s="52"/>
      <c r="H196" s="52"/>
      <c r="I196" s="52"/>
      <c r="J196" s="52"/>
      <c r="K196" s="52"/>
      <c r="L196" s="52"/>
      <c r="M196" s="52"/>
      <c r="N196" s="52"/>
      <c r="O196" s="52"/>
      <c r="P196" s="52"/>
      <c r="Q196" s="52"/>
      <c r="R196" s="52"/>
      <c r="S196" s="53"/>
      <c r="T196" s="102"/>
      <c r="U196" s="102"/>
      <c r="V196" s="7"/>
      <c r="W196" s="7"/>
      <c r="X196" s="53"/>
      <c r="Y196" s="31" t="str">
        <f aca="false">IF(Tasks[[#This Row],[Task Name]]="","",IF(Tasks[[#This Row],[_IsSummary]],MIN(INDEX(Tasks[_ShownFcstStart],Tasks[[#This Row],[_Row]]+1):INDEX(Tasks[_ShownFcstStart],Tasks[[#This Row],[_Row]]+Tasks[[#This Row],[_Descendants]])),Tasks[[#This Row],[_ShownFcstStart]]))</f>
        <v/>
      </c>
      <c r="Z196" s="31" t="str">
        <f aca="false">IF(Tasks[[#This Row],[Task Name]]="","",IF(Tasks[[#This Row],[_IsSummary]],MAX(INDEX(Tasks[_ShownFcstFinish],Tasks[[#This Row],[_Row]]+1):INDEX(Tasks[_ShownFcstFinish],Tasks[[#This Row],[_Row]]+Tasks[[#This Row],[_Descendants]])),Tasks[[#This Row],[_ShownFcstFinish]]))</f>
        <v/>
      </c>
      <c r="AA196" s="51" t="str">
        <f aca="false">IF(Tasks[[#This Row],[Task Name]]="","",IF(Tasks[[#This Row],[Progress]]&gt;=1,"Complete",IF(OR(N(Tasks[[#This Row],[Actual Start]])&gt;0,Tasks[[#This Row],[Progress]]&gt;0),IF(Tasks[[#This Row],[Finish Var]]&gt;0,"Behind","In Progress"),IF(Tasks[[#This Row],[Planned Start]]&lt;StatusDate,"Late Start","Not Started"))))</f>
        <v/>
      </c>
      <c r="AB196" s="51" t="str">
        <f aca="false">IF(Tasks[[#This Row],[Task Name]]="","",IF(IF(Tasks[[#This Row],[_IsSummary]],COUNTIF(INDEX(Tasks[_LeafCritical],Tasks[[#This Row],[_Row]]+1):INDEX(Tasks[_LeafCritical],Tasks[[#This Row],[_Row]]+Tasks[[#This Row],[_Descendants]]),TRUE())&gt;0,Tasks[[#This Row],[_LeafCritical]]),"Yes",""))</f>
        <v/>
      </c>
      <c r="AC19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6" s="51" t="str">
        <f aca="false">IF(Tasks[[#This Row],[Task Name]]="","",IF(Tasks[[#This Row],[_Level]]&lt;=OutlineShowLevel,"Yes","No"))</f>
        <v/>
      </c>
      <c r="AE196" s="7"/>
      <c r="AF196" s="52"/>
      <c r="AG196" s="53"/>
      <c r="AH196" s="7"/>
      <c r="AI196"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6" s="31" t="str">
        <f aca="false">IF(Tasks[[#This Row],[Task Name]]="","",IF(N(Tasks[[#This Row],[Baseline Start]])&gt;0,Tasks[[#This Row],[Baseline Start]],Tasks[[#This Row],[_CalcStart]]))</f>
        <v/>
      </c>
      <c r="AK196" s="31" t="str">
        <f aca="false">IF(Tasks[[#This Row],[Task Name]]="","",IF(N(Tasks[[#This Row],[Baseline Finish]])&gt;0,Tasks[[#This Row],[Baseline Finish]],Tasks[[#This Row],[_CalcFinish]]))</f>
        <v/>
      </c>
      <c r="AL196"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6" s="31" t="str">
        <f aca="false">IF(Tasks[[#This Row],[Task Name]]="","",IF(Tasks[[#This Row],[_IsSummary]],MIN(INDEX(Tasks[_LeafLateStart],Tasks[[#This Row],[_Row]]+1):INDEX(Tasks[_LeafLateStart],Tasks[[#This Row],[_Row]]+Tasks[[#This Row],[_Descendants]])),Tasks[[#This Row],[_LeafLateStart]]))</f>
        <v/>
      </c>
      <c r="AN196" s="31" t="str">
        <f aca="false">IF(Tasks[[#This Row],[Task Name]]="","",IF(Tasks[[#This Row],[_IsSummary]],MAX(INDEX(Tasks[_LeafLateFinish],Tasks[[#This Row],[_Row]]+1):INDEX(Tasks[_LeafLateFinish],Tasks[[#This Row],[_Row]]+Tasks[[#This Row],[_Descendants]])),Tasks[[#This Row],[_LeafLateFinish]]))</f>
        <v/>
      </c>
      <c r="AO196" s="51" t="str">
        <f aca="false">IF(Tasks[[#This Row],[Task Name]]="","",IF(Tasks[[#This Row],[_IsSummary]],MIN(INDEX(Tasks[_LeafTotalSlack],Tasks[[#This Row],[_Row]]+1):INDEX(Tasks[_LeafTotalSlack],Tasks[[#This Row],[_Row]]+Tasks[[#This Row],[_Descendants]])),Tasks[[#This Row],[_LeafTotalSlack]]))</f>
        <v/>
      </c>
      <c r="AP19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6" s="110" t="str">
        <f aca="false">IF(Tasks[[#This Row],[Task Name]]="","",IF(Tasks[[#This Row],[_IsSummary]],SUM(INDEX(Tasks[_LeafTotalWork],Tasks[[#This Row],[_Row]]+1):INDEX(Tasks[_LeafTotalWork],Tasks[[#This Row],[_Row]]+Tasks[[#This Row],[_Descendants]])),Tasks[[#This Row],[_LeafTotalWork]]))</f>
        <v/>
      </c>
      <c r="AV19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6" s="111" t="str">
        <f aca="false">IF(Tasks[[#This Row],[Task Name]]="","",IF(Tasks[[#This Row],[_IsSummary]],SUM(INDEX(Tasks[_LeafTotalCost],Tasks[[#This Row],[_Row]]+1):INDEX(Tasks[_LeafTotalCost],Tasks[[#This Row],[_Row]]+Tasks[[#This Row],[_Descendants]])),Tasks[[#This Row],[_LeafTotalCost]]))</f>
        <v/>
      </c>
      <c r="AY196" s="112"/>
      <c r="AZ19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6" s="52"/>
      <c r="BB196" s="98"/>
      <c r="BC196" s="51" t="str">
        <f aca="false">IF(OR(Tasks[[#This Row],[Task Name]]="",Tasks[[#This Row],[Baseline Duration]]=""),"",Tasks[[#This Row],[BL Source Duration]]-N(Tasks[[#This Row],[Baseline Duration]]))</f>
        <v/>
      </c>
      <c r="BD196" s="110" t="str">
        <f aca="false">IF(OR(Tasks[[#This Row],[Task Name]]="",Tasks[[#This Row],[Baseline Work]]=""),"",Tasks[[#This Row],[Work]]-N(Tasks[[#This Row],[Baseline Work]]))</f>
        <v/>
      </c>
      <c r="BE196" s="111" t="str">
        <f aca="false">IF(OR(Tasks[[#This Row],[Task Name]]="",Tasks[[#This Row],[Baseline Cost]]=""),"",Tasks[[#This Row],[Cost]]-N(Tasks[[#This Row],[Baseline Cost]]))</f>
        <v/>
      </c>
      <c r="BF196" s="31" t="str">
        <f aca="false">IF(Tasks[[#This Row],[Task Name]]="","",Tasks[[#This Row],[Forecast Start]])</f>
        <v/>
      </c>
      <c r="BG196" s="31" t="str">
        <f aca="false">IF(Tasks[[#This Row],[Task Name]]="","",Tasks[[#This Row],[Forecast Finish]])</f>
        <v/>
      </c>
      <c r="BH196" s="51" t="str">
        <f aca="false">IF(Tasks[[#This Row],[Task Name]]="","",IF(Tasks[[#This Row],[_IsSummary]],NETWORKDAYS.INTL(Tasks[[#This Row],[Forecast Start]],Tasks[[#This Row],[Forecast Finish]],WorkWeek,Holidays),N(Tasks[[#This Row],[Duration]])))</f>
        <v/>
      </c>
      <c r="BI196" s="110" t="str">
        <f aca="false">IF(Tasks[[#This Row],[Task Name]]="","",Tasks[[#This Row],[Work]])</f>
        <v/>
      </c>
      <c r="BJ196" s="111" t="str">
        <f aca="false">IF(Tasks[[#This Row],[Task Name]]="","",Tasks[[#This Row],[Cost]])</f>
        <v/>
      </c>
      <c r="BK196" s="7"/>
      <c r="BL196" s="7"/>
      <c r="BM196" s="52"/>
      <c r="BN196" s="113"/>
      <c r="BO196" s="112"/>
      <c r="BP196" s="111" t="str">
        <f aca="false">IF(Tasks[[#This Row],[Task Name]]="","",IF(Tasks[[#This Row],[_IsSummary]],SUM(INDEX(Tasks[_LeafEV],Tasks[[#This Row],[_Row]]+1):INDEX(Tasks[_LeafEV],Tasks[[#This Row],[_Row]]+Tasks[[#This Row],[_Descendants]])),Tasks[[#This Row],[_LeafEV]]))</f>
        <v/>
      </c>
      <c r="BQ196" s="111" t="str">
        <f aca="false">IF(Tasks[[#This Row],[Task Name]]="","",IF(Tasks[[#This Row],[_IsSummary]],SUM(INDEX(Tasks[_LeafBudget],Tasks[[#This Row],[_Row]]+1):INDEX(Tasks[_LeafBudget],Tasks[[#This Row],[_Row]]+Tasks[[#This Row],[_Descendants]])),Tasks[[#This Row],[_LeafBudget]]))</f>
        <v/>
      </c>
      <c r="BR196" s="111" t="str">
        <f aca="false">IF(Tasks[[#This Row],[Task Name]]="","",IF(Tasks[[#This Row],[_IsSummary]],SUM(INDEX(Tasks[_LeafPV],Tasks[[#This Row],[_Row]]+1):INDEX(Tasks[_LeafPV],Tasks[[#This Row],[_Row]]+Tasks[[#This Row],[_Descendants]])),Tasks[[#This Row],[_LeafPV]]))</f>
        <v/>
      </c>
      <c r="BS196" s="111" t="str">
        <f aca="false">IF(Tasks[[#This Row],[Task Name]]="","",IF(Tasks[[#This Row],[_IsSummary]],SUM(INDEX(Tasks[_LeafAC],Tasks[[#This Row],[_Row]]+1):INDEX(Tasks[_LeafAC],Tasks[[#This Row],[_Row]]+Tasks[[#This Row],[_Descendants]])),Tasks[[#This Row],[_LeafAC]]))</f>
        <v/>
      </c>
      <c r="BT196" s="38" t="str">
        <f aca="false">IF(Tasks[[#This Row],[Task Name]]="","",MAX(1,N(Tasks[[#This Row],[Level]])))</f>
        <v/>
      </c>
      <c r="BU196" s="38" t="n">
        <f aca="false">ROW()-ROW(Tasks[[#Headers],[ID]])</f>
        <v>191</v>
      </c>
      <c r="BV196" s="38" t="n">
        <f aca="false">IF(OR(Tasks[[#This Row],[Task Name]]="",Tasks[[#This Row],[_Level]]&lt;=1),0,IFERROR(LOOKUP(2,1/(Tasks[[#Headers],[_Level]]:Tasks[[#This Row],[_Level]]=Tasks[[#This Row],[_Level]]-1),ROW(Tasks[[#Headers],[_Level]]:Tasks[[#This Row],[_Level]])),0))</f>
        <v>0</v>
      </c>
      <c r="BW196" s="38" t="n">
        <f aca="false">IFERROR(N(INDEX(Tasks[_Level],Tasks[[#This Row],[_Row]]+1)),0)</f>
        <v>0</v>
      </c>
      <c r="BX196" s="114" t="b">
        <f aca="false">AND(Tasks[[#This Row],[Task Name]]&lt;&gt;"",Tasks[[#This Row],[_NextLevel]]&gt;Tasks[[#This Row],[_Level]])</f>
        <v>0</v>
      </c>
      <c r="BY196" s="38" t="n">
        <f aca="false">IF(Tasks[[#This Row],[_IsSummary]],COUNTIF(Tasks[WBS],Tasks[[#This Row],[WBS]]&amp;".*"),0)</f>
        <v>0</v>
      </c>
      <c r="BZ196" s="38" t="n">
        <f aca="false">IF(AND(Tasks[[#This Row],[Task Name]]&lt;&gt;"",NOT(Tasks[[#This Row],[_IsSummary]])),1,0)</f>
        <v>0</v>
      </c>
      <c r="CA196" s="38" t="n">
        <f aca="false">IF(N(Tasks[[#This Row],[Pred1 UID]])=0,0,IFERROR(MATCH(Tasks[[#This Row],[Pred1 UID]],Tasks[UID],0),-1))</f>
        <v>0</v>
      </c>
      <c r="CB196" s="38" t="n">
        <f aca="false">IF(N(Tasks[[#This Row],[Pred2 UID]])=0,0,IFERROR(MATCH(Tasks[[#This Row],[Pred2 UID]],Tasks[UID],0),-1))</f>
        <v>0</v>
      </c>
      <c r="CC196" s="38" t="n">
        <f aca="false">IF(N(Tasks[[#This Row],[Pred3 UID]])=0,0,IFERROR(MATCH(Tasks[[#This Row],[Pred3 UID]],Tasks[UID],0),-1))</f>
        <v>0</v>
      </c>
      <c r="CD196" s="38" t="n">
        <f aca="false">IF(N(Tasks[[#This Row],[Pred4 UID]])=0,0,IFERROR(MATCH(Tasks[[#This Row],[Pred4 UID]],Tasks[UID],0),-1))</f>
        <v>0</v>
      </c>
      <c r="CE19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6" s="115" t="n">
        <f aca="false">IF(OR(Tasks[[#This Row],[_ConstraintCode]]=2,Tasks[[#This Row],[_ConstraintCode]]=3,Tasks[[#This Row],[_ConstraintCode]]=4,Tasks[[#This Row],[_ConstraintCode]]=6),Tasks[[#This Row],[_ConstraintStart]],0)</f>
        <v>0</v>
      </c>
      <c r="CH196" s="115" t="n">
        <f aca="false">IF(OR(Tasks[[#This Row],[_ConstraintCode]]=2,Tasks[[#This Row],[_ConstraintCode]]=3,Tasks[[#This Row],[_ConstraintCode]]=5,Tasks[[#This Row],[_ConstraintCode]]=7),Tasks[[#This Row],[_ConstraintStart]],2958465)</f>
        <v>2958465</v>
      </c>
      <c r="CI19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6" s="115" t="str">
        <f aca="false">IF(NOT(Tasks[[#This Row],[_IsLeaf]]=1),"",IF(N(Tasks[[#This Row],[Duration]])&lt;=0,Tasks[[#This Row],[_LeafCalcStart]],WORKDAY.INTL(Tasks[[#This Row],[_LeafCalcStart]],Tasks[[#This Row],[Duration]]-1,WorkWeek,Holidays)))</f>
        <v/>
      </c>
      <c r="CK19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6" s="38" t="n">
        <f aca="false">IF(NOT(Tasks[[#This Row],[_IsLeaf]]=1),0,IF(N(Tasks[[#This Row],[Actual Finish]])&gt;0,1,MIN(1,N(Tasks[[#This Row],[% Complete]]))))</f>
        <v>0</v>
      </c>
      <c r="CN196" s="38" t="n">
        <f aca="false">IF(OR(NOT(Tasks[[#This Row],[_IsLeaf]]=1),Tasks[[#This Row],[Resource]]=""),0,N(Tasks[[#This Row],[Duration]])*HoursPerDay*IF(Tasks[[#This Row],[Units]]="",DefaultUnits,Tasks[[#This Row],[Units]]))</f>
        <v>0</v>
      </c>
      <c r="CO196" s="38" t="n">
        <f aca="false">IF(Tasks[[#This Row],[_LeafWork]]=0,0,Tasks[[#This Row],[_LeafWork]]*IFERROR(INDEX(res_Rate,MATCH(Tasks[[#This Row],[Resource]],res_Name,0)),0))</f>
        <v>0</v>
      </c>
      <c r="CP196" s="38" t="n">
        <f aca="false">Tasks[[#This Row],[_LeafWork]]+IF(Tasks[[#This Row],[_IsLeaf]]=1,SUMIFS(asg_Work,asg_TaskUID,Tasks[[#This Row],[UID]],asg_Valid,1),0)</f>
        <v>0</v>
      </c>
      <c r="CQ196" s="38" t="n">
        <f aca="false">Tasks[[#This Row],[_LeafCost]]+IF(Tasks[[#This Row],[_IsLeaf]]=1,SUMIFS(asg_Cost,asg_TaskUID,Tasks[[#This Row],[UID]],asg_Valid,1),0)</f>
        <v>0</v>
      </c>
      <c r="CR196" s="38" t="n">
        <f aca="false">IF(Tasks[[#This Row],[_LeafTotalCost]]=0,Tasks[[#This Row],[_LeafAC]],Tasks[[#This Row],[_LeafAC]]*Tasks[[#This Row],[_LeafCost]]/Tasks[[#This Row],[_LeafTotalCost]])</f>
        <v>0</v>
      </c>
      <c r="CS19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6" s="38" t="n">
        <f aca="false">IF(NOT(Tasks[[#This Row],[_IsLeaf]]=1),0,MAX(_xlfn.MAXIFS(Tasks[_Row],Tasks[Pred1 UID],Tasks[[#This Row],[UID]]),_xlfn.MAXIFS(Tasks[_Row],Tasks[Pred2 UID],Tasks[[#This Row],[UID]]),_xlfn.MAXIFS(Tasks[_Row],Tasks[Pred3 UID],Tasks[[#This Row],[UID]]),_xlfn.MAXIFS(Tasks[_Row],Tasks[Pred4 UID],Tasks[[#This Row],[UID]])))</f>
        <v>0</v>
      </c>
      <c r="DB19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6" s="115" t="str">
        <f aca="false">IF(NOT(Tasks[[#This Row],[_IsLeaf]]=1),"",IF(N(Tasks[[#This Row],[Duration]])&lt;=0,Tasks[[#This Row],[_LeafLateFinish]],WORKDAY.INTL(Tasks[[#This Row],[_LeafLateFinish]],-(Tasks[[#This Row],[Duration]]-1),WorkWeek,Holidays)))</f>
        <v/>
      </c>
      <c r="DE19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6" s="114" t="b">
        <f aca="false">AND(Tasks[[#This Row],[_IsLeaf]]=1,Tasks[[#This Row],[_LeafProgress]]&lt;1,N(Tasks[[#This Row],[_LeafTotalSlack]])&lt;=CriticalSlackDays)</f>
        <v>0</v>
      </c>
      <c r="DG196" s="38" t="n">
        <f aca="false">IF(AND(Tasks[[#This Row],[_IsLeaf]]=1,Tasks[[#This Row],[_ConstraintCode]]=1,Tasks[[#This Row],[Mode]]&lt;&gt;"Manual",N(Tasks[[#This Row],[Actual Start]])=0),MAX(0,N(Tasks[[#This Row],[Free Slack]])),0)</f>
        <v>0</v>
      </c>
      <c r="DH196" s="115" t="str">
        <f aca="false">IF(NOT(Tasks[[#This Row],[_IsLeaf]]=1),"",IF(Tasks[[#This Row],[_AlapShift]]=0,Tasks[[#This Row],[_LeafCalcStart]],WORKDAY.INTL(Tasks[[#This Row],[_LeafCalcStart]],Tasks[[#This Row],[_AlapShift]],WorkWeek,Holidays)))</f>
        <v/>
      </c>
      <c r="DI196" s="115" t="str">
        <f aca="false">IF(NOT(Tasks[[#This Row],[_IsLeaf]]=1),"",IF(Tasks[[#This Row],[_AlapShift]]=0,Tasks[[#This Row],[_LeafCalcFinish]],WORKDAY.INTL(Tasks[[#This Row],[_LeafCalcFinish]],Tasks[[#This Row],[_AlapShift]],WorkWeek,Holidays)))</f>
        <v/>
      </c>
      <c r="DJ196" s="115" t="str">
        <f aca="false">IF(NOT(Tasks[[#This Row],[_IsLeaf]]=1),"",IF(Tasks[[#This Row],[_AlapShift]]=0,Tasks[[#This Row],[_LeafFcstStart]],WORKDAY.INTL(Tasks[[#This Row],[_LeafFcstStart]],Tasks[[#This Row],[_AlapShift]],WorkWeek,Holidays)))</f>
        <v/>
      </c>
      <c r="DK196" s="115" t="str">
        <f aca="false">IF(NOT(Tasks[[#This Row],[_IsLeaf]]=1),"",IF(Tasks[[#This Row],[_AlapShift]]=0,Tasks[[#This Row],[_LeafFcstFinish]],WORKDAY.INTL(Tasks[[#This Row],[_LeafFcstFinish]],Tasks[[#This Row],[_AlapShift]],WorkWeek,Holidays)))</f>
        <v/>
      </c>
      <c r="DL196" s="115" t="str">
        <f aca="false">IF(Tasks[[#This Row],[Task Name]]="","",IF(Tasks[[#This Row],[_IsSummary]],MIN(INDEX(Tasks[_ShownCalcStart],Tasks[[#This Row],[_Row]]+1):INDEX(Tasks[_ShownCalcStart],Tasks[[#This Row],[_Row]]+Tasks[[#This Row],[_Descendants]])),Tasks[[#This Row],[_ShownCalcStart]]))</f>
        <v/>
      </c>
      <c r="DM196" s="115" t="str">
        <f aca="false">IF(Tasks[[#This Row],[Task Name]]="","",IF(Tasks[[#This Row],[_IsSummary]],MAX(INDEX(Tasks[_ShownCalcFinish],Tasks[[#This Row],[_Row]]+1):INDEX(Tasks[_ShownCalcFinish],Tasks[[#This Row],[_Row]]+Tasks[[#This Row],[_Descendants]])),Tasks[[#This Row],[_ShownCalcFinish]]))</f>
        <v/>
      </c>
      <c r="DN19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6" s="38" t="n">
        <f aca="false">IF(AND(Tasks[[#This Row],[_IsLeaf]]=1,Tasks[[#This Row],[_LeafTotalWork]]&gt;0),NETWORKDAYS.INTL(ProjectStart,Tasks[[#This Row],[_ShownFcstStart]],WorkWeek,Holidays),0)</f>
        <v>0</v>
      </c>
      <c r="EA196" s="38" t="n">
        <f aca="false">IF(AND(Tasks[[#This Row],[_IsLeaf]]=1,Tasks[[#This Row],[_LeafTotalWork]]&gt;0),MAX(Tasks[[#This Row],[_StartWorkday]],NETWORKDAYS.INTL(ProjectStart,Tasks[[#This Row],[_ShownFcstFinish]],WorkWeek,Holidays)),0)</f>
        <v>0</v>
      </c>
      <c r="EB196" s="38" t="n">
        <f aca="false">IF(AND(Tasks[[#This Row],[_IsLeaf]]=1,Tasks[[#This Row],[_LeafTotalWork]]&gt;0),Tasks[[#This Row],[_LeafWork]]/(Tasks[[#This Row],[_FinishWorkday]]-Tasks[[#This Row],[_StartWorkday]]+1),0)</f>
        <v>0</v>
      </c>
      <c r="EC196" s="38" t="n">
        <f aca="false">Tasks[[#This Row],[_WorkPerWorkday]]*(Tasks[[#This Row],[_StartWorkday]]-1)</f>
        <v>-0</v>
      </c>
      <c r="ED196" s="38" t="n">
        <f aca="false">IF(Tasks[[#This Row],[_IsLeaf]]=1,MAX(N(Tasks[[#This Row],[Duration]]),0.1),0)</f>
        <v>0</v>
      </c>
      <c r="EE196" s="38" t="n">
        <f aca="false">Tasks[[#This Row],[_WeightDur]]*Tasks[[#This Row],[_LeafProgress]]</f>
        <v>0</v>
      </c>
      <c r="EF19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6" s="38" t="str">
        <f aca="false">IF(AND(Tasks[[#This Row],[_IsLeaf]]=1,N(Tasks[[#This Row],[Duration]])=0,Tasks[[#This Row],[_LeafProgress]]&lt;1),Tasks[[#This Row],[_ShownFcstFinish]]+Tasks[[#This Row],[_Row]]/100000,"")</f>
        <v/>
      </c>
      <c r="EH19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6" s="38" t="n">
        <f aca="false">IF(NOT(Tasks[[#This Row],[_IsLeaf]]=1),0,IF(Tasks[[#This Row],[Baseline Cost]]="",Tasks[[#This Row],[_LeafTotalCost]],N(Tasks[[#This Row],[Baseline Cost]])))</f>
        <v>0</v>
      </c>
      <c r="EJ196" s="38" t="n">
        <f aca="false">Tasks[[#This Row],[_LeafBudget]]*Tasks[[#This Row],[_PlannedPct]]</f>
        <v>0</v>
      </c>
      <c r="EK196" s="38" t="n">
        <f aca="false">Tasks[[#This Row],[_LeafBudget]]*Tasks[[#This Row],[_LeafProgress]]</f>
        <v>0</v>
      </c>
      <c r="EL196" s="38" t="n">
        <f aca="false">IF(NOT(Tasks[[#This Row],[_IsLeaf]]=1),0,IF(Tasks[[#This Row],[Actual Cost]]="",Tasks[[#This Row],[_LeafTotalCost]]*Tasks[[#This Row],[_LeafProgress]],N(Tasks[[#This Row],[Actual Cost]])))</f>
        <v>0</v>
      </c>
      <c r="EM196" s="38" t="str">
        <f aca="false">IF(Tasks[[#This Row],[Task Name]]="","",LEFT(Tasks[[#This Row],[WBS]],FIND(".",Tasks[[#This Row],[WBS]]&amp;".")-1))</f>
        <v/>
      </c>
      <c r="EN196" s="38" t="str">
        <f aca="false">IF(AND(Tasks[[#This Row],[Task Name]]&lt;&gt;"",Tasks[[#This Row],[_Level]]=1),Tasks[[#This Row],[_Row]],"")</f>
        <v/>
      </c>
      <c r="EO196" s="38" t="str">
        <f aca="false">IF(AND(Tasks[[#This Row],[_IsLeaf]]=1,N(Tasks[[#This Row],[Duration]])=0),Tasks[[#This Row],[Planned Finish]]+Tasks[[#This Row],[_Row]]/100000,"")</f>
        <v/>
      </c>
      <c r="EP196" s="38" t="str">
        <f aca="false">IF(AND(Tasks[[#This Row],[_IsLeaf]]=1,Tasks[[#This Row],[_LeafProgress]]&lt;1,OR(N(Tasks[[#This Row],[Finish Var]])&gt;0,Tasks[[#This Row],[Status]]="Late Start")),MAX(0,Tasks[[#This Row],[Finish Var]])+1-Tasks[[#This Row],[_Row]]/1000000,"")</f>
        <v/>
      </c>
      <c r="EQ196" s="38" t="str">
        <f aca="false">IF(AND(Tasks[[#This Row],[_IsLeaf]]=1,N(Tasks[[#This Row],[Actual Start]])=0,Tasks[[#This Row],[_ShownFcstStart]]&gt;=StatusDate,Tasks[[#This Row],[_ShownFcstStart]]&lt;=LookaheadEnd),Tasks[[#This Row],[_ShownFcstStart]]+Tasks[[#This Row],[_Row]]/100000,"")</f>
        <v/>
      </c>
      <c r="ER196" s="38" t="str">
        <f aca="false">IF(AND(Tasks[[#This Row],[_IsLeaf]]=1,Tasks[[#This Row],[_LeafProgress]]&lt;1,Tasks[[#This Row],[_ShownFcstFinish]]&gt;=StatusDate,Tasks[[#This Row],[_ShownFcstFinish]]&lt;=LookaheadEnd),Tasks[[#This Row],[_ShownFcstFinish]]+Tasks[[#This Row],[_Row]]/100000,"")</f>
        <v/>
      </c>
      <c r="ES196" s="38" t="str">
        <f aca="false">IF(Tasks[[#This Row],[_LeafCritical]],Tasks[[#This Row],[_ShownFcstStart]]+Tasks[[#This Row],[_Row]]/100000,"")</f>
        <v/>
      </c>
      <c r="ET196" s="38" t="n">
        <f aca="false">Tasks[[#This Row],[_LeafWork]]*Tasks[[#This Row],[_LeafProgress]]</f>
        <v>0</v>
      </c>
      <c r="EU196" s="115" t="str">
        <f aca="false">IF(AND(Tasks[[#This Row],[_IsLeaf]]=1,Tasks[[#This Row],[_LeafProgress]]&gt;=1),IF(N(Tasks[[#This Row],[Actual Finish]])&gt;0,Tasks[[#This Row],[Actual Finish]],Tasks[[#This Row],[_ShownFcstFinish]]),"")</f>
        <v/>
      </c>
      <c r="EV196" s="38" t="n">
        <f aca="false">IF(Tasks[[#This Row],[_IsLeaf]]=1,N(Tasks[[#This Row],[Story Points]]),0)</f>
        <v>0</v>
      </c>
      <c r="EW196" s="38" t="str">
        <f aca="false">IF(AND(Tasks[[#This Row],[_IsLeaf]]=1,CurrentSprint&lt;&gt;"",Tasks[[#This Row],[Sprint]]=CurrentSprint),Tasks[[#This Row],[_Row]],"")</f>
        <v/>
      </c>
    </row>
    <row r="197" customFormat="false" ht="15" hidden="false" customHeight="false" outlineLevel="0" collapsed="false">
      <c r="A197" s="51" t="str">
        <f aca="false">IF(Tasks[[#This Row],[Task Name]]="","",COUNTA(Tasks[[#Headers],[Task Name]]:Tasks[[#This Row],[Task Name]])-1)</f>
        <v/>
      </c>
      <c r="B197" s="52" t="n">
        <v>192</v>
      </c>
      <c r="C19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52"/>
      <c r="E197" s="53"/>
      <c r="F197" s="52"/>
      <c r="G197" s="52"/>
      <c r="H197" s="52"/>
      <c r="I197" s="52"/>
      <c r="J197" s="52"/>
      <c r="K197" s="52"/>
      <c r="L197" s="52"/>
      <c r="M197" s="52"/>
      <c r="N197" s="52"/>
      <c r="O197" s="52"/>
      <c r="P197" s="52"/>
      <c r="Q197" s="52"/>
      <c r="R197" s="52"/>
      <c r="S197" s="53"/>
      <c r="T197" s="102"/>
      <c r="U197" s="102"/>
      <c r="V197" s="7"/>
      <c r="W197" s="7"/>
      <c r="X197" s="53"/>
      <c r="Y197" s="31" t="str">
        <f aca="false">IF(Tasks[[#This Row],[Task Name]]="","",IF(Tasks[[#This Row],[_IsSummary]],MIN(INDEX(Tasks[_ShownFcstStart],Tasks[[#This Row],[_Row]]+1):INDEX(Tasks[_ShownFcstStart],Tasks[[#This Row],[_Row]]+Tasks[[#This Row],[_Descendants]])),Tasks[[#This Row],[_ShownFcstStart]]))</f>
        <v/>
      </c>
      <c r="Z197" s="31" t="str">
        <f aca="false">IF(Tasks[[#This Row],[Task Name]]="","",IF(Tasks[[#This Row],[_IsSummary]],MAX(INDEX(Tasks[_ShownFcstFinish],Tasks[[#This Row],[_Row]]+1):INDEX(Tasks[_ShownFcstFinish],Tasks[[#This Row],[_Row]]+Tasks[[#This Row],[_Descendants]])),Tasks[[#This Row],[_ShownFcstFinish]]))</f>
        <v/>
      </c>
      <c r="AA197" s="51" t="str">
        <f aca="false">IF(Tasks[[#This Row],[Task Name]]="","",IF(Tasks[[#This Row],[Progress]]&gt;=1,"Complete",IF(OR(N(Tasks[[#This Row],[Actual Start]])&gt;0,Tasks[[#This Row],[Progress]]&gt;0),IF(Tasks[[#This Row],[Finish Var]]&gt;0,"Behind","In Progress"),IF(Tasks[[#This Row],[Planned Start]]&lt;StatusDate,"Late Start","Not Started"))))</f>
        <v/>
      </c>
      <c r="AB197" s="51" t="str">
        <f aca="false">IF(Tasks[[#This Row],[Task Name]]="","",IF(IF(Tasks[[#This Row],[_IsSummary]],COUNTIF(INDEX(Tasks[_LeafCritical],Tasks[[#This Row],[_Row]]+1):INDEX(Tasks[_LeafCritical],Tasks[[#This Row],[_Row]]+Tasks[[#This Row],[_Descendants]]),TRUE())&gt;0,Tasks[[#This Row],[_LeafCritical]]),"Yes",""))</f>
        <v/>
      </c>
      <c r="AC19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7" s="51" t="str">
        <f aca="false">IF(Tasks[[#This Row],[Task Name]]="","",IF(Tasks[[#This Row],[_Level]]&lt;=OutlineShowLevel,"Yes","No"))</f>
        <v/>
      </c>
      <c r="AE197" s="7"/>
      <c r="AF197" s="52"/>
      <c r="AG197" s="53"/>
      <c r="AH197" s="7"/>
      <c r="AI197"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7" s="31" t="str">
        <f aca="false">IF(Tasks[[#This Row],[Task Name]]="","",IF(N(Tasks[[#This Row],[Baseline Start]])&gt;0,Tasks[[#This Row],[Baseline Start]],Tasks[[#This Row],[_CalcStart]]))</f>
        <v/>
      </c>
      <c r="AK197" s="31" t="str">
        <f aca="false">IF(Tasks[[#This Row],[Task Name]]="","",IF(N(Tasks[[#This Row],[Baseline Finish]])&gt;0,Tasks[[#This Row],[Baseline Finish]],Tasks[[#This Row],[_CalcFinish]]))</f>
        <v/>
      </c>
      <c r="AL197"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7" s="31" t="str">
        <f aca="false">IF(Tasks[[#This Row],[Task Name]]="","",IF(Tasks[[#This Row],[_IsSummary]],MIN(INDEX(Tasks[_LeafLateStart],Tasks[[#This Row],[_Row]]+1):INDEX(Tasks[_LeafLateStart],Tasks[[#This Row],[_Row]]+Tasks[[#This Row],[_Descendants]])),Tasks[[#This Row],[_LeafLateStart]]))</f>
        <v/>
      </c>
      <c r="AN197" s="31" t="str">
        <f aca="false">IF(Tasks[[#This Row],[Task Name]]="","",IF(Tasks[[#This Row],[_IsSummary]],MAX(INDEX(Tasks[_LeafLateFinish],Tasks[[#This Row],[_Row]]+1):INDEX(Tasks[_LeafLateFinish],Tasks[[#This Row],[_Row]]+Tasks[[#This Row],[_Descendants]])),Tasks[[#This Row],[_LeafLateFinish]]))</f>
        <v/>
      </c>
      <c r="AO197" s="51" t="str">
        <f aca="false">IF(Tasks[[#This Row],[Task Name]]="","",IF(Tasks[[#This Row],[_IsSummary]],MIN(INDEX(Tasks[_LeafTotalSlack],Tasks[[#This Row],[_Row]]+1):INDEX(Tasks[_LeafTotalSlack],Tasks[[#This Row],[_Row]]+Tasks[[#This Row],[_Descendants]])),Tasks[[#This Row],[_LeafTotalSlack]]))</f>
        <v/>
      </c>
      <c r="AP19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7" s="110" t="str">
        <f aca="false">IF(Tasks[[#This Row],[Task Name]]="","",IF(Tasks[[#This Row],[_IsSummary]],SUM(INDEX(Tasks[_LeafTotalWork],Tasks[[#This Row],[_Row]]+1):INDEX(Tasks[_LeafTotalWork],Tasks[[#This Row],[_Row]]+Tasks[[#This Row],[_Descendants]])),Tasks[[#This Row],[_LeafTotalWork]]))</f>
        <v/>
      </c>
      <c r="AV19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7" s="111" t="str">
        <f aca="false">IF(Tasks[[#This Row],[Task Name]]="","",IF(Tasks[[#This Row],[_IsSummary]],SUM(INDEX(Tasks[_LeafTotalCost],Tasks[[#This Row],[_Row]]+1):INDEX(Tasks[_LeafTotalCost],Tasks[[#This Row],[_Row]]+Tasks[[#This Row],[_Descendants]])),Tasks[[#This Row],[_LeafTotalCost]]))</f>
        <v/>
      </c>
      <c r="AY197" s="112"/>
      <c r="AZ19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7" s="52"/>
      <c r="BB197" s="98"/>
      <c r="BC197" s="51" t="str">
        <f aca="false">IF(OR(Tasks[[#This Row],[Task Name]]="",Tasks[[#This Row],[Baseline Duration]]=""),"",Tasks[[#This Row],[BL Source Duration]]-N(Tasks[[#This Row],[Baseline Duration]]))</f>
        <v/>
      </c>
      <c r="BD197" s="110" t="str">
        <f aca="false">IF(OR(Tasks[[#This Row],[Task Name]]="",Tasks[[#This Row],[Baseline Work]]=""),"",Tasks[[#This Row],[Work]]-N(Tasks[[#This Row],[Baseline Work]]))</f>
        <v/>
      </c>
      <c r="BE197" s="111" t="str">
        <f aca="false">IF(OR(Tasks[[#This Row],[Task Name]]="",Tasks[[#This Row],[Baseline Cost]]=""),"",Tasks[[#This Row],[Cost]]-N(Tasks[[#This Row],[Baseline Cost]]))</f>
        <v/>
      </c>
      <c r="BF197" s="31" t="str">
        <f aca="false">IF(Tasks[[#This Row],[Task Name]]="","",Tasks[[#This Row],[Forecast Start]])</f>
        <v/>
      </c>
      <c r="BG197" s="31" t="str">
        <f aca="false">IF(Tasks[[#This Row],[Task Name]]="","",Tasks[[#This Row],[Forecast Finish]])</f>
        <v/>
      </c>
      <c r="BH197" s="51" t="str">
        <f aca="false">IF(Tasks[[#This Row],[Task Name]]="","",IF(Tasks[[#This Row],[_IsSummary]],NETWORKDAYS.INTL(Tasks[[#This Row],[Forecast Start]],Tasks[[#This Row],[Forecast Finish]],WorkWeek,Holidays),N(Tasks[[#This Row],[Duration]])))</f>
        <v/>
      </c>
      <c r="BI197" s="110" t="str">
        <f aca="false">IF(Tasks[[#This Row],[Task Name]]="","",Tasks[[#This Row],[Work]])</f>
        <v/>
      </c>
      <c r="BJ197" s="111" t="str">
        <f aca="false">IF(Tasks[[#This Row],[Task Name]]="","",Tasks[[#This Row],[Cost]])</f>
        <v/>
      </c>
      <c r="BK197" s="7"/>
      <c r="BL197" s="7"/>
      <c r="BM197" s="52"/>
      <c r="BN197" s="113"/>
      <c r="BO197" s="112"/>
      <c r="BP197" s="111" t="str">
        <f aca="false">IF(Tasks[[#This Row],[Task Name]]="","",IF(Tasks[[#This Row],[_IsSummary]],SUM(INDEX(Tasks[_LeafEV],Tasks[[#This Row],[_Row]]+1):INDEX(Tasks[_LeafEV],Tasks[[#This Row],[_Row]]+Tasks[[#This Row],[_Descendants]])),Tasks[[#This Row],[_LeafEV]]))</f>
        <v/>
      </c>
      <c r="BQ197" s="111" t="str">
        <f aca="false">IF(Tasks[[#This Row],[Task Name]]="","",IF(Tasks[[#This Row],[_IsSummary]],SUM(INDEX(Tasks[_LeafBudget],Tasks[[#This Row],[_Row]]+1):INDEX(Tasks[_LeafBudget],Tasks[[#This Row],[_Row]]+Tasks[[#This Row],[_Descendants]])),Tasks[[#This Row],[_LeafBudget]]))</f>
        <v/>
      </c>
      <c r="BR197" s="111" t="str">
        <f aca="false">IF(Tasks[[#This Row],[Task Name]]="","",IF(Tasks[[#This Row],[_IsSummary]],SUM(INDEX(Tasks[_LeafPV],Tasks[[#This Row],[_Row]]+1):INDEX(Tasks[_LeafPV],Tasks[[#This Row],[_Row]]+Tasks[[#This Row],[_Descendants]])),Tasks[[#This Row],[_LeafPV]]))</f>
        <v/>
      </c>
      <c r="BS197" s="111" t="str">
        <f aca="false">IF(Tasks[[#This Row],[Task Name]]="","",IF(Tasks[[#This Row],[_IsSummary]],SUM(INDEX(Tasks[_LeafAC],Tasks[[#This Row],[_Row]]+1):INDEX(Tasks[_LeafAC],Tasks[[#This Row],[_Row]]+Tasks[[#This Row],[_Descendants]])),Tasks[[#This Row],[_LeafAC]]))</f>
        <v/>
      </c>
      <c r="BT197" s="38" t="str">
        <f aca="false">IF(Tasks[[#This Row],[Task Name]]="","",MAX(1,N(Tasks[[#This Row],[Level]])))</f>
        <v/>
      </c>
      <c r="BU197" s="38" t="n">
        <f aca="false">ROW()-ROW(Tasks[[#Headers],[ID]])</f>
        <v>192</v>
      </c>
      <c r="BV197" s="38" t="n">
        <f aca="false">IF(OR(Tasks[[#This Row],[Task Name]]="",Tasks[[#This Row],[_Level]]&lt;=1),0,IFERROR(LOOKUP(2,1/(Tasks[[#Headers],[_Level]]:Tasks[[#This Row],[_Level]]=Tasks[[#This Row],[_Level]]-1),ROW(Tasks[[#Headers],[_Level]]:Tasks[[#This Row],[_Level]])),0))</f>
        <v>0</v>
      </c>
      <c r="BW197" s="38" t="n">
        <f aca="false">IFERROR(N(INDEX(Tasks[_Level],Tasks[[#This Row],[_Row]]+1)),0)</f>
        <v>0</v>
      </c>
      <c r="BX197" s="114" t="b">
        <f aca="false">AND(Tasks[[#This Row],[Task Name]]&lt;&gt;"",Tasks[[#This Row],[_NextLevel]]&gt;Tasks[[#This Row],[_Level]])</f>
        <v>0</v>
      </c>
      <c r="BY197" s="38" t="n">
        <f aca="false">IF(Tasks[[#This Row],[_IsSummary]],COUNTIF(Tasks[WBS],Tasks[[#This Row],[WBS]]&amp;".*"),0)</f>
        <v>0</v>
      </c>
      <c r="BZ197" s="38" t="n">
        <f aca="false">IF(AND(Tasks[[#This Row],[Task Name]]&lt;&gt;"",NOT(Tasks[[#This Row],[_IsSummary]])),1,0)</f>
        <v>0</v>
      </c>
      <c r="CA197" s="38" t="n">
        <f aca="false">IF(N(Tasks[[#This Row],[Pred1 UID]])=0,0,IFERROR(MATCH(Tasks[[#This Row],[Pred1 UID]],Tasks[UID],0),-1))</f>
        <v>0</v>
      </c>
      <c r="CB197" s="38" t="n">
        <f aca="false">IF(N(Tasks[[#This Row],[Pred2 UID]])=0,0,IFERROR(MATCH(Tasks[[#This Row],[Pred2 UID]],Tasks[UID],0),-1))</f>
        <v>0</v>
      </c>
      <c r="CC197" s="38" t="n">
        <f aca="false">IF(N(Tasks[[#This Row],[Pred3 UID]])=0,0,IFERROR(MATCH(Tasks[[#This Row],[Pred3 UID]],Tasks[UID],0),-1))</f>
        <v>0</v>
      </c>
      <c r="CD197" s="38" t="n">
        <f aca="false">IF(N(Tasks[[#This Row],[Pred4 UID]])=0,0,IFERROR(MATCH(Tasks[[#This Row],[Pred4 UID]],Tasks[UID],0),-1))</f>
        <v>0</v>
      </c>
      <c r="CE19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7" s="115" t="n">
        <f aca="false">IF(OR(Tasks[[#This Row],[_ConstraintCode]]=2,Tasks[[#This Row],[_ConstraintCode]]=3,Tasks[[#This Row],[_ConstraintCode]]=4,Tasks[[#This Row],[_ConstraintCode]]=6),Tasks[[#This Row],[_ConstraintStart]],0)</f>
        <v>0</v>
      </c>
      <c r="CH197" s="115" t="n">
        <f aca="false">IF(OR(Tasks[[#This Row],[_ConstraintCode]]=2,Tasks[[#This Row],[_ConstraintCode]]=3,Tasks[[#This Row],[_ConstraintCode]]=5,Tasks[[#This Row],[_ConstraintCode]]=7),Tasks[[#This Row],[_ConstraintStart]],2958465)</f>
        <v>2958465</v>
      </c>
      <c r="CI19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7" s="115" t="str">
        <f aca="false">IF(NOT(Tasks[[#This Row],[_IsLeaf]]=1),"",IF(N(Tasks[[#This Row],[Duration]])&lt;=0,Tasks[[#This Row],[_LeafCalcStart]],WORKDAY.INTL(Tasks[[#This Row],[_LeafCalcStart]],Tasks[[#This Row],[Duration]]-1,WorkWeek,Holidays)))</f>
        <v/>
      </c>
      <c r="CK19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7" s="38" t="n">
        <f aca="false">IF(NOT(Tasks[[#This Row],[_IsLeaf]]=1),0,IF(N(Tasks[[#This Row],[Actual Finish]])&gt;0,1,MIN(1,N(Tasks[[#This Row],[% Complete]]))))</f>
        <v>0</v>
      </c>
      <c r="CN197" s="38" t="n">
        <f aca="false">IF(OR(NOT(Tasks[[#This Row],[_IsLeaf]]=1),Tasks[[#This Row],[Resource]]=""),0,N(Tasks[[#This Row],[Duration]])*HoursPerDay*IF(Tasks[[#This Row],[Units]]="",DefaultUnits,Tasks[[#This Row],[Units]]))</f>
        <v>0</v>
      </c>
      <c r="CO197" s="38" t="n">
        <f aca="false">IF(Tasks[[#This Row],[_LeafWork]]=0,0,Tasks[[#This Row],[_LeafWork]]*IFERROR(INDEX(res_Rate,MATCH(Tasks[[#This Row],[Resource]],res_Name,0)),0))</f>
        <v>0</v>
      </c>
      <c r="CP197" s="38" t="n">
        <f aca="false">Tasks[[#This Row],[_LeafWork]]+IF(Tasks[[#This Row],[_IsLeaf]]=1,SUMIFS(asg_Work,asg_TaskUID,Tasks[[#This Row],[UID]],asg_Valid,1),0)</f>
        <v>0</v>
      </c>
      <c r="CQ197" s="38" t="n">
        <f aca="false">Tasks[[#This Row],[_LeafCost]]+IF(Tasks[[#This Row],[_IsLeaf]]=1,SUMIFS(asg_Cost,asg_TaskUID,Tasks[[#This Row],[UID]],asg_Valid,1),0)</f>
        <v>0</v>
      </c>
      <c r="CR197" s="38" t="n">
        <f aca="false">IF(Tasks[[#This Row],[_LeafTotalCost]]=0,Tasks[[#This Row],[_LeafAC]],Tasks[[#This Row],[_LeafAC]]*Tasks[[#This Row],[_LeafCost]]/Tasks[[#This Row],[_LeafTotalCost]])</f>
        <v>0</v>
      </c>
      <c r="CS19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7" s="38" t="n">
        <f aca="false">IF(NOT(Tasks[[#This Row],[_IsLeaf]]=1),0,MAX(_xlfn.MAXIFS(Tasks[_Row],Tasks[Pred1 UID],Tasks[[#This Row],[UID]]),_xlfn.MAXIFS(Tasks[_Row],Tasks[Pred2 UID],Tasks[[#This Row],[UID]]),_xlfn.MAXIFS(Tasks[_Row],Tasks[Pred3 UID],Tasks[[#This Row],[UID]]),_xlfn.MAXIFS(Tasks[_Row],Tasks[Pred4 UID],Tasks[[#This Row],[UID]])))</f>
        <v>0</v>
      </c>
      <c r="DB19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7" s="115" t="str">
        <f aca="false">IF(NOT(Tasks[[#This Row],[_IsLeaf]]=1),"",IF(N(Tasks[[#This Row],[Duration]])&lt;=0,Tasks[[#This Row],[_LeafLateFinish]],WORKDAY.INTL(Tasks[[#This Row],[_LeafLateFinish]],-(Tasks[[#This Row],[Duration]]-1),WorkWeek,Holidays)))</f>
        <v/>
      </c>
      <c r="DE19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7" s="114" t="b">
        <f aca="false">AND(Tasks[[#This Row],[_IsLeaf]]=1,Tasks[[#This Row],[_LeafProgress]]&lt;1,N(Tasks[[#This Row],[_LeafTotalSlack]])&lt;=CriticalSlackDays)</f>
        <v>0</v>
      </c>
      <c r="DG197" s="38" t="n">
        <f aca="false">IF(AND(Tasks[[#This Row],[_IsLeaf]]=1,Tasks[[#This Row],[_ConstraintCode]]=1,Tasks[[#This Row],[Mode]]&lt;&gt;"Manual",N(Tasks[[#This Row],[Actual Start]])=0),MAX(0,N(Tasks[[#This Row],[Free Slack]])),0)</f>
        <v>0</v>
      </c>
      <c r="DH197" s="115" t="str">
        <f aca="false">IF(NOT(Tasks[[#This Row],[_IsLeaf]]=1),"",IF(Tasks[[#This Row],[_AlapShift]]=0,Tasks[[#This Row],[_LeafCalcStart]],WORKDAY.INTL(Tasks[[#This Row],[_LeafCalcStart]],Tasks[[#This Row],[_AlapShift]],WorkWeek,Holidays)))</f>
        <v/>
      </c>
      <c r="DI197" s="115" t="str">
        <f aca="false">IF(NOT(Tasks[[#This Row],[_IsLeaf]]=1),"",IF(Tasks[[#This Row],[_AlapShift]]=0,Tasks[[#This Row],[_LeafCalcFinish]],WORKDAY.INTL(Tasks[[#This Row],[_LeafCalcFinish]],Tasks[[#This Row],[_AlapShift]],WorkWeek,Holidays)))</f>
        <v/>
      </c>
      <c r="DJ197" s="115" t="str">
        <f aca="false">IF(NOT(Tasks[[#This Row],[_IsLeaf]]=1),"",IF(Tasks[[#This Row],[_AlapShift]]=0,Tasks[[#This Row],[_LeafFcstStart]],WORKDAY.INTL(Tasks[[#This Row],[_LeafFcstStart]],Tasks[[#This Row],[_AlapShift]],WorkWeek,Holidays)))</f>
        <v/>
      </c>
      <c r="DK197" s="115" t="str">
        <f aca="false">IF(NOT(Tasks[[#This Row],[_IsLeaf]]=1),"",IF(Tasks[[#This Row],[_AlapShift]]=0,Tasks[[#This Row],[_LeafFcstFinish]],WORKDAY.INTL(Tasks[[#This Row],[_LeafFcstFinish]],Tasks[[#This Row],[_AlapShift]],WorkWeek,Holidays)))</f>
        <v/>
      </c>
      <c r="DL197" s="115" t="str">
        <f aca="false">IF(Tasks[[#This Row],[Task Name]]="","",IF(Tasks[[#This Row],[_IsSummary]],MIN(INDEX(Tasks[_ShownCalcStart],Tasks[[#This Row],[_Row]]+1):INDEX(Tasks[_ShownCalcStart],Tasks[[#This Row],[_Row]]+Tasks[[#This Row],[_Descendants]])),Tasks[[#This Row],[_ShownCalcStart]]))</f>
        <v/>
      </c>
      <c r="DM197" s="115" t="str">
        <f aca="false">IF(Tasks[[#This Row],[Task Name]]="","",IF(Tasks[[#This Row],[_IsSummary]],MAX(INDEX(Tasks[_ShownCalcFinish],Tasks[[#This Row],[_Row]]+1):INDEX(Tasks[_ShownCalcFinish],Tasks[[#This Row],[_Row]]+Tasks[[#This Row],[_Descendants]])),Tasks[[#This Row],[_ShownCalcFinish]]))</f>
        <v/>
      </c>
      <c r="DN19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7" s="38" t="n">
        <f aca="false">IF(AND(Tasks[[#This Row],[_IsLeaf]]=1,Tasks[[#This Row],[_LeafTotalWork]]&gt;0),NETWORKDAYS.INTL(ProjectStart,Tasks[[#This Row],[_ShownFcstStart]],WorkWeek,Holidays),0)</f>
        <v>0</v>
      </c>
      <c r="EA197" s="38" t="n">
        <f aca="false">IF(AND(Tasks[[#This Row],[_IsLeaf]]=1,Tasks[[#This Row],[_LeafTotalWork]]&gt;0),MAX(Tasks[[#This Row],[_StartWorkday]],NETWORKDAYS.INTL(ProjectStart,Tasks[[#This Row],[_ShownFcstFinish]],WorkWeek,Holidays)),0)</f>
        <v>0</v>
      </c>
      <c r="EB197" s="38" t="n">
        <f aca="false">IF(AND(Tasks[[#This Row],[_IsLeaf]]=1,Tasks[[#This Row],[_LeafTotalWork]]&gt;0),Tasks[[#This Row],[_LeafWork]]/(Tasks[[#This Row],[_FinishWorkday]]-Tasks[[#This Row],[_StartWorkday]]+1),0)</f>
        <v>0</v>
      </c>
      <c r="EC197" s="38" t="n">
        <f aca="false">Tasks[[#This Row],[_WorkPerWorkday]]*(Tasks[[#This Row],[_StartWorkday]]-1)</f>
        <v>-0</v>
      </c>
      <c r="ED197" s="38" t="n">
        <f aca="false">IF(Tasks[[#This Row],[_IsLeaf]]=1,MAX(N(Tasks[[#This Row],[Duration]]),0.1),0)</f>
        <v>0</v>
      </c>
      <c r="EE197" s="38" t="n">
        <f aca="false">Tasks[[#This Row],[_WeightDur]]*Tasks[[#This Row],[_LeafProgress]]</f>
        <v>0</v>
      </c>
      <c r="EF19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7" s="38" t="str">
        <f aca="false">IF(AND(Tasks[[#This Row],[_IsLeaf]]=1,N(Tasks[[#This Row],[Duration]])=0,Tasks[[#This Row],[_LeafProgress]]&lt;1),Tasks[[#This Row],[_ShownFcstFinish]]+Tasks[[#This Row],[_Row]]/100000,"")</f>
        <v/>
      </c>
      <c r="EH19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7" s="38" t="n">
        <f aca="false">IF(NOT(Tasks[[#This Row],[_IsLeaf]]=1),0,IF(Tasks[[#This Row],[Baseline Cost]]="",Tasks[[#This Row],[_LeafTotalCost]],N(Tasks[[#This Row],[Baseline Cost]])))</f>
        <v>0</v>
      </c>
      <c r="EJ197" s="38" t="n">
        <f aca="false">Tasks[[#This Row],[_LeafBudget]]*Tasks[[#This Row],[_PlannedPct]]</f>
        <v>0</v>
      </c>
      <c r="EK197" s="38" t="n">
        <f aca="false">Tasks[[#This Row],[_LeafBudget]]*Tasks[[#This Row],[_LeafProgress]]</f>
        <v>0</v>
      </c>
      <c r="EL197" s="38" t="n">
        <f aca="false">IF(NOT(Tasks[[#This Row],[_IsLeaf]]=1),0,IF(Tasks[[#This Row],[Actual Cost]]="",Tasks[[#This Row],[_LeafTotalCost]]*Tasks[[#This Row],[_LeafProgress]],N(Tasks[[#This Row],[Actual Cost]])))</f>
        <v>0</v>
      </c>
      <c r="EM197" s="38" t="str">
        <f aca="false">IF(Tasks[[#This Row],[Task Name]]="","",LEFT(Tasks[[#This Row],[WBS]],FIND(".",Tasks[[#This Row],[WBS]]&amp;".")-1))</f>
        <v/>
      </c>
      <c r="EN197" s="38" t="str">
        <f aca="false">IF(AND(Tasks[[#This Row],[Task Name]]&lt;&gt;"",Tasks[[#This Row],[_Level]]=1),Tasks[[#This Row],[_Row]],"")</f>
        <v/>
      </c>
      <c r="EO197" s="38" t="str">
        <f aca="false">IF(AND(Tasks[[#This Row],[_IsLeaf]]=1,N(Tasks[[#This Row],[Duration]])=0),Tasks[[#This Row],[Planned Finish]]+Tasks[[#This Row],[_Row]]/100000,"")</f>
        <v/>
      </c>
      <c r="EP197" s="38" t="str">
        <f aca="false">IF(AND(Tasks[[#This Row],[_IsLeaf]]=1,Tasks[[#This Row],[_LeafProgress]]&lt;1,OR(N(Tasks[[#This Row],[Finish Var]])&gt;0,Tasks[[#This Row],[Status]]="Late Start")),MAX(0,Tasks[[#This Row],[Finish Var]])+1-Tasks[[#This Row],[_Row]]/1000000,"")</f>
        <v/>
      </c>
      <c r="EQ197" s="38" t="str">
        <f aca="false">IF(AND(Tasks[[#This Row],[_IsLeaf]]=1,N(Tasks[[#This Row],[Actual Start]])=0,Tasks[[#This Row],[_ShownFcstStart]]&gt;=StatusDate,Tasks[[#This Row],[_ShownFcstStart]]&lt;=LookaheadEnd),Tasks[[#This Row],[_ShownFcstStart]]+Tasks[[#This Row],[_Row]]/100000,"")</f>
        <v/>
      </c>
      <c r="ER197" s="38" t="str">
        <f aca="false">IF(AND(Tasks[[#This Row],[_IsLeaf]]=1,Tasks[[#This Row],[_LeafProgress]]&lt;1,Tasks[[#This Row],[_ShownFcstFinish]]&gt;=StatusDate,Tasks[[#This Row],[_ShownFcstFinish]]&lt;=LookaheadEnd),Tasks[[#This Row],[_ShownFcstFinish]]+Tasks[[#This Row],[_Row]]/100000,"")</f>
        <v/>
      </c>
      <c r="ES197" s="38" t="str">
        <f aca="false">IF(Tasks[[#This Row],[_LeafCritical]],Tasks[[#This Row],[_ShownFcstStart]]+Tasks[[#This Row],[_Row]]/100000,"")</f>
        <v/>
      </c>
      <c r="ET197" s="38" t="n">
        <f aca="false">Tasks[[#This Row],[_LeafWork]]*Tasks[[#This Row],[_LeafProgress]]</f>
        <v>0</v>
      </c>
      <c r="EU197" s="115" t="str">
        <f aca="false">IF(AND(Tasks[[#This Row],[_IsLeaf]]=1,Tasks[[#This Row],[_LeafProgress]]&gt;=1),IF(N(Tasks[[#This Row],[Actual Finish]])&gt;0,Tasks[[#This Row],[Actual Finish]],Tasks[[#This Row],[_ShownFcstFinish]]),"")</f>
        <v/>
      </c>
      <c r="EV197" s="38" t="n">
        <f aca="false">IF(Tasks[[#This Row],[_IsLeaf]]=1,N(Tasks[[#This Row],[Story Points]]),0)</f>
        <v>0</v>
      </c>
      <c r="EW197" s="38" t="str">
        <f aca="false">IF(AND(Tasks[[#This Row],[_IsLeaf]]=1,CurrentSprint&lt;&gt;"",Tasks[[#This Row],[Sprint]]=CurrentSprint),Tasks[[#This Row],[_Row]],"")</f>
        <v/>
      </c>
    </row>
    <row r="198" customFormat="false" ht="15" hidden="false" customHeight="false" outlineLevel="0" collapsed="false">
      <c r="A198" s="51" t="str">
        <f aca="false">IF(Tasks[[#This Row],[Task Name]]="","",COUNTA(Tasks[[#Headers],[Task Name]]:Tasks[[#This Row],[Task Name]])-1)</f>
        <v/>
      </c>
      <c r="B198" s="52" t="n">
        <v>193</v>
      </c>
      <c r="C19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52"/>
      <c r="E198" s="53"/>
      <c r="F198" s="52"/>
      <c r="G198" s="52"/>
      <c r="H198" s="52"/>
      <c r="I198" s="52"/>
      <c r="J198" s="52"/>
      <c r="K198" s="52"/>
      <c r="L198" s="52"/>
      <c r="M198" s="52"/>
      <c r="N198" s="52"/>
      <c r="O198" s="52"/>
      <c r="P198" s="52"/>
      <c r="Q198" s="52"/>
      <c r="R198" s="52"/>
      <c r="S198" s="53"/>
      <c r="T198" s="102"/>
      <c r="U198" s="102"/>
      <c r="V198" s="7"/>
      <c r="W198" s="7"/>
      <c r="X198" s="53"/>
      <c r="Y198" s="31" t="str">
        <f aca="false">IF(Tasks[[#This Row],[Task Name]]="","",IF(Tasks[[#This Row],[_IsSummary]],MIN(INDEX(Tasks[_ShownFcstStart],Tasks[[#This Row],[_Row]]+1):INDEX(Tasks[_ShownFcstStart],Tasks[[#This Row],[_Row]]+Tasks[[#This Row],[_Descendants]])),Tasks[[#This Row],[_ShownFcstStart]]))</f>
        <v/>
      </c>
      <c r="Z198" s="31" t="str">
        <f aca="false">IF(Tasks[[#This Row],[Task Name]]="","",IF(Tasks[[#This Row],[_IsSummary]],MAX(INDEX(Tasks[_ShownFcstFinish],Tasks[[#This Row],[_Row]]+1):INDEX(Tasks[_ShownFcstFinish],Tasks[[#This Row],[_Row]]+Tasks[[#This Row],[_Descendants]])),Tasks[[#This Row],[_ShownFcstFinish]]))</f>
        <v/>
      </c>
      <c r="AA198" s="51" t="str">
        <f aca="false">IF(Tasks[[#This Row],[Task Name]]="","",IF(Tasks[[#This Row],[Progress]]&gt;=1,"Complete",IF(OR(N(Tasks[[#This Row],[Actual Start]])&gt;0,Tasks[[#This Row],[Progress]]&gt;0),IF(Tasks[[#This Row],[Finish Var]]&gt;0,"Behind","In Progress"),IF(Tasks[[#This Row],[Planned Start]]&lt;StatusDate,"Late Start","Not Started"))))</f>
        <v/>
      </c>
      <c r="AB198" s="51" t="str">
        <f aca="false">IF(Tasks[[#This Row],[Task Name]]="","",IF(IF(Tasks[[#This Row],[_IsSummary]],COUNTIF(INDEX(Tasks[_LeafCritical],Tasks[[#This Row],[_Row]]+1):INDEX(Tasks[_LeafCritical],Tasks[[#This Row],[_Row]]+Tasks[[#This Row],[_Descendants]]),TRUE())&gt;0,Tasks[[#This Row],[_LeafCritical]]),"Yes",""))</f>
        <v/>
      </c>
      <c r="AC19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8" s="51" t="str">
        <f aca="false">IF(Tasks[[#This Row],[Task Name]]="","",IF(Tasks[[#This Row],[_Level]]&lt;=OutlineShowLevel,"Yes","No"))</f>
        <v/>
      </c>
      <c r="AE198" s="7"/>
      <c r="AF198" s="52"/>
      <c r="AG198" s="53"/>
      <c r="AH198" s="7"/>
      <c r="AI198"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8" s="31" t="str">
        <f aca="false">IF(Tasks[[#This Row],[Task Name]]="","",IF(N(Tasks[[#This Row],[Baseline Start]])&gt;0,Tasks[[#This Row],[Baseline Start]],Tasks[[#This Row],[_CalcStart]]))</f>
        <v/>
      </c>
      <c r="AK198" s="31" t="str">
        <f aca="false">IF(Tasks[[#This Row],[Task Name]]="","",IF(N(Tasks[[#This Row],[Baseline Finish]])&gt;0,Tasks[[#This Row],[Baseline Finish]],Tasks[[#This Row],[_CalcFinish]]))</f>
        <v/>
      </c>
      <c r="AL198"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8" s="31" t="str">
        <f aca="false">IF(Tasks[[#This Row],[Task Name]]="","",IF(Tasks[[#This Row],[_IsSummary]],MIN(INDEX(Tasks[_LeafLateStart],Tasks[[#This Row],[_Row]]+1):INDEX(Tasks[_LeafLateStart],Tasks[[#This Row],[_Row]]+Tasks[[#This Row],[_Descendants]])),Tasks[[#This Row],[_LeafLateStart]]))</f>
        <v/>
      </c>
      <c r="AN198" s="31" t="str">
        <f aca="false">IF(Tasks[[#This Row],[Task Name]]="","",IF(Tasks[[#This Row],[_IsSummary]],MAX(INDEX(Tasks[_LeafLateFinish],Tasks[[#This Row],[_Row]]+1):INDEX(Tasks[_LeafLateFinish],Tasks[[#This Row],[_Row]]+Tasks[[#This Row],[_Descendants]])),Tasks[[#This Row],[_LeafLateFinish]]))</f>
        <v/>
      </c>
      <c r="AO198" s="51" t="str">
        <f aca="false">IF(Tasks[[#This Row],[Task Name]]="","",IF(Tasks[[#This Row],[_IsSummary]],MIN(INDEX(Tasks[_LeafTotalSlack],Tasks[[#This Row],[_Row]]+1):INDEX(Tasks[_LeafTotalSlack],Tasks[[#This Row],[_Row]]+Tasks[[#This Row],[_Descendants]])),Tasks[[#This Row],[_LeafTotalSlack]]))</f>
        <v/>
      </c>
      <c r="AP19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8" s="110" t="str">
        <f aca="false">IF(Tasks[[#This Row],[Task Name]]="","",IF(Tasks[[#This Row],[_IsSummary]],SUM(INDEX(Tasks[_LeafTotalWork],Tasks[[#This Row],[_Row]]+1):INDEX(Tasks[_LeafTotalWork],Tasks[[#This Row],[_Row]]+Tasks[[#This Row],[_Descendants]])),Tasks[[#This Row],[_LeafTotalWork]]))</f>
        <v/>
      </c>
      <c r="AV19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8" s="111" t="str">
        <f aca="false">IF(Tasks[[#This Row],[Task Name]]="","",IF(Tasks[[#This Row],[_IsSummary]],SUM(INDEX(Tasks[_LeafTotalCost],Tasks[[#This Row],[_Row]]+1):INDEX(Tasks[_LeafTotalCost],Tasks[[#This Row],[_Row]]+Tasks[[#This Row],[_Descendants]])),Tasks[[#This Row],[_LeafTotalCost]]))</f>
        <v/>
      </c>
      <c r="AY198" s="112"/>
      <c r="AZ19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8" s="52"/>
      <c r="BB198" s="98"/>
      <c r="BC198" s="51" t="str">
        <f aca="false">IF(OR(Tasks[[#This Row],[Task Name]]="",Tasks[[#This Row],[Baseline Duration]]=""),"",Tasks[[#This Row],[BL Source Duration]]-N(Tasks[[#This Row],[Baseline Duration]]))</f>
        <v/>
      </c>
      <c r="BD198" s="110" t="str">
        <f aca="false">IF(OR(Tasks[[#This Row],[Task Name]]="",Tasks[[#This Row],[Baseline Work]]=""),"",Tasks[[#This Row],[Work]]-N(Tasks[[#This Row],[Baseline Work]]))</f>
        <v/>
      </c>
      <c r="BE198" s="111" t="str">
        <f aca="false">IF(OR(Tasks[[#This Row],[Task Name]]="",Tasks[[#This Row],[Baseline Cost]]=""),"",Tasks[[#This Row],[Cost]]-N(Tasks[[#This Row],[Baseline Cost]]))</f>
        <v/>
      </c>
      <c r="BF198" s="31" t="str">
        <f aca="false">IF(Tasks[[#This Row],[Task Name]]="","",Tasks[[#This Row],[Forecast Start]])</f>
        <v/>
      </c>
      <c r="BG198" s="31" t="str">
        <f aca="false">IF(Tasks[[#This Row],[Task Name]]="","",Tasks[[#This Row],[Forecast Finish]])</f>
        <v/>
      </c>
      <c r="BH198" s="51" t="str">
        <f aca="false">IF(Tasks[[#This Row],[Task Name]]="","",IF(Tasks[[#This Row],[_IsSummary]],NETWORKDAYS.INTL(Tasks[[#This Row],[Forecast Start]],Tasks[[#This Row],[Forecast Finish]],WorkWeek,Holidays),N(Tasks[[#This Row],[Duration]])))</f>
        <v/>
      </c>
      <c r="BI198" s="110" t="str">
        <f aca="false">IF(Tasks[[#This Row],[Task Name]]="","",Tasks[[#This Row],[Work]])</f>
        <v/>
      </c>
      <c r="BJ198" s="111" t="str">
        <f aca="false">IF(Tasks[[#This Row],[Task Name]]="","",Tasks[[#This Row],[Cost]])</f>
        <v/>
      </c>
      <c r="BK198" s="7"/>
      <c r="BL198" s="7"/>
      <c r="BM198" s="52"/>
      <c r="BN198" s="113"/>
      <c r="BO198" s="112"/>
      <c r="BP198" s="111" t="str">
        <f aca="false">IF(Tasks[[#This Row],[Task Name]]="","",IF(Tasks[[#This Row],[_IsSummary]],SUM(INDEX(Tasks[_LeafEV],Tasks[[#This Row],[_Row]]+1):INDEX(Tasks[_LeafEV],Tasks[[#This Row],[_Row]]+Tasks[[#This Row],[_Descendants]])),Tasks[[#This Row],[_LeafEV]]))</f>
        <v/>
      </c>
      <c r="BQ198" s="111" t="str">
        <f aca="false">IF(Tasks[[#This Row],[Task Name]]="","",IF(Tasks[[#This Row],[_IsSummary]],SUM(INDEX(Tasks[_LeafBudget],Tasks[[#This Row],[_Row]]+1):INDEX(Tasks[_LeafBudget],Tasks[[#This Row],[_Row]]+Tasks[[#This Row],[_Descendants]])),Tasks[[#This Row],[_LeafBudget]]))</f>
        <v/>
      </c>
      <c r="BR198" s="111" t="str">
        <f aca="false">IF(Tasks[[#This Row],[Task Name]]="","",IF(Tasks[[#This Row],[_IsSummary]],SUM(INDEX(Tasks[_LeafPV],Tasks[[#This Row],[_Row]]+1):INDEX(Tasks[_LeafPV],Tasks[[#This Row],[_Row]]+Tasks[[#This Row],[_Descendants]])),Tasks[[#This Row],[_LeafPV]]))</f>
        <v/>
      </c>
      <c r="BS198" s="111" t="str">
        <f aca="false">IF(Tasks[[#This Row],[Task Name]]="","",IF(Tasks[[#This Row],[_IsSummary]],SUM(INDEX(Tasks[_LeafAC],Tasks[[#This Row],[_Row]]+1):INDEX(Tasks[_LeafAC],Tasks[[#This Row],[_Row]]+Tasks[[#This Row],[_Descendants]])),Tasks[[#This Row],[_LeafAC]]))</f>
        <v/>
      </c>
      <c r="BT198" s="38" t="str">
        <f aca="false">IF(Tasks[[#This Row],[Task Name]]="","",MAX(1,N(Tasks[[#This Row],[Level]])))</f>
        <v/>
      </c>
      <c r="BU198" s="38" t="n">
        <f aca="false">ROW()-ROW(Tasks[[#Headers],[ID]])</f>
        <v>193</v>
      </c>
      <c r="BV198" s="38" t="n">
        <f aca="false">IF(OR(Tasks[[#This Row],[Task Name]]="",Tasks[[#This Row],[_Level]]&lt;=1),0,IFERROR(LOOKUP(2,1/(Tasks[[#Headers],[_Level]]:Tasks[[#This Row],[_Level]]=Tasks[[#This Row],[_Level]]-1),ROW(Tasks[[#Headers],[_Level]]:Tasks[[#This Row],[_Level]])),0))</f>
        <v>0</v>
      </c>
      <c r="BW198" s="38" t="n">
        <f aca="false">IFERROR(N(INDEX(Tasks[_Level],Tasks[[#This Row],[_Row]]+1)),0)</f>
        <v>0</v>
      </c>
      <c r="BX198" s="114" t="b">
        <f aca="false">AND(Tasks[[#This Row],[Task Name]]&lt;&gt;"",Tasks[[#This Row],[_NextLevel]]&gt;Tasks[[#This Row],[_Level]])</f>
        <v>0</v>
      </c>
      <c r="BY198" s="38" t="n">
        <f aca="false">IF(Tasks[[#This Row],[_IsSummary]],COUNTIF(Tasks[WBS],Tasks[[#This Row],[WBS]]&amp;".*"),0)</f>
        <v>0</v>
      </c>
      <c r="BZ198" s="38" t="n">
        <f aca="false">IF(AND(Tasks[[#This Row],[Task Name]]&lt;&gt;"",NOT(Tasks[[#This Row],[_IsSummary]])),1,0)</f>
        <v>0</v>
      </c>
      <c r="CA198" s="38" t="n">
        <f aca="false">IF(N(Tasks[[#This Row],[Pred1 UID]])=0,0,IFERROR(MATCH(Tasks[[#This Row],[Pred1 UID]],Tasks[UID],0),-1))</f>
        <v>0</v>
      </c>
      <c r="CB198" s="38" t="n">
        <f aca="false">IF(N(Tasks[[#This Row],[Pred2 UID]])=0,0,IFERROR(MATCH(Tasks[[#This Row],[Pred2 UID]],Tasks[UID],0),-1))</f>
        <v>0</v>
      </c>
      <c r="CC198" s="38" t="n">
        <f aca="false">IF(N(Tasks[[#This Row],[Pred3 UID]])=0,0,IFERROR(MATCH(Tasks[[#This Row],[Pred3 UID]],Tasks[UID],0),-1))</f>
        <v>0</v>
      </c>
      <c r="CD198" s="38" t="n">
        <f aca="false">IF(N(Tasks[[#This Row],[Pred4 UID]])=0,0,IFERROR(MATCH(Tasks[[#This Row],[Pred4 UID]],Tasks[UID],0),-1))</f>
        <v>0</v>
      </c>
      <c r="CE19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8" s="115" t="n">
        <f aca="false">IF(OR(Tasks[[#This Row],[_ConstraintCode]]=2,Tasks[[#This Row],[_ConstraintCode]]=3,Tasks[[#This Row],[_ConstraintCode]]=4,Tasks[[#This Row],[_ConstraintCode]]=6),Tasks[[#This Row],[_ConstraintStart]],0)</f>
        <v>0</v>
      </c>
      <c r="CH198" s="115" t="n">
        <f aca="false">IF(OR(Tasks[[#This Row],[_ConstraintCode]]=2,Tasks[[#This Row],[_ConstraintCode]]=3,Tasks[[#This Row],[_ConstraintCode]]=5,Tasks[[#This Row],[_ConstraintCode]]=7),Tasks[[#This Row],[_ConstraintStart]],2958465)</f>
        <v>2958465</v>
      </c>
      <c r="CI19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8" s="115" t="str">
        <f aca="false">IF(NOT(Tasks[[#This Row],[_IsLeaf]]=1),"",IF(N(Tasks[[#This Row],[Duration]])&lt;=0,Tasks[[#This Row],[_LeafCalcStart]],WORKDAY.INTL(Tasks[[#This Row],[_LeafCalcStart]],Tasks[[#This Row],[Duration]]-1,WorkWeek,Holidays)))</f>
        <v/>
      </c>
      <c r="CK19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8" s="38" t="n">
        <f aca="false">IF(NOT(Tasks[[#This Row],[_IsLeaf]]=1),0,IF(N(Tasks[[#This Row],[Actual Finish]])&gt;0,1,MIN(1,N(Tasks[[#This Row],[% Complete]]))))</f>
        <v>0</v>
      </c>
      <c r="CN198" s="38" t="n">
        <f aca="false">IF(OR(NOT(Tasks[[#This Row],[_IsLeaf]]=1),Tasks[[#This Row],[Resource]]=""),0,N(Tasks[[#This Row],[Duration]])*HoursPerDay*IF(Tasks[[#This Row],[Units]]="",DefaultUnits,Tasks[[#This Row],[Units]]))</f>
        <v>0</v>
      </c>
      <c r="CO198" s="38" t="n">
        <f aca="false">IF(Tasks[[#This Row],[_LeafWork]]=0,0,Tasks[[#This Row],[_LeafWork]]*IFERROR(INDEX(res_Rate,MATCH(Tasks[[#This Row],[Resource]],res_Name,0)),0))</f>
        <v>0</v>
      </c>
      <c r="CP198" s="38" t="n">
        <f aca="false">Tasks[[#This Row],[_LeafWork]]+IF(Tasks[[#This Row],[_IsLeaf]]=1,SUMIFS(asg_Work,asg_TaskUID,Tasks[[#This Row],[UID]],asg_Valid,1),0)</f>
        <v>0</v>
      </c>
      <c r="CQ198" s="38" t="n">
        <f aca="false">Tasks[[#This Row],[_LeafCost]]+IF(Tasks[[#This Row],[_IsLeaf]]=1,SUMIFS(asg_Cost,asg_TaskUID,Tasks[[#This Row],[UID]],asg_Valid,1),0)</f>
        <v>0</v>
      </c>
      <c r="CR198" s="38" t="n">
        <f aca="false">IF(Tasks[[#This Row],[_LeafTotalCost]]=0,Tasks[[#This Row],[_LeafAC]],Tasks[[#This Row],[_LeafAC]]*Tasks[[#This Row],[_LeafCost]]/Tasks[[#This Row],[_LeafTotalCost]])</f>
        <v>0</v>
      </c>
      <c r="CS19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8" s="38" t="n">
        <f aca="false">IF(NOT(Tasks[[#This Row],[_IsLeaf]]=1),0,MAX(_xlfn.MAXIFS(Tasks[_Row],Tasks[Pred1 UID],Tasks[[#This Row],[UID]]),_xlfn.MAXIFS(Tasks[_Row],Tasks[Pred2 UID],Tasks[[#This Row],[UID]]),_xlfn.MAXIFS(Tasks[_Row],Tasks[Pred3 UID],Tasks[[#This Row],[UID]]),_xlfn.MAXIFS(Tasks[_Row],Tasks[Pred4 UID],Tasks[[#This Row],[UID]])))</f>
        <v>0</v>
      </c>
      <c r="DB19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8" s="115" t="str">
        <f aca="false">IF(NOT(Tasks[[#This Row],[_IsLeaf]]=1),"",IF(N(Tasks[[#This Row],[Duration]])&lt;=0,Tasks[[#This Row],[_LeafLateFinish]],WORKDAY.INTL(Tasks[[#This Row],[_LeafLateFinish]],-(Tasks[[#This Row],[Duration]]-1),WorkWeek,Holidays)))</f>
        <v/>
      </c>
      <c r="DE19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8" s="114" t="b">
        <f aca="false">AND(Tasks[[#This Row],[_IsLeaf]]=1,Tasks[[#This Row],[_LeafProgress]]&lt;1,N(Tasks[[#This Row],[_LeafTotalSlack]])&lt;=CriticalSlackDays)</f>
        <v>0</v>
      </c>
      <c r="DG198" s="38" t="n">
        <f aca="false">IF(AND(Tasks[[#This Row],[_IsLeaf]]=1,Tasks[[#This Row],[_ConstraintCode]]=1,Tasks[[#This Row],[Mode]]&lt;&gt;"Manual",N(Tasks[[#This Row],[Actual Start]])=0),MAX(0,N(Tasks[[#This Row],[Free Slack]])),0)</f>
        <v>0</v>
      </c>
      <c r="DH198" s="115" t="str">
        <f aca="false">IF(NOT(Tasks[[#This Row],[_IsLeaf]]=1),"",IF(Tasks[[#This Row],[_AlapShift]]=0,Tasks[[#This Row],[_LeafCalcStart]],WORKDAY.INTL(Tasks[[#This Row],[_LeafCalcStart]],Tasks[[#This Row],[_AlapShift]],WorkWeek,Holidays)))</f>
        <v/>
      </c>
      <c r="DI198" s="115" t="str">
        <f aca="false">IF(NOT(Tasks[[#This Row],[_IsLeaf]]=1),"",IF(Tasks[[#This Row],[_AlapShift]]=0,Tasks[[#This Row],[_LeafCalcFinish]],WORKDAY.INTL(Tasks[[#This Row],[_LeafCalcFinish]],Tasks[[#This Row],[_AlapShift]],WorkWeek,Holidays)))</f>
        <v/>
      </c>
      <c r="DJ198" s="115" t="str">
        <f aca="false">IF(NOT(Tasks[[#This Row],[_IsLeaf]]=1),"",IF(Tasks[[#This Row],[_AlapShift]]=0,Tasks[[#This Row],[_LeafFcstStart]],WORKDAY.INTL(Tasks[[#This Row],[_LeafFcstStart]],Tasks[[#This Row],[_AlapShift]],WorkWeek,Holidays)))</f>
        <v/>
      </c>
      <c r="DK198" s="115" t="str">
        <f aca="false">IF(NOT(Tasks[[#This Row],[_IsLeaf]]=1),"",IF(Tasks[[#This Row],[_AlapShift]]=0,Tasks[[#This Row],[_LeafFcstFinish]],WORKDAY.INTL(Tasks[[#This Row],[_LeafFcstFinish]],Tasks[[#This Row],[_AlapShift]],WorkWeek,Holidays)))</f>
        <v/>
      </c>
      <c r="DL198" s="115" t="str">
        <f aca="false">IF(Tasks[[#This Row],[Task Name]]="","",IF(Tasks[[#This Row],[_IsSummary]],MIN(INDEX(Tasks[_ShownCalcStart],Tasks[[#This Row],[_Row]]+1):INDEX(Tasks[_ShownCalcStart],Tasks[[#This Row],[_Row]]+Tasks[[#This Row],[_Descendants]])),Tasks[[#This Row],[_ShownCalcStart]]))</f>
        <v/>
      </c>
      <c r="DM198" s="115" t="str">
        <f aca="false">IF(Tasks[[#This Row],[Task Name]]="","",IF(Tasks[[#This Row],[_IsSummary]],MAX(INDEX(Tasks[_ShownCalcFinish],Tasks[[#This Row],[_Row]]+1):INDEX(Tasks[_ShownCalcFinish],Tasks[[#This Row],[_Row]]+Tasks[[#This Row],[_Descendants]])),Tasks[[#This Row],[_ShownCalcFinish]]))</f>
        <v/>
      </c>
      <c r="DN19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8" s="38" t="n">
        <f aca="false">IF(AND(Tasks[[#This Row],[_IsLeaf]]=1,Tasks[[#This Row],[_LeafTotalWork]]&gt;0),NETWORKDAYS.INTL(ProjectStart,Tasks[[#This Row],[_ShownFcstStart]],WorkWeek,Holidays),0)</f>
        <v>0</v>
      </c>
      <c r="EA198" s="38" t="n">
        <f aca="false">IF(AND(Tasks[[#This Row],[_IsLeaf]]=1,Tasks[[#This Row],[_LeafTotalWork]]&gt;0),MAX(Tasks[[#This Row],[_StartWorkday]],NETWORKDAYS.INTL(ProjectStart,Tasks[[#This Row],[_ShownFcstFinish]],WorkWeek,Holidays)),0)</f>
        <v>0</v>
      </c>
      <c r="EB198" s="38" t="n">
        <f aca="false">IF(AND(Tasks[[#This Row],[_IsLeaf]]=1,Tasks[[#This Row],[_LeafTotalWork]]&gt;0),Tasks[[#This Row],[_LeafWork]]/(Tasks[[#This Row],[_FinishWorkday]]-Tasks[[#This Row],[_StartWorkday]]+1),0)</f>
        <v>0</v>
      </c>
      <c r="EC198" s="38" t="n">
        <f aca="false">Tasks[[#This Row],[_WorkPerWorkday]]*(Tasks[[#This Row],[_StartWorkday]]-1)</f>
        <v>-0</v>
      </c>
      <c r="ED198" s="38" t="n">
        <f aca="false">IF(Tasks[[#This Row],[_IsLeaf]]=1,MAX(N(Tasks[[#This Row],[Duration]]),0.1),0)</f>
        <v>0</v>
      </c>
      <c r="EE198" s="38" t="n">
        <f aca="false">Tasks[[#This Row],[_WeightDur]]*Tasks[[#This Row],[_LeafProgress]]</f>
        <v>0</v>
      </c>
      <c r="EF19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8" s="38" t="str">
        <f aca="false">IF(AND(Tasks[[#This Row],[_IsLeaf]]=1,N(Tasks[[#This Row],[Duration]])=0,Tasks[[#This Row],[_LeafProgress]]&lt;1),Tasks[[#This Row],[_ShownFcstFinish]]+Tasks[[#This Row],[_Row]]/100000,"")</f>
        <v/>
      </c>
      <c r="EH19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8" s="38" t="n">
        <f aca="false">IF(NOT(Tasks[[#This Row],[_IsLeaf]]=1),0,IF(Tasks[[#This Row],[Baseline Cost]]="",Tasks[[#This Row],[_LeafTotalCost]],N(Tasks[[#This Row],[Baseline Cost]])))</f>
        <v>0</v>
      </c>
      <c r="EJ198" s="38" t="n">
        <f aca="false">Tasks[[#This Row],[_LeafBudget]]*Tasks[[#This Row],[_PlannedPct]]</f>
        <v>0</v>
      </c>
      <c r="EK198" s="38" t="n">
        <f aca="false">Tasks[[#This Row],[_LeafBudget]]*Tasks[[#This Row],[_LeafProgress]]</f>
        <v>0</v>
      </c>
      <c r="EL198" s="38" t="n">
        <f aca="false">IF(NOT(Tasks[[#This Row],[_IsLeaf]]=1),0,IF(Tasks[[#This Row],[Actual Cost]]="",Tasks[[#This Row],[_LeafTotalCost]]*Tasks[[#This Row],[_LeafProgress]],N(Tasks[[#This Row],[Actual Cost]])))</f>
        <v>0</v>
      </c>
      <c r="EM198" s="38" t="str">
        <f aca="false">IF(Tasks[[#This Row],[Task Name]]="","",LEFT(Tasks[[#This Row],[WBS]],FIND(".",Tasks[[#This Row],[WBS]]&amp;".")-1))</f>
        <v/>
      </c>
      <c r="EN198" s="38" t="str">
        <f aca="false">IF(AND(Tasks[[#This Row],[Task Name]]&lt;&gt;"",Tasks[[#This Row],[_Level]]=1),Tasks[[#This Row],[_Row]],"")</f>
        <v/>
      </c>
      <c r="EO198" s="38" t="str">
        <f aca="false">IF(AND(Tasks[[#This Row],[_IsLeaf]]=1,N(Tasks[[#This Row],[Duration]])=0),Tasks[[#This Row],[Planned Finish]]+Tasks[[#This Row],[_Row]]/100000,"")</f>
        <v/>
      </c>
      <c r="EP198" s="38" t="str">
        <f aca="false">IF(AND(Tasks[[#This Row],[_IsLeaf]]=1,Tasks[[#This Row],[_LeafProgress]]&lt;1,OR(N(Tasks[[#This Row],[Finish Var]])&gt;0,Tasks[[#This Row],[Status]]="Late Start")),MAX(0,Tasks[[#This Row],[Finish Var]])+1-Tasks[[#This Row],[_Row]]/1000000,"")</f>
        <v/>
      </c>
      <c r="EQ198" s="38" t="str">
        <f aca="false">IF(AND(Tasks[[#This Row],[_IsLeaf]]=1,N(Tasks[[#This Row],[Actual Start]])=0,Tasks[[#This Row],[_ShownFcstStart]]&gt;=StatusDate,Tasks[[#This Row],[_ShownFcstStart]]&lt;=LookaheadEnd),Tasks[[#This Row],[_ShownFcstStart]]+Tasks[[#This Row],[_Row]]/100000,"")</f>
        <v/>
      </c>
      <c r="ER198" s="38" t="str">
        <f aca="false">IF(AND(Tasks[[#This Row],[_IsLeaf]]=1,Tasks[[#This Row],[_LeafProgress]]&lt;1,Tasks[[#This Row],[_ShownFcstFinish]]&gt;=StatusDate,Tasks[[#This Row],[_ShownFcstFinish]]&lt;=LookaheadEnd),Tasks[[#This Row],[_ShownFcstFinish]]+Tasks[[#This Row],[_Row]]/100000,"")</f>
        <v/>
      </c>
      <c r="ES198" s="38" t="str">
        <f aca="false">IF(Tasks[[#This Row],[_LeafCritical]],Tasks[[#This Row],[_ShownFcstStart]]+Tasks[[#This Row],[_Row]]/100000,"")</f>
        <v/>
      </c>
      <c r="ET198" s="38" t="n">
        <f aca="false">Tasks[[#This Row],[_LeafWork]]*Tasks[[#This Row],[_LeafProgress]]</f>
        <v>0</v>
      </c>
      <c r="EU198" s="115" t="str">
        <f aca="false">IF(AND(Tasks[[#This Row],[_IsLeaf]]=1,Tasks[[#This Row],[_LeafProgress]]&gt;=1),IF(N(Tasks[[#This Row],[Actual Finish]])&gt;0,Tasks[[#This Row],[Actual Finish]],Tasks[[#This Row],[_ShownFcstFinish]]),"")</f>
        <v/>
      </c>
      <c r="EV198" s="38" t="n">
        <f aca="false">IF(Tasks[[#This Row],[_IsLeaf]]=1,N(Tasks[[#This Row],[Story Points]]),0)</f>
        <v>0</v>
      </c>
      <c r="EW198" s="38" t="str">
        <f aca="false">IF(AND(Tasks[[#This Row],[_IsLeaf]]=1,CurrentSprint&lt;&gt;"",Tasks[[#This Row],[Sprint]]=CurrentSprint),Tasks[[#This Row],[_Row]],"")</f>
        <v/>
      </c>
    </row>
    <row r="199" customFormat="false" ht="15" hidden="false" customHeight="false" outlineLevel="0" collapsed="false">
      <c r="A199" s="51" t="str">
        <f aca="false">IF(Tasks[[#This Row],[Task Name]]="","",COUNTA(Tasks[[#Headers],[Task Name]]:Tasks[[#This Row],[Task Name]])-1)</f>
        <v/>
      </c>
      <c r="B199" s="52" t="n">
        <v>194</v>
      </c>
      <c r="C19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52"/>
      <c r="E199" s="53"/>
      <c r="F199" s="52"/>
      <c r="G199" s="52"/>
      <c r="H199" s="52"/>
      <c r="I199" s="52"/>
      <c r="J199" s="52"/>
      <c r="K199" s="52"/>
      <c r="L199" s="52"/>
      <c r="M199" s="52"/>
      <c r="N199" s="52"/>
      <c r="O199" s="52"/>
      <c r="P199" s="52"/>
      <c r="Q199" s="52"/>
      <c r="R199" s="52"/>
      <c r="S199" s="53"/>
      <c r="T199" s="102"/>
      <c r="U199" s="102"/>
      <c r="V199" s="7"/>
      <c r="W199" s="7"/>
      <c r="X199" s="53"/>
      <c r="Y199" s="31" t="str">
        <f aca="false">IF(Tasks[[#This Row],[Task Name]]="","",IF(Tasks[[#This Row],[_IsSummary]],MIN(INDEX(Tasks[_ShownFcstStart],Tasks[[#This Row],[_Row]]+1):INDEX(Tasks[_ShownFcstStart],Tasks[[#This Row],[_Row]]+Tasks[[#This Row],[_Descendants]])),Tasks[[#This Row],[_ShownFcstStart]]))</f>
        <v/>
      </c>
      <c r="Z199" s="31" t="str">
        <f aca="false">IF(Tasks[[#This Row],[Task Name]]="","",IF(Tasks[[#This Row],[_IsSummary]],MAX(INDEX(Tasks[_ShownFcstFinish],Tasks[[#This Row],[_Row]]+1):INDEX(Tasks[_ShownFcstFinish],Tasks[[#This Row],[_Row]]+Tasks[[#This Row],[_Descendants]])),Tasks[[#This Row],[_ShownFcstFinish]]))</f>
        <v/>
      </c>
      <c r="AA199" s="51" t="str">
        <f aca="false">IF(Tasks[[#This Row],[Task Name]]="","",IF(Tasks[[#This Row],[Progress]]&gt;=1,"Complete",IF(OR(N(Tasks[[#This Row],[Actual Start]])&gt;0,Tasks[[#This Row],[Progress]]&gt;0),IF(Tasks[[#This Row],[Finish Var]]&gt;0,"Behind","In Progress"),IF(Tasks[[#This Row],[Planned Start]]&lt;StatusDate,"Late Start","Not Started"))))</f>
        <v/>
      </c>
      <c r="AB199" s="51" t="str">
        <f aca="false">IF(Tasks[[#This Row],[Task Name]]="","",IF(IF(Tasks[[#This Row],[_IsSummary]],COUNTIF(INDEX(Tasks[_LeafCritical],Tasks[[#This Row],[_Row]]+1):INDEX(Tasks[_LeafCritical],Tasks[[#This Row],[_Row]]+Tasks[[#This Row],[_Descendants]]),TRUE())&gt;0,Tasks[[#This Row],[_LeafCritical]]),"Yes",""))</f>
        <v/>
      </c>
      <c r="AC19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9" s="51" t="str">
        <f aca="false">IF(Tasks[[#This Row],[Task Name]]="","",IF(Tasks[[#This Row],[_Level]]&lt;=OutlineShowLevel,"Yes","No"))</f>
        <v/>
      </c>
      <c r="AE199" s="7"/>
      <c r="AF199" s="52"/>
      <c r="AG199" s="53"/>
      <c r="AH199" s="7"/>
      <c r="AI199"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9" s="31" t="str">
        <f aca="false">IF(Tasks[[#This Row],[Task Name]]="","",IF(N(Tasks[[#This Row],[Baseline Start]])&gt;0,Tasks[[#This Row],[Baseline Start]],Tasks[[#This Row],[_CalcStart]]))</f>
        <v/>
      </c>
      <c r="AK199" s="31" t="str">
        <f aca="false">IF(Tasks[[#This Row],[Task Name]]="","",IF(N(Tasks[[#This Row],[Baseline Finish]])&gt;0,Tasks[[#This Row],[Baseline Finish]],Tasks[[#This Row],[_CalcFinish]]))</f>
        <v/>
      </c>
      <c r="AL199"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9" s="31" t="str">
        <f aca="false">IF(Tasks[[#This Row],[Task Name]]="","",IF(Tasks[[#This Row],[_IsSummary]],MIN(INDEX(Tasks[_LeafLateStart],Tasks[[#This Row],[_Row]]+1):INDEX(Tasks[_LeafLateStart],Tasks[[#This Row],[_Row]]+Tasks[[#This Row],[_Descendants]])),Tasks[[#This Row],[_LeafLateStart]]))</f>
        <v/>
      </c>
      <c r="AN199" s="31" t="str">
        <f aca="false">IF(Tasks[[#This Row],[Task Name]]="","",IF(Tasks[[#This Row],[_IsSummary]],MAX(INDEX(Tasks[_LeafLateFinish],Tasks[[#This Row],[_Row]]+1):INDEX(Tasks[_LeafLateFinish],Tasks[[#This Row],[_Row]]+Tasks[[#This Row],[_Descendants]])),Tasks[[#This Row],[_LeafLateFinish]]))</f>
        <v/>
      </c>
      <c r="AO199" s="51" t="str">
        <f aca="false">IF(Tasks[[#This Row],[Task Name]]="","",IF(Tasks[[#This Row],[_IsSummary]],MIN(INDEX(Tasks[_LeafTotalSlack],Tasks[[#This Row],[_Row]]+1):INDEX(Tasks[_LeafTotalSlack],Tasks[[#This Row],[_Row]]+Tasks[[#This Row],[_Descendants]])),Tasks[[#This Row],[_LeafTotalSlack]]))</f>
        <v/>
      </c>
      <c r="AP19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9" s="110" t="str">
        <f aca="false">IF(Tasks[[#This Row],[Task Name]]="","",IF(Tasks[[#This Row],[_IsSummary]],SUM(INDEX(Tasks[_LeafTotalWork],Tasks[[#This Row],[_Row]]+1):INDEX(Tasks[_LeafTotalWork],Tasks[[#This Row],[_Row]]+Tasks[[#This Row],[_Descendants]])),Tasks[[#This Row],[_LeafTotalWork]]))</f>
        <v/>
      </c>
      <c r="AV19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9" s="111" t="str">
        <f aca="false">IF(Tasks[[#This Row],[Task Name]]="","",IF(Tasks[[#This Row],[_IsSummary]],SUM(INDEX(Tasks[_LeafTotalCost],Tasks[[#This Row],[_Row]]+1):INDEX(Tasks[_LeafTotalCost],Tasks[[#This Row],[_Row]]+Tasks[[#This Row],[_Descendants]])),Tasks[[#This Row],[_LeafTotalCost]]))</f>
        <v/>
      </c>
      <c r="AY199" s="112"/>
      <c r="AZ19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9" s="52"/>
      <c r="BB199" s="98"/>
      <c r="BC199" s="51" t="str">
        <f aca="false">IF(OR(Tasks[[#This Row],[Task Name]]="",Tasks[[#This Row],[Baseline Duration]]=""),"",Tasks[[#This Row],[BL Source Duration]]-N(Tasks[[#This Row],[Baseline Duration]]))</f>
        <v/>
      </c>
      <c r="BD199" s="110" t="str">
        <f aca="false">IF(OR(Tasks[[#This Row],[Task Name]]="",Tasks[[#This Row],[Baseline Work]]=""),"",Tasks[[#This Row],[Work]]-N(Tasks[[#This Row],[Baseline Work]]))</f>
        <v/>
      </c>
      <c r="BE199" s="111" t="str">
        <f aca="false">IF(OR(Tasks[[#This Row],[Task Name]]="",Tasks[[#This Row],[Baseline Cost]]=""),"",Tasks[[#This Row],[Cost]]-N(Tasks[[#This Row],[Baseline Cost]]))</f>
        <v/>
      </c>
      <c r="BF199" s="31" t="str">
        <f aca="false">IF(Tasks[[#This Row],[Task Name]]="","",Tasks[[#This Row],[Forecast Start]])</f>
        <v/>
      </c>
      <c r="BG199" s="31" t="str">
        <f aca="false">IF(Tasks[[#This Row],[Task Name]]="","",Tasks[[#This Row],[Forecast Finish]])</f>
        <v/>
      </c>
      <c r="BH199" s="51" t="str">
        <f aca="false">IF(Tasks[[#This Row],[Task Name]]="","",IF(Tasks[[#This Row],[_IsSummary]],NETWORKDAYS.INTL(Tasks[[#This Row],[Forecast Start]],Tasks[[#This Row],[Forecast Finish]],WorkWeek,Holidays),N(Tasks[[#This Row],[Duration]])))</f>
        <v/>
      </c>
      <c r="BI199" s="110" t="str">
        <f aca="false">IF(Tasks[[#This Row],[Task Name]]="","",Tasks[[#This Row],[Work]])</f>
        <v/>
      </c>
      <c r="BJ199" s="111" t="str">
        <f aca="false">IF(Tasks[[#This Row],[Task Name]]="","",Tasks[[#This Row],[Cost]])</f>
        <v/>
      </c>
      <c r="BK199" s="7"/>
      <c r="BL199" s="7"/>
      <c r="BM199" s="52"/>
      <c r="BN199" s="113"/>
      <c r="BO199" s="112"/>
      <c r="BP199" s="111" t="str">
        <f aca="false">IF(Tasks[[#This Row],[Task Name]]="","",IF(Tasks[[#This Row],[_IsSummary]],SUM(INDEX(Tasks[_LeafEV],Tasks[[#This Row],[_Row]]+1):INDEX(Tasks[_LeafEV],Tasks[[#This Row],[_Row]]+Tasks[[#This Row],[_Descendants]])),Tasks[[#This Row],[_LeafEV]]))</f>
        <v/>
      </c>
      <c r="BQ199" s="111" t="str">
        <f aca="false">IF(Tasks[[#This Row],[Task Name]]="","",IF(Tasks[[#This Row],[_IsSummary]],SUM(INDEX(Tasks[_LeafBudget],Tasks[[#This Row],[_Row]]+1):INDEX(Tasks[_LeafBudget],Tasks[[#This Row],[_Row]]+Tasks[[#This Row],[_Descendants]])),Tasks[[#This Row],[_LeafBudget]]))</f>
        <v/>
      </c>
      <c r="BR199" s="111" t="str">
        <f aca="false">IF(Tasks[[#This Row],[Task Name]]="","",IF(Tasks[[#This Row],[_IsSummary]],SUM(INDEX(Tasks[_LeafPV],Tasks[[#This Row],[_Row]]+1):INDEX(Tasks[_LeafPV],Tasks[[#This Row],[_Row]]+Tasks[[#This Row],[_Descendants]])),Tasks[[#This Row],[_LeafPV]]))</f>
        <v/>
      </c>
      <c r="BS199" s="111" t="str">
        <f aca="false">IF(Tasks[[#This Row],[Task Name]]="","",IF(Tasks[[#This Row],[_IsSummary]],SUM(INDEX(Tasks[_LeafAC],Tasks[[#This Row],[_Row]]+1):INDEX(Tasks[_LeafAC],Tasks[[#This Row],[_Row]]+Tasks[[#This Row],[_Descendants]])),Tasks[[#This Row],[_LeafAC]]))</f>
        <v/>
      </c>
      <c r="BT199" s="38" t="str">
        <f aca="false">IF(Tasks[[#This Row],[Task Name]]="","",MAX(1,N(Tasks[[#This Row],[Level]])))</f>
        <v/>
      </c>
      <c r="BU199" s="38" t="n">
        <f aca="false">ROW()-ROW(Tasks[[#Headers],[ID]])</f>
        <v>194</v>
      </c>
      <c r="BV199" s="38" t="n">
        <f aca="false">IF(OR(Tasks[[#This Row],[Task Name]]="",Tasks[[#This Row],[_Level]]&lt;=1),0,IFERROR(LOOKUP(2,1/(Tasks[[#Headers],[_Level]]:Tasks[[#This Row],[_Level]]=Tasks[[#This Row],[_Level]]-1),ROW(Tasks[[#Headers],[_Level]]:Tasks[[#This Row],[_Level]])),0))</f>
        <v>0</v>
      </c>
      <c r="BW199" s="38" t="n">
        <f aca="false">IFERROR(N(INDEX(Tasks[_Level],Tasks[[#This Row],[_Row]]+1)),0)</f>
        <v>0</v>
      </c>
      <c r="BX199" s="114" t="b">
        <f aca="false">AND(Tasks[[#This Row],[Task Name]]&lt;&gt;"",Tasks[[#This Row],[_NextLevel]]&gt;Tasks[[#This Row],[_Level]])</f>
        <v>0</v>
      </c>
      <c r="BY199" s="38" t="n">
        <f aca="false">IF(Tasks[[#This Row],[_IsSummary]],COUNTIF(Tasks[WBS],Tasks[[#This Row],[WBS]]&amp;".*"),0)</f>
        <v>0</v>
      </c>
      <c r="BZ199" s="38" t="n">
        <f aca="false">IF(AND(Tasks[[#This Row],[Task Name]]&lt;&gt;"",NOT(Tasks[[#This Row],[_IsSummary]])),1,0)</f>
        <v>0</v>
      </c>
      <c r="CA199" s="38" t="n">
        <f aca="false">IF(N(Tasks[[#This Row],[Pred1 UID]])=0,0,IFERROR(MATCH(Tasks[[#This Row],[Pred1 UID]],Tasks[UID],0),-1))</f>
        <v>0</v>
      </c>
      <c r="CB199" s="38" t="n">
        <f aca="false">IF(N(Tasks[[#This Row],[Pred2 UID]])=0,0,IFERROR(MATCH(Tasks[[#This Row],[Pred2 UID]],Tasks[UID],0),-1))</f>
        <v>0</v>
      </c>
      <c r="CC199" s="38" t="n">
        <f aca="false">IF(N(Tasks[[#This Row],[Pred3 UID]])=0,0,IFERROR(MATCH(Tasks[[#This Row],[Pred3 UID]],Tasks[UID],0),-1))</f>
        <v>0</v>
      </c>
      <c r="CD199" s="38" t="n">
        <f aca="false">IF(N(Tasks[[#This Row],[Pred4 UID]])=0,0,IFERROR(MATCH(Tasks[[#This Row],[Pred4 UID]],Tasks[UID],0),-1))</f>
        <v>0</v>
      </c>
      <c r="CE19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9" s="115" t="n">
        <f aca="false">IF(OR(Tasks[[#This Row],[_ConstraintCode]]=2,Tasks[[#This Row],[_ConstraintCode]]=3,Tasks[[#This Row],[_ConstraintCode]]=4,Tasks[[#This Row],[_ConstraintCode]]=6),Tasks[[#This Row],[_ConstraintStart]],0)</f>
        <v>0</v>
      </c>
      <c r="CH199" s="115" t="n">
        <f aca="false">IF(OR(Tasks[[#This Row],[_ConstraintCode]]=2,Tasks[[#This Row],[_ConstraintCode]]=3,Tasks[[#This Row],[_ConstraintCode]]=5,Tasks[[#This Row],[_ConstraintCode]]=7),Tasks[[#This Row],[_ConstraintStart]],2958465)</f>
        <v>2958465</v>
      </c>
      <c r="CI19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9" s="115" t="str">
        <f aca="false">IF(NOT(Tasks[[#This Row],[_IsLeaf]]=1),"",IF(N(Tasks[[#This Row],[Duration]])&lt;=0,Tasks[[#This Row],[_LeafCalcStart]],WORKDAY.INTL(Tasks[[#This Row],[_LeafCalcStart]],Tasks[[#This Row],[Duration]]-1,WorkWeek,Holidays)))</f>
        <v/>
      </c>
      <c r="CK19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9" s="38" t="n">
        <f aca="false">IF(NOT(Tasks[[#This Row],[_IsLeaf]]=1),0,IF(N(Tasks[[#This Row],[Actual Finish]])&gt;0,1,MIN(1,N(Tasks[[#This Row],[% Complete]]))))</f>
        <v>0</v>
      </c>
      <c r="CN199" s="38" t="n">
        <f aca="false">IF(OR(NOT(Tasks[[#This Row],[_IsLeaf]]=1),Tasks[[#This Row],[Resource]]=""),0,N(Tasks[[#This Row],[Duration]])*HoursPerDay*IF(Tasks[[#This Row],[Units]]="",DefaultUnits,Tasks[[#This Row],[Units]]))</f>
        <v>0</v>
      </c>
      <c r="CO199" s="38" t="n">
        <f aca="false">IF(Tasks[[#This Row],[_LeafWork]]=0,0,Tasks[[#This Row],[_LeafWork]]*IFERROR(INDEX(res_Rate,MATCH(Tasks[[#This Row],[Resource]],res_Name,0)),0))</f>
        <v>0</v>
      </c>
      <c r="CP199" s="38" t="n">
        <f aca="false">Tasks[[#This Row],[_LeafWork]]+IF(Tasks[[#This Row],[_IsLeaf]]=1,SUMIFS(asg_Work,asg_TaskUID,Tasks[[#This Row],[UID]],asg_Valid,1),0)</f>
        <v>0</v>
      </c>
      <c r="CQ199" s="38" t="n">
        <f aca="false">Tasks[[#This Row],[_LeafCost]]+IF(Tasks[[#This Row],[_IsLeaf]]=1,SUMIFS(asg_Cost,asg_TaskUID,Tasks[[#This Row],[UID]],asg_Valid,1),0)</f>
        <v>0</v>
      </c>
      <c r="CR199" s="38" t="n">
        <f aca="false">IF(Tasks[[#This Row],[_LeafTotalCost]]=0,Tasks[[#This Row],[_LeafAC]],Tasks[[#This Row],[_LeafAC]]*Tasks[[#This Row],[_LeafCost]]/Tasks[[#This Row],[_LeafTotalCost]])</f>
        <v>0</v>
      </c>
      <c r="CS19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9" s="38" t="n">
        <f aca="false">IF(NOT(Tasks[[#This Row],[_IsLeaf]]=1),0,MAX(_xlfn.MAXIFS(Tasks[_Row],Tasks[Pred1 UID],Tasks[[#This Row],[UID]]),_xlfn.MAXIFS(Tasks[_Row],Tasks[Pred2 UID],Tasks[[#This Row],[UID]]),_xlfn.MAXIFS(Tasks[_Row],Tasks[Pred3 UID],Tasks[[#This Row],[UID]]),_xlfn.MAXIFS(Tasks[_Row],Tasks[Pred4 UID],Tasks[[#This Row],[UID]])))</f>
        <v>0</v>
      </c>
      <c r="DB19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9" s="115" t="str">
        <f aca="false">IF(NOT(Tasks[[#This Row],[_IsLeaf]]=1),"",IF(N(Tasks[[#This Row],[Duration]])&lt;=0,Tasks[[#This Row],[_LeafLateFinish]],WORKDAY.INTL(Tasks[[#This Row],[_LeafLateFinish]],-(Tasks[[#This Row],[Duration]]-1),WorkWeek,Holidays)))</f>
        <v/>
      </c>
      <c r="DE19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9" s="114" t="b">
        <f aca="false">AND(Tasks[[#This Row],[_IsLeaf]]=1,Tasks[[#This Row],[_LeafProgress]]&lt;1,N(Tasks[[#This Row],[_LeafTotalSlack]])&lt;=CriticalSlackDays)</f>
        <v>0</v>
      </c>
      <c r="DG199" s="38" t="n">
        <f aca="false">IF(AND(Tasks[[#This Row],[_IsLeaf]]=1,Tasks[[#This Row],[_ConstraintCode]]=1,Tasks[[#This Row],[Mode]]&lt;&gt;"Manual",N(Tasks[[#This Row],[Actual Start]])=0),MAX(0,N(Tasks[[#This Row],[Free Slack]])),0)</f>
        <v>0</v>
      </c>
      <c r="DH199" s="115" t="str">
        <f aca="false">IF(NOT(Tasks[[#This Row],[_IsLeaf]]=1),"",IF(Tasks[[#This Row],[_AlapShift]]=0,Tasks[[#This Row],[_LeafCalcStart]],WORKDAY.INTL(Tasks[[#This Row],[_LeafCalcStart]],Tasks[[#This Row],[_AlapShift]],WorkWeek,Holidays)))</f>
        <v/>
      </c>
      <c r="DI199" s="115" t="str">
        <f aca="false">IF(NOT(Tasks[[#This Row],[_IsLeaf]]=1),"",IF(Tasks[[#This Row],[_AlapShift]]=0,Tasks[[#This Row],[_LeafCalcFinish]],WORKDAY.INTL(Tasks[[#This Row],[_LeafCalcFinish]],Tasks[[#This Row],[_AlapShift]],WorkWeek,Holidays)))</f>
        <v/>
      </c>
      <c r="DJ199" s="115" t="str">
        <f aca="false">IF(NOT(Tasks[[#This Row],[_IsLeaf]]=1),"",IF(Tasks[[#This Row],[_AlapShift]]=0,Tasks[[#This Row],[_LeafFcstStart]],WORKDAY.INTL(Tasks[[#This Row],[_LeafFcstStart]],Tasks[[#This Row],[_AlapShift]],WorkWeek,Holidays)))</f>
        <v/>
      </c>
      <c r="DK199" s="115" t="str">
        <f aca="false">IF(NOT(Tasks[[#This Row],[_IsLeaf]]=1),"",IF(Tasks[[#This Row],[_AlapShift]]=0,Tasks[[#This Row],[_LeafFcstFinish]],WORKDAY.INTL(Tasks[[#This Row],[_LeafFcstFinish]],Tasks[[#This Row],[_AlapShift]],WorkWeek,Holidays)))</f>
        <v/>
      </c>
      <c r="DL199" s="115" t="str">
        <f aca="false">IF(Tasks[[#This Row],[Task Name]]="","",IF(Tasks[[#This Row],[_IsSummary]],MIN(INDEX(Tasks[_ShownCalcStart],Tasks[[#This Row],[_Row]]+1):INDEX(Tasks[_ShownCalcStart],Tasks[[#This Row],[_Row]]+Tasks[[#This Row],[_Descendants]])),Tasks[[#This Row],[_ShownCalcStart]]))</f>
        <v/>
      </c>
      <c r="DM199" s="115" t="str">
        <f aca="false">IF(Tasks[[#This Row],[Task Name]]="","",IF(Tasks[[#This Row],[_IsSummary]],MAX(INDEX(Tasks[_ShownCalcFinish],Tasks[[#This Row],[_Row]]+1):INDEX(Tasks[_ShownCalcFinish],Tasks[[#This Row],[_Row]]+Tasks[[#This Row],[_Descendants]])),Tasks[[#This Row],[_ShownCalcFinish]]))</f>
        <v/>
      </c>
      <c r="DN19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9" s="38" t="n">
        <f aca="false">IF(AND(Tasks[[#This Row],[_IsLeaf]]=1,Tasks[[#This Row],[_LeafTotalWork]]&gt;0),NETWORKDAYS.INTL(ProjectStart,Tasks[[#This Row],[_ShownFcstStart]],WorkWeek,Holidays),0)</f>
        <v>0</v>
      </c>
      <c r="EA199" s="38" t="n">
        <f aca="false">IF(AND(Tasks[[#This Row],[_IsLeaf]]=1,Tasks[[#This Row],[_LeafTotalWork]]&gt;0),MAX(Tasks[[#This Row],[_StartWorkday]],NETWORKDAYS.INTL(ProjectStart,Tasks[[#This Row],[_ShownFcstFinish]],WorkWeek,Holidays)),0)</f>
        <v>0</v>
      </c>
      <c r="EB199" s="38" t="n">
        <f aca="false">IF(AND(Tasks[[#This Row],[_IsLeaf]]=1,Tasks[[#This Row],[_LeafTotalWork]]&gt;0),Tasks[[#This Row],[_LeafWork]]/(Tasks[[#This Row],[_FinishWorkday]]-Tasks[[#This Row],[_StartWorkday]]+1),0)</f>
        <v>0</v>
      </c>
      <c r="EC199" s="38" t="n">
        <f aca="false">Tasks[[#This Row],[_WorkPerWorkday]]*(Tasks[[#This Row],[_StartWorkday]]-1)</f>
        <v>-0</v>
      </c>
      <c r="ED199" s="38" t="n">
        <f aca="false">IF(Tasks[[#This Row],[_IsLeaf]]=1,MAX(N(Tasks[[#This Row],[Duration]]),0.1),0)</f>
        <v>0</v>
      </c>
      <c r="EE199" s="38" t="n">
        <f aca="false">Tasks[[#This Row],[_WeightDur]]*Tasks[[#This Row],[_LeafProgress]]</f>
        <v>0</v>
      </c>
      <c r="EF19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9" s="38" t="str">
        <f aca="false">IF(AND(Tasks[[#This Row],[_IsLeaf]]=1,N(Tasks[[#This Row],[Duration]])=0,Tasks[[#This Row],[_LeafProgress]]&lt;1),Tasks[[#This Row],[_ShownFcstFinish]]+Tasks[[#This Row],[_Row]]/100000,"")</f>
        <v/>
      </c>
      <c r="EH19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9" s="38" t="n">
        <f aca="false">IF(NOT(Tasks[[#This Row],[_IsLeaf]]=1),0,IF(Tasks[[#This Row],[Baseline Cost]]="",Tasks[[#This Row],[_LeafTotalCost]],N(Tasks[[#This Row],[Baseline Cost]])))</f>
        <v>0</v>
      </c>
      <c r="EJ199" s="38" t="n">
        <f aca="false">Tasks[[#This Row],[_LeafBudget]]*Tasks[[#This Row],[_PlannedPct]]</f>
        <v>0</v>
      </c>
      <c r="EK199" s="38" t="n">
        <f aca="false">Tasks[[#This Row],[_LeafBudget]]*Tasks[[#This Row],[_LeafProgress]]</f>
        <v>0</v>
      </c>
      <c r="EL199" s="38" t="n">
        <f aca="false">IF(NOT(Tasks[[#This Row],[_IsLeaf]]=1),0,IF(Tasks[[#This Row],[Actual Cost]]="",Tasks[[#This Row],[_LeafTotalCost]]*Tasks[[#This Row],[_LeafProgress]],N(Tasks[[#This Row],[Actual Cost]])))</f>
        <v>0</v>
      </c>
      <c r="EM199" s="38" t="str">
        <f aca="false">IF(Tasks[[#This Row],[Task Name]]="","",LEFT(Tasks[[#This Row],[WBS]],FIND(".",Tasks[[#This Row],[WBS]]&amp;".")-1))</f>
        <v/>
      </c>
      <c r="EN199" s="38" t="str">
        <f aca="false">IF(AND(Tasks[[#This Row],[Task Name]]&lt;&gt;"",Tasks[[#This Row],[_Level]]=1),Tasks[[#This Row],[_Row]],"")</f>
        <v/>
      </c>
      <c r="EO199" s="38" t="str">
        <f aca="false">IF(AND(Tasks[[#This Row],[_IsLeaf]]=1,N(Tasks[[#This Row],[Duration]])=0),Tasks[[#This Row],[Planned Finish]]+Tasks[[#This Row],[_Row]]/100000,"")</f>
        <v/>
      </c>
      <c r="EP199" s="38" t="str">
        <f aca="false">IF(AND(Tasks[[#This Row],[_IsLeaf]]=1,Tasks[[#This Row],[_LeafProgress]]&lt;1,OR(N(Tasks[[#This Row],[Finish Var]])&gt;0,Tasks[[#This Row],[Status]]="Late Start")),MAX(0,Tasks[[#This Row],[Finish Var]])+1-Tasks[[#This Row],[_Row]]/1000000,"")</f>
        <v/>
      </c>
      <c r="EQ199" s="38" t="str">
        <f aca="false">IF(AND(Tasks[[#This Row],[_IsLeaf]]=1,N(Tasks[[#This Row],[Actual Start]])=0,Tasks[[#This Row],[_ShownFcstStart]]&gt;=StatusDate,Tasks[[#This Row],[_ShownFcstStart]]&lt;=LookaheadEnd),Tasks[[#This Row],[_ShownFcstStart]]+Tasks[[#This Row],[_Row]]/100000,"")</f>
        <v/>
      </c>
      <c r="ER199" s="38" t="str">
        <f aca="false">IF(AND(Tasks[[#This Row],[_IsLeaf]]=1,Tasks[[#This Row],[_LeafProgress]]&lt;1,Tasks[[#This Row],[_ShownFcstFinish]]&gt;=StatusDate,Tasks[[#This Row],[_ShownFcstFinish]]&lt;=LookaheadEnd),Tasks[[#This Row],[_ShownFcstFinish]]+Tasks[[#This Row],[_Row]]/100000,"")</f>
        <v/>
      </c>
      <c r="ES199" s="38" t="str">
        <f aca="false">IF(Tasks[[#This Row],[_LeafCritical]],Tasks[[#This Row],[_ShownFcstStart]]+Tasks[[#This Row],[_Row]]/100000,"")</f>
        <v/>
      </c>
      <c r="ET199" s="38" t="n">
        <f aca="false">Tasks[[#This Row],[_LeafWork]]*Tasks[[#This Row],[_LeafProgress]]</f>
        <v>0</v>
      </c>
      <c r="EU199" s="115" t="str">
        <f aca="false">IF(AND(Tasks[[#This Row],[_IsLeaf]]=1,Tasks[[#This Row],[_LeafProgress]]&gt;=1),IF(N(Tasks[[#This Row],[Actual Finish]])&gt;0,Tasks[[#This Row],[Actual Finish]],Tasks[[#This Row],[_ShownFcstFinish]]),"")</f>
        <v/>
      </c>
      <c r="EV199" s="38" t="n">
        <f aca="false">IF(Tasks[[#This Row],[_IsLeaf]]=1,N(Tasks[[#This Row],[Story Points]]),0)</f>
        <v>0</v>
      </c>
      <c r="EW199" s="38" t="str">
        <f aca="false">IF(AND(Tasks[[#This Row],[_IsLeaf]]=1,CurrentSprint&lt;&gt;"",Tasks[[#This Row],[Sprint]]=CurrentSprint),Tasks[[#This Row],[_Row]],"")</f>
        <v/>
      </c>
    </row>
    <row r="200" customFormat="false" ht="15" hidden="false" customHeight="false" outlineLevel="0" collapsed="false">
      <c r="A200" s="51" t="str">
        <f aca="false">IF(Tasks[[#This Row],[Task Name]]="","",COUNTA(Tasks[[#Headers],[Task Name]]:Tasks[[#This Row],[Task Name]])-1)</f>
        <v/>
      </c>
      <c r="B200" s="52" t="n">
        <v>195</v>
      </c>
      <c r="C20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52"/>
      <c r="E200" s="53"/>
      <c r="F200" s="52"/>
      <c r="G200" s="52"/>
      <c r="H200" s="52"/>
      <c r="I200" s="52"/>
      <c r="J200" s="52"/>
      <c r="K200" s="52"/>
      <c r="L200" s="52"/>
      <c r="M200" s="52"/>
      <c r="N200" s="52"/>
      <c r="O200" s="52"/>
      <c r="P200" s="52"/>
      <c r="Q200" s="52"/>
      <c r="R200" s="52"/>
      <c r="S200" s="53"/>
      <c r="T200" s="102"/>
      <c r="U200" s="102"/>
      <c r="V200" s="7"/>
      <c r="W200" s="7"/>
      <c r="X200" s="53"/>
      <c r="Y200" s="31" t="str">
        <f aca="false">IF(Tasks[[#This Row],[Task Name]]="","",IF(Tasks[[#This Row],[_IsSummary]],MIN(INDEX(Tasks[_ShownFcstStart],Tasks[[#This Row],[_Row]]+1):INDEX(Tasks[_ShownFcstStart],Tasks[[#This Row],[_Row]]+Tasks[[#This Row],[_Descendants]])),Tasks[[#This Row],[_ShownFcstStart]]))</f>
        <v/>
      </c>
      <c r="Z200" s="31" t="str">
        <f aca="false">IF(Tasks[[#This Row],[Task Name]]="","",IF(Tasks[[#This Row],[_IsSummary]],MAX(INDEX(Tasks[_ShownFcstFinish],Tasks[[#This Row],[_Row]]+1):INDEX(Tasks[_ShownFcstFinish],Tasks[[#This Row],[_Row]]+Tasks[[#This Row],[_Descendants]])),Tasks[[#This Row],[_ShownFcstFinish]]))</f>
        <v/>
      </c>
      <c r="AA200" s="51" t="str">
        <f aca="false">IF(Tasks[[#This Row],[Task Name]]="","",IF(Tasks[[#This Row],[Progress]]&gt;=1,"Complete",IF(OR(N(Tasks[[#This Row],[Actual Start]])&gt;0,Tasks[[#This Row],[Progress]]&gt;0),IF(Tasks[[#This Row],[Finish Var]]&gt;0,"Behind","In Progress"),IF(Tasks[[#This Row],[Planned Start]]&lt;StatusDate,"Late Start","Not Started"))))</f>
        <v/>
      </c>
      <c r="AB200" s="51" t="str">
        <f aca="false">IF(Tasks[[#This Row],[Task Name]]="","",IF(IF(Tasks[[#This Row],[_IsSummary]],COUNTIF(INDEX(Tasks[_LeafCritical],Tasks[[#This Row],[_Row]]+1):INDEX(Tasks[_LeafCritical],Tasks[[#This Row],[_Row]]+Tasks[[#This Row],[_Descendants]]),TRUE())&gt;0,Tasks[[#This Row],[_LeafCritical]]),"Yes",""))</f>
        <v/>
      </c>
      <c r="AC20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0" s="51" t="str">
        <f aca="false">IF(Tasks[[#This Row],[Task Name]]="","",IF(Tasks[[#This Row],[_Level]]&lt;=OutlineShowLevel,"Yes","No"))</f>
        <v/>
      </c>
      <c r="AE200" s="7"/>
      <c r="AF200" s="52"/>
      <c r="AG200" s="53"/>
      <c r="AH200" s="7"/>
      <c r="AI200"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0" s="31" t="str">
        <f aca="false">IF(Tasks[[#This Row],[Task Name]]="","",IF(N(Tasks[[#This Row],[Baseline Start]])&gt;0,Tasks[[#This Row],[Baseline Start]],Tasks[[#This Row],[_CalcStart]]))</f>
        <v/>
      </c>
      <c r="AK200" s="31" t="str">
        <f aca="false">IF(Tasks[[#This Row],[Task Name]]="","",IF(N(Tasks[[#This Row],[Baseline Finish]])&gt;0,Tasks[[#This Row],[Baseline Finish]],Tasks[[#This Row],[_CalcFinish]]))</f>
        <v/>
      </c>
      <c r="AL200"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0" s="31" t="str">
        <f aca="false">IF(Tasks[[#This Row],[Task Name]]="","",IF(Tasks[[#This Row],[_IsSummary]],MIN(INDEX(Tasks[_LeafLateStart],Tasks[[#This Row],[_Row]]+1):INDEX(Tasks[_LeafLateStart],Tasks[[#This Row],[_Row]]+Tasks[[#This Row],[_Descendants]])),Tasks[[#This Row],[_LeafLateStart]]))</f>
        <v/>
      </c>
      <c r="AN200" s="31" t="str">
        <f aca="false">IF(Tasks[[#This Row],[Task Name]]="","",IF(Tasks[[#This Row],[_IsSummary]],MAX(INDEX(Tasks[_LeafLateFinish],Tasks[[#This Row],[_Row]]+1):INDEX(Tasks[_LeafLateFinish],Tasks[[#This Row],[_Row]]+Tasks[[#This Row],[_Descendants]])),Tasks[[#This Row],[_LeafLateFinish]]))</f>
        <v/>
      </c>
      <c r="AO200" s="51" t="str">
        <f aca="false">IF(Tasks[[#This Row],[Task Name]]="","",IF(Tasks[[#This Row],[_IsSummary]],MIN(INDEX(Tasks[_LeafTotalSlack],Tasks[[#This Row],[_Row]]+1):INDEX(Tasks[_LeafTotalSlack],Tasks[[#This Row],[_Row]]+Tasks[[#This Row],[_Descendants]])),Tasks[[#This Row],[_LeafTotalSlack]]))</f>
        <v/>
      </c>
      <c r="AP20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0" s="110" t="str">
        <f aca="false">IF(Tasks[[#This Row],[Task Name]]="","",IF(Tasks[[#This Row],[_IsSummary]],SUM(INDEX(Tasks[_LeafTotalWork],Tasks[[#This Row],[_Row]]+1):INDEX(Tasks[_LeafTotalWork],Tasks[[#This Row],[_Row]]+Tasks[[#This Row],[_Descendants]])),Tasks[[#This Row],[_LeafTotalWork]]))</f>
        <v/>
      </c>
      <c r="AV20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0" s="111" t="str">
        <f aca="false">IF(Tasks[[#This Row],[Task Name]]="","",IF(Tasks[[#This Row],[_IsSummary]],SUM(INDEX(Tasks[_LeafTotalCost],Tasks[[#This Row],[_Row]]+1):INDEX(Tasks[_LeafTotalCost],Tasks[[#This Row],[_Row]]+Tasks[[#This Row],[_Descendants]])),Tasks[[#This Row],[_LeafTotalCost]]))</f>
        <v/>
      </c>
      <c r="AY200" s="112"/>
      <c r="AZ20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0" s="52"/>
      <c r="BB200" s="98"/>
      <c r="BC200" s="51" t="str">
        <f aca="false">IF(OR(Tasks[[#This Row],[Task Name]]="",Tasks[[#This Row],[Baseline Duration]]=""),"",Tasks[[#This Row],[BL Source Duration]]-N(Tasks[[#This Row],[Baseline Duration]]))</f>
        <v/>
      </c>
      <c r="BD200" s="110" t="str">
        <f aca="false">IF(OR(Tasks[[#This Row],[Task Name]]="",Tasks[[#This Row],[Baseline Work]]=""),"",Tasks[[#This Row],[Work]]-N(Tasks[[#This Row],[Baseline Work]]))</f>
        <v/>
      </c>
      <c r="BE200" s="111" t="str">
        <f aca="false">IF(OR(Tasks[[#This Row],[Task Name]]="",Tasks[[#This Row],[Baseline Cost]]=""),"",Tasks[[#This Row],[Cost]]-N(Tasks[[#This Row],[Baseline Cost]]))</f>
        <v/>
      </c>
      <c r="BF200" s="31" t="str">
        <f aca="false">IF(Tasks[[#This Row],[Task Name]]="","",Tasks[[#This Row],[Forecast Start]])</f>
        <v/>
      </c>
      <c r="BG200" s="31" t="str">
        <f aca="false">IF(Tasks[[#This Row],[Task Name]]="","",Tasks[[#This Row],[Forecast Finish]])</f>
        <v/>
      </c>
      <c r="BH200" s="51" t="str">
        <f aca="false">IF(Tasks[[#This Row],[Task Name]]="","",IF(Tasks[[#This Row],[_IsSummary]],NETWORKDAYS.INTL(Tasks[[#This Row],[Forecast Start]],Tasks[[#This Row],[Forecast Finish]],WorkWeek,Holidays),N(Tasks[[#This Row],[Duration]])))</f>
        <v/>
      </c>
      <c r="BI200" s="110" t="str">
        <f aca="false">IF(Tasks[[#This Row],[Task Name]]="","",Tasks[[#This Row],[Work]])</f>
        <v/>
      </c>
      <c r="BJ200" s="111" t="str">
        <f aca="false">IF(Tasks[[#This Row],[Task Name]]="","",Tasks[[#This Row],[Cost]])</f>
        <v/>
      </c>
      <c r="BK200" s="7"/>
      <c r="BL200" s="7"/>
      <c r="BM200" s="52"/>
      <c r="BN200" s="113"/>
      <c r="BO200" s="112"/>
      <c r="BP200" s="111" t="str">
        <f aca="false">IF(Tasks[[#This Row],[Task Name]]="","",IF(Tasks[[#This Row],[_IsSummary]],SUM(INDEX(Tasks[_LeafEV],Tasks[[#This Row],[_Row]]+1):INDEX(Tasks[_LeafEV],Tasks[[#This Row],[_Row]]+Tasks[[#This Row],[_Descendants]])),Tasks[[#This Row],[_LeafEV]]))</f>
        <v/>
      </c>
      <c r="BQ200" s="111" t="str">
        <f aca="false">IF(Tasks[[#This Row],[Task Name]]="","",IF(Tasks[[#This Row],[_IsSummary]],SUM(INDEX(Tasks[_LeafBudget],Tasks[[#This Row],[_Row]]+1):INDEX(Tasks[_LeafBudget],Tasks[[#This Row],[_Row]]+Tasks[[#This Row],[_Descendants]])),Tasks[[#This Row],[_LeafBudget]]))</f>
        <v/>
      </c>
      <c r="BR200" s="111" t="str">
        <f aca="false">IF(Tasks[[#This Row],[Task Name]]="","",IF(Tasks[[#This Row],[_IsSummary]],SUM(INDEX(Tasks[_LeafPV],Tasks[[#This Row],[_Row]]+1):INDEX(Tasks[_LeafPV],Tasks[[#This Row],[_Row]]+Tasks[[#This Row],[_Descendants]])),Tasks[[#This Row],[_LeafPV]]))</f>
        <v/>
      </c>
      <c r="BS200" s="111" t="str">
        <f aca="false">IF(Tasks[[#This Row],[Task Name]]="","",IF(Tasks[[#This Row],[_IsSummary]],SUM(INDEX(Tasks[_LeafAC],Tasks[[#This Row],[_Row]]+1):INDEX(Tasks[_LeafAC],Tasks[[#This Row],[_Row]]+Tasks[[#This Row],[_Descendants]])),Tasks[[#This Row],[_LeafAC]]))</f>
        <v/>
      </c>
      <c r="BT200" s="38" t="str">
        <f aca="false">IF(Tasks[[#This Row],[Task Name]]="","",MAX(1,N(Tasks[[#This Row],[Level]])))</f>
        <v/>
      </c>
      <c r="BU200" s="38" t="n">
        <f aca="false">ROW()-ROW(Tasks[[#Headers],[ID]])</f>
        <v>195</v>
      </c>
      <c r="BV200" s="38" t="n">
        <f aca="false">IF(OR(Tasks[[#This Row],[Task Name]]="",Tasks[[#This Row],[_Level]]&lt;=1),0,IFERROR(LOOKUP(2,1/(Tasks[[#Headers],[_Level]]:Tasks[[#This Row],[_Level]]=Tasks[[#This Row],[_Level]]-1),ROW(Tasks[[#Headers],[_Level]]:Tasks[[#This Row],[_Level]])),0))</f>
        <v>0</v>
      </c>
      <c r="BW200" s="38" t="n">
        <f aca="false">IFERROR(N(INDEX(Tasks[_Level],Tasks[[#This Row],[_Row]]+1)),0)</f>
        <v>0</v>
      </c>
      <c r="BX200" s="114" t="b">
        <f aca="false">AND(Tasks[[#This Row],[Task Name]]&lt;&gt;"",Tasks[[#This Row],[_NextLevel]]&gt;Tasks[[#This Row],[_Level]])</f>
        <v>0</v>
      </c>
      <c r="BY200" s="38" t="n">
        <f aca="false">IF(Tasks[[#This Row],[_IsSummary]],COUNTIF(Tasks[WBS],Tasks[[#This Row],[WBS]]&amp;".*"),0)</f>
        <v>0</v>
      </c>
      <c r="BZ200" s="38" t="n">
        <f aca="false">IF(AND(Tasks[[#This Row],[Task Name]]&lt;&gt;"",NOT(Tasks[[#This Row],[_IsSummary]])),1,0)</f>
        <v>0</v>
      </c>
      <c r="CA200" s="38" t="n">
        <f aca="false">IF(N(Tasks[[#This Row],[Pred1 UID]])=0,0,IFERROR(MATCH(Tasks[[#This Row],[Pred1 UID]],Tasks[UID],0),-1))</f>
        <v>0</v>
      </c>
      <c r="CB200" s="38" t="n">
        <f aca="false">IF(N(Tasks[[#This Row],[Pred2 UID]])=0,0,IFERROR(MATCH(Tasks[[#This Row],[Pred2 UID]],Tasks[UID],0),-1))</f>
        <v>0</v>
      </c>
      <c r="CC200" s="38" t="n">
        <f aca="false">IF(N(Tasks[[#This Row],[Pred3 UID]])=0,0,IFERROR(MATCH(Tasks[[#This Row],[Pred3 UID]],Tasks[UID],0),-1))</f>
        <v>0</v>
      </c>
      <c r="CD200" s="38" t="n">
        <f aca="false">IF(N(Tasks[[#This Row],[Pred4 UID]])=0,0,IFERROR(MATCH(Tasks[[#This Row],[Pred4 UID]],Tasks[UID],0),-1))</f>
        <v>0</v>
      </c>
      <c r="CE20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0" s="115" t="n">
        <f aca="false">IF(OR(Tasks[[#This Row],[_ConstraintCode]]=2,Tasks[[#This Row],[_ConstraintCode]]=3,Tasks[[#This Row],[_ConstraintCode]]=4,Tasks[[#This Row],[_ConstraintCode]]=6),Tasks[[#This Row],[_ConstraintStart]],0)</f>
        <v>0</v>
      </c>
      <c r="CH200" s="115" t="n">
        <f aca="false">IF(OR(Tasks[[#This Row],[_ConstraintCode]]=2,Tasks[[#This Row],[_ConstraintCode]]=3,Tasks[[#This Row],[_ConstraintCode]]=5,Tasks[[#This Row],[_ConstraintCode]]=7),Tasks[[#This Row],[_ConstraintStart]],2958465)</f>
        <v>2958465</v>
      </c>
      <c r="CI20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0" s="115" t="str">
        <f aca="false">IF(NOT(Tasks[[#This Row],[_IsLeaf]]=1),"",IF(N(Tasks[[#This Row],[Duration]])&lt;=0,Tasks[[#This Row],[_LeafCalcStart]],WORKDAY.INTL(Tasks[[#This Row],[_LeafCalcStart]],Tasks[[#This Row],[Duration]]-1,WorkWeek,Holidays)))</f>
        <v/>
      </c>
      <c r="CK20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0" s="38" t="n">
        <f aca="false">IF(NOT(Tasks[[#This Row],[_IsLeaf]]=1),0,IF(N(Tasks[[#This Row],[Actual Finish]])&gt;0,1,MIN(1,N(Tasks[[#This Row],[% Complete]]))))</f>
        <v>0</v>
      </c>
      <c r="CN200" s="38" t="n">
        <f aca="false">IF(OR(NOT(Tasks[[#This Row],[_IsLeaf]]=1),Tasks[[#This Row],[Resource]]=""),0,N(Tasks[[#This Row],[Duration]])*HoursPerDay*IF(Tasks[[#This Row],[Units]]="",DefaultUnits,Tasks[[#This Row],[Units]]))</f>
        <v>0</v>
      </c>
      <c r="CO200" s="38" t="n">
        <f aca="false">IF(Tasks[[#This Row],[_LeafWork]]=0,0,Tasks[[#This Row],[_LeafWork]]*IFERROR(INDEX(res_Rate,MATCH(Tasks[[#This Row],[Resource]],res_Name,0)),0))</f>
        <v>0</v>
      </c>
      <c r="CP200" s="38" t="n">
        <f aca="false">Tasks[[#This Row],[_LeafWork]]+IF(Tasks[[#This Row],[_IsLeaf]]=1,SUMIFS(asg_Work,asg_TaskUID,Tasks[[#This Row],[UID]],asg_Valid,1),0)</f>
        <v>0</v>
      </c>
      <c r="CQ200" s="38" t="n">
        <f aca="false">Tasks[[#This Row],[_LeafCost]]+IF(Tasks[[#This Row],[_IsLeaf]]=1,SUMIFS(asg_Cost,asg_TaskUID,Tasks[[#This Row],[UID]],asg_Valid,1),0)</f>
        <v>0</v>
      </c>
      <c r="CR200" s="38" t="n">
        <f aca="false">IF(Tasks[[#This Row],[_LeafTotalCost]]=0,Tasks[[#This Row],[_LeafAC]],Tasks[[#This Row],[_LeafAC]]*Tasks[[#This Row],[_LeafCost]]/Tasks[[#This Row],[_LeafTotalCost]])</f>
        <v>0</v>
      </c>
      <c r="CS20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0" s="38" t="n">
        <f aca="false">IF(NOT(Tasks[[#This Row],[_IsLeaf]]=1),0,MAX(_xlfn.MAXIFS(Tasks[_Row],Tasks[Pred1 UID],Tasks[[#This Row],[UID]]),_xlfn.MAXIFS(Tasks[_Row],Tasks[Pred2 UID],Tasks[[#This Row],[UID]]),_xlfn.MAXIFS(Tasks[_Row],Tasks[Pred3 UID],Tasks[[#This Row],[UID]]),_xlfn.MAXIFS(Tasks[_Row],Tasks[Pred4 UID],Tasks[[#This Row],[UID]])))</f>
        <v>0</v>
      </c>
      <c r="DB20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0" s="115" t="str">
        <f aca="false">IF(NOT(Tasks[[#This Row],[_IsLeaf]]=1),"",IF(N(Tasks[[#This Row],[Duration]])&lt;=0,Tasks[[#This Row],[_LeafLateFinish]],WORKDAY.INTL(Tasks[[#This Row],[_LeafLateFinish]],-(Tasks[[#This Row],[Duration]]-1),WorkWeek,Holidays)))</f>
        <v/>
      </c>
      <c r="DE20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0" s="114" t="b">
        <f aca="false">AND(Tasks[[#This Row],[_IsLeaf]]=1,Tasks[[#This Row],[_LeafProgress]]&lt;1,N(Tasks[[#This Row],[_LeafTotalSlack]])&lt;=CriticalSlackDays)</f>
        <v>0</v>
      </c>
      <c r="DG200" s="38" t="n">
        <f aca="false">IF(AND(Tasks[[#This Row],[_IsLeaf]]=1,Tasks[[#This Row],[_ConstraintCode]]=1,Tasks[[#This Row],[Mode]]&lt;&gt;"Manual",N(Tasks[[#This Row],[Actual Start]])=0),MAX(0,N(Tasks[[#This Row],[Free Slack]])),0)</f>
        <v>0</v>
      </c>
      <c r="DH200" s="115" t="str">
        <f aca="false">IF(NOT(Tasks[[#This Row],[_IsLeaf]]=1),"",IF(Tasks[[#This Row],[_AlapShift]]=0,Tasks[[#This Row],[_LeafCalcStart]],WORKDAY.INTL(Tasks[[#This Row],[_LeafCalcStart]],Tasks[[#This Row],[_AlapShift]],WorkWeek,Holidays)))</f>
        <v/>
      </c>
      <c r="DI200" s="115" t="str">
        <f aca="false">IF(NOT(Tasks[[#This Row],[_IsLeaf]]=1),"",IF(Tasks[[#This Row],[_AlapShift]]=0,Tasks[[#This Row],[_LeafCalcFinish]],WORKDAY.INTL(Tasks[[#This Row],[_LeafCalcFinish]],Tasks[[#This Row],[_AlapShift]],WorkWeek,Holidays)))</f>
        <v/>
      </c>
      <c r="DJ200" s="115" t="str">
        <f aca="false">IF(NOT(Tasks[[#This Row],[_IsLeaf]]=1),"",IF(Tasks[[#This Row],[_AlapShift]]=0,Tasks[[#This Row],[_LeafFcstStart]],WORKDAY.INTL(Tasks[[#This Row],[_LeafFcstStart]],Tasks[[#This Row],[_AlapShift]],WorkWeek,Holidays)))</f>
        <v/>
      </c>
      <c r="DK200" s="115" t="str">
        <f aca="false">IF(NOT(Tasks[[#This Row],[_IsLeaf]]=1),"",IF(Tasks[[#This Row],[_AlapShift]]=0,Tasks[[#This Row],[_LeafFcstFinish]],WORKDAY.INTL(Tasks[[#This Row],[_LeafFcstFinish]],Tasks[[#This Row],[_AlapShift]],WorkWeek,Holidays)))</f>
        <v/>
      </c>
      <c r="DL200" s="115" t="str">
        <f aca="false">IF(Tasks[[#This Row],[Task Name]]="","",IF(Tasks[[#This Row],[_IsSummary]],MIN(INDEX(Tasks[_ShownCalcStart],Tasks[[#This Row],[_Row]]+1):INDEX(Tasks[_ShownCalcStart],Tasks[[#This Row],[_Row]]+Tasks[[#This Row],[_Descendants]])),Tasks[[#This Row],[_ShownCalcStart]]))</f>
        <v/>
      </c>
      <c r="DM200" s="115" t="str">
        <f aca="false">IF(Tasks[[#This Row],[Task Name]]="","",IF(Tasks[[#This Row],[_IsSummary]],MAX(INDEX(Tasks[_ShownCalcFinish],Tasks[[#This Row],[_Row]]+1):INDEX(Tasks[_ShownCalcFinish],Tasks[[#This Row],[_Row]]+Tasks[[#This Row],[_Descendants]])),Tasks[[#This Row],[_ShownCalcFinish]]))</f>
        <v/>
      </c>
      <c r="DN20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0" s="38" t="n">
        <f aca="false">IF(AND(Tasks[[#This Row],[_IsLeaf]]=1,Tasks[[#This Row],[_LeafTotalWork]]&gt;0),NETWORKDAYS.INTL(ProjectStart,Tasks[[#This Row],[_ShownFcstStart]],WorkWeek,Holidays),0)</f>
        <v>0</v>
      </c>
      <c r="EA200" s="38" t="n">
        <f aca="false">IF(AND(Tasks[[#This Row],[_IsLeaf]]=1,Tasks[[#This Row],[_LeafTotalWork]]&gt;0),MAX(Tasks[[#This Row],[_StartWorkday]],NETWORKDAYS.INTL(ProjectStart,Tasks[[#This Row],[_ShownFcstFinish]],WorkWeek,Holidays)),0)</f>
        <v>0</v>
      </c>
      <c r="EB200" s="38" t="n">
        <f aca="false">IF(AND(Tasks[[#This Row],[_IsLeaf]]=1,Tasks[[#This Row],[_LeafTotalWork]]&gt;0),Tasks[[#This Row],[_LeafWork]]/(Tasks[[#This Row],[_FinishWorkday]]-Tasks[[#This Row],[_StartWorkday]]+1),0)</f>
        <v>0</v>
      </c>
      <c r="EC200" s="38" t="n">
        <f aca="false">Tasks[[#This Row],[_WorkPerWorkday]]*(Tasks[[#This Row],[_StartWorkday]]-1)</f>
        <v>-0</v>
      </c>
      <c r="ED200" s="38" t="n">
        <f aca="false">IF(Tasks[[#This Row],[_IsLeaf]]=1,MAX(N(Tasks[[#This Row],[Duration]]),0.1),0)</f>
        <v>0</v>
      </c>
      <c r="EE200" s="38" t="n">
        <f aca="false">Tasks[[#This Row],[_WeightDur]]*Tasks[[#This Row],[_LeafProgress]]</f>
        <v>0</v>
      </c>
      <c r="EF20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0" s="38" t="str">
        <f aca="false">IF(AND(Tasks[[#This Row],[_IsLeaf]]=1,N(Tasks[[#This Row],[Duration]])=0,Tasks[[#This Row],[_LeafProgress]]&lt;1),Tasks[[#This Row],[_ShownFcstFinish]]+Tasks[[#This Row],[_Row]]/100000,"")</f>
        <v/>
      </c>
      <c r="EH20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0" s="38" t="n">
        <f aca="false">IF(NOT(Tasks[[#This Row],[_IsLeaf]]=1),0,IF(Tasks[[#This Row],[Baseline Cost]]="",Tasks[[#This Row],[_LeafTotalCost]],N(Tasks[[#This Row],[Baseline Cost]])))</f>
        <v>0</v>
      </c>
      <c r="EJ200" s="38" t="n">
        <f aca="false">Tasks[[#This Row],[_LeafBudget]]*Tasks[[#This Row],[_PlannedPct]]</f>
        <v>0</v>
      </c>
      <c r="EK200" s="38" t="n">
        <f aca="false">Tasks[[#This Row],[_LeafBudget]]*Tasks[[#This Row],[_LeafProgress]]</f>
        <v>0</v>
      </c>
      <c r="EL200" s="38" t="n">
        <f aca="false">IF(NOT(Tasks[[#This Row],[_IsLeaf]]=1),0,IF(Tasks[[#This Row],[Actual Cost]]="",Tasks[[#This Row],[_LeafTotalCost]]*Tasks[[#This Row],[_LeafProgress]],N(Tasks[[#This Row],[Actual Cost]])))</f>
        <v>0</v>
      </c>
      <c r="EM200" s="38" t="str">
        <f aca="false">IF(Tasks[[#This Row],[Task Name]]="","",LEFT(Tasks[[#This Row],[WBS]],FIND(".",Tasks[[#This Row],[WBS]]&amp;".")-1))</f>
        <v/>
      </c>
      <c r="EN200" s="38" t="str">
        <f aca="false">IF(AND(Tasks[[#This Row],[Task Name]]&lt;&gt;"",Tasks[[#This Row],[_Level]]=1),Tasks[[#This Row],[_Row]],"")</f>
        <v/>
      </c>
      <c r="EO200" s="38" t="str">
        <f aca="false">IF(AND(Tasks[[#This Row],[_IsLeaf]]=1,N(Tasks[[#This Row],[Duration]])=0),Tasks[[#This Row],[Planned Finish]]+Tasks[[#This Row],[_Row]]/100000,"")</f>
        <v/>
      </c>
      <c r="EP200" s="38" t="str">
        <f aca="false">IF(AND(Tasks[[#This Row],[_IsLeaf]]=1,Tasks[[#This Row],[_LeafProgress]]&lt;1,OR(N(Tasks[[#This Row],[Finish Var]])&gt;0,Tasks[[#This Row],[Status]]="Late Start")),MAX(0,Tasks[[#This Row],[Finish Var]])+1-Tasks[[#This Row],[_Row]]/1000000,"")</f>
        <v/>
      </c>
      <c r="EQ200" s="38" t="str">
        <f aca="false">IF(AND(Tasks[[#This Row],[_IsLeaf]]=1,N(Tasks[[#This Row],[Actual Start]])=0,Tasks[[#This Row],[_ShownFcstStart]]&gt;=StatusDate,Tasks[[#This Row],[_ShownFcstStart]]&lt;=LookaheadEnd),Tasks[[#This Row],[_ShownFcstStart]]+Tasks[[#This Row],[_Row]]/100000,"")</f>
        <v/>
      </c>
      <c r="ER200" s="38" t="str">
        <f aca="false">IF(AND(Tasks[[#This Row],[_IsLeaf]]=1,Tasks[[#This Row],[_LeafProgress]]&lt;1,Tasks[[#This Row],[_ShownFcstFinish]]&gt;=StatusDate,Tasks[[#This Row],[_ShownFcstFinish]]&lt;=LookaheadEnd),Tasks[[#This Row],[_ShownFcstFinish]]+Tasks[[#This Row],[_Row]]/100000,"")</f>
        <v/>
      </c>
      <c r="ES200" s="38" t="str">
        <f aca="false">IF(Tasks[[#This Row],[_LeafCritical]],Tasks[[#This Row],[_ShownFcstStart]]+Tasks[[#This Row],[_Row]]/100000,"")</f>
        <v/>
      </c>
      <c r="ET200" s="38" t="n">
        <f aca="false">Tasks[[#This Row],[_LeafWork]]*Tasks[[#This Row],[_LeafProgress]]</f>
        <v>0</v>
      </c>
      <c r="EU200" s="115" t="str">
        <f aca="false">IF(AND(Tasks[[#This Row],[_IsLeaf]]=1,Tasks[[#This Row],[_LeafProgress]]&gt;=1),IF(N(Tasks[[#This Row],[Actual Finish]])&gt;0,Tasks[[#This Row],[Actual Finish]],Tasks[[#This Row],[_ShownFcstFinish]]),"")</f>
        <v/>
      </c>
      <c r="EV200" s="38" t="n">
        <f aca="false">IF(Tasks[[#This Row],[_IsLeaf]]=1,N(Tasks[[#This Row],[Story Points]]),0)</f>
        <v>0</v>
      </c>
      <c r="EW200" s="38" t="str">
        <f aca="false">IF(AND(Tasks[[#This Row],[_IsLeaf]]=1,CurrentSprint&lt;&gt;"",Tasks[[#This Row],[Sprint]]=CurrentSprint),Tasks[[#This Row],[_Row]],"")</f>
        <v/>
      </c>
    </row>
    <row r="201" customFormat="false" ht="15" hidden="false" customHeight="false" outlineLevel="0" collapsed="false">
      <c r="A201" s="51" t="str">
        <f aca="false">IF(Tasks[[#This Row],[Task Name]]="","",COUNTA(Tasks[[#Headers],[Task Name]]:Tasks[[#This Row],[Task Name]])-1)</f>
        <v/>
      </c>
      <c r="B201" s="52" t="n">
        <v>196</v>
      </c>
      <c r="C20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52"/>
      <c r="E201" s="53"/>
      <c r="F201" s="52"/>
      <c r="G201" s="52"/>
      <c r="H201" s="52"/>
      <c r="I201" s="52"/>
      <c r="J201" s="52"/>
      <c r="K201" s="52"/>
      <c r="L201" s="52"/>
      <c r="M201" s="52"/>
      <c r="N201" s="52"/>
      <c r="O201" s="52"/>
      <c r="P201" s="52"/>
      <c r="Q201" s="52"/>
      <c r="R201" s="52"/>
      <c r="S201" s="53"/>
      <c r="T201" s="102"/>
      <c r="U201" s="102"/>
      <c r="V201" s="7"/>
      <c r="W201" s="7"/>
      <c r="X201" s="53"/>
      <c r="Y201" s="31" t="str">
        <f aca="false">IF(Tasks[[#This Row],[Task Name]]="","",IF(Tasks[[#This Row],[_IsSummary]],MIN(INDEX(Tasks[_ShownFcstStart],Tasks[[#This Row],[_Row]]+1):INDEX(Tasks[_ShownFcstStart],Tasks[[#This Row],[_Row]]+Tasks[[#This Row],[_Descendants]])),Tasks[[#This Row],[_ShownFcstStart]]))</f>
        <v/>
      </c>
      <c r="Z201" s="31" t="str">
        <f aca="false">IF(Tasks[[#This Row],[Task Name]]="","",IF(Tasks[[#This Row],[_IsSummary]],MAX(INDEX(Tasks[_ShownFcstFinish],Tasks[[#This Row],[_Row]]+1):INDEX(Tasks[_ShownFcstFinish],Tasks[[#This Row],[_Row]]+Tasks[[#This Row],[_Descendants]])),Tasks[[#This Row],[_ShownFcstFinish]]))</f>
        <v/>
      </c>
      <c r="AA201" s="51" t="str">
        <f aca="false">IF(Tasks[[#This Row],[Task Name]]="","",IF(Tasks[[#This Row],[Progress]]&gt;=1,"Complete",IF(OR(N(Tasks[[#This Row],[Actual Start]])&gt;0,Tasks[[#This Row],[Progress]]&gt;0),IF(Tasks[[#This Row],[Finish Var]]&gt;0,"Behind","In Progress"),IF(Tasks[[#This Row],[Planned Start]]&lt;StatusDate,"Late Start","Not Started"))))</f>
        <v/>
      </c>
      <c r="AB201" s="51" t="str">
        <f aca="false">IF(Tasks[[#This Row],[Task Name]]="","",IF(IF(Tasks[[#This Row],[_IsSummary]],COUNTIF(INDEX(Tasks[_LeafCritical],Tasks[[#This Row],[_Row]]+1):INDEX(Tasks[_LeafCritical],Tasks[[#This Row],[_Row]]+Tasks[[#This Row],[_Descendants]]),TRUE())&gt;0,Tasks[[#This Row],[_LeafCritical]]),"Yes",""))</f>
        <v/>
      </c>
      <c r="AC20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1" s="51" t="str">
        <f aca="false">IF(Tasks[[#This Row],[Task Name]]="","",IF(Tasks[[#This Row],[_Level]]&lt;=OutlineShowLevel,"Yes","No"))</f>
        <v/>
      </c>
      <c r="AE201" s="7"/>
      <c r="AF201" s="52"/>
      <c r="AG201" s="53"/>
      <c r="AH201" s="7"/>
      <c r="AI201"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1" s="31" t="str">
        <f aca="false">IF(Tasks[[#This Row],[Task Name]]="","",IF(N(Tasks[[#This Row],[Baseline Start]])&gt;0,Tasks[[#This Row],[Baseline Start]],Tasks[[#This Row],[_CalcStart]]))</f>
        <v/>
      </c>
      <c r="AK201" s="31" t="str">
        <f aca="false">IF(Tasks[[#This Row],[Task Name]]="","",IF(N(Tasks[[#This Row],[Baseline Finish]])&gt;0,Tasks[[#This Row],[Baseline Finish]],Tasks[[#This Row],[_CalcFinish]]))</f>
        <v/>
      </c>
      <c r="AL201"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1" s="31" t="str">
        <f aca="false">IF(Tasks[[#This Row],[Task Name]]="","",IF(Tasks[[#This Row],[_IsSummary]],MIN(INDEX(Tasks[_LeafLateStart],Tasks[[#This Row],[_Row]]+1):INDEX(Tasks[_LeafLateStart],Tasks[[#This Row],[_Row]]+Tasks[[#This Row],[_Descendants]])),Tasks[[#This Row],[_LeafLateStart]]))</f>
        <v/>
      </c>
      <c r="AN201" s="31" t="str">
        <f aca="false">IF(Tasks[[#This Row],[Task Name]]="","",IF(Tasks[[#This Row],[_IsSummary]],MAX(INDEX(Tasks[_LeafLateFinish],Tasks[[#This Row],[_Row]]+1):INDEX(Tasks[_LeafLateFinish],Tasks[[#This Row],[_Row]]+Tasks[[#This Row],[_Descendants]])),Tasks[[#This Row],[_LeafLateFinish]]))</f>
        <v/>
      </c>
      <c r="AO201" s="51" t="str">
        <f aca="false">IF(Tasks[[#This Row],[Task Name]]="","",IF(Tasks[[#This Row],[_IsSummary]],MIN(INDEX(Tasks[_LeafTotalSlack],Tasks[[#This Row],[_Row]]+1):INDEX(Tasks[_LeafTotalSlack],Tasks[[#This Row],[_Row]]+Tasks[[#This Row],[_Descendants]])),Tasks[[#This Row],[_LeafTotalSlack]]))</f>
        <v/>
      </c>
      <c r="AP20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1" s="110" t="str">
        <f aca="false">IF(Tasks[[#This Row],[Task Name]]="","",IF(Tasks[[#This Row],[_IsSummary]],SUM(INDEX(Tasks[_LeafTotalWork],Tasks[[#This Row],[_Row]]+1):INDEX(Tasks[_LeafTotalWork],Tasks[[#This Row],[_Row]]+Tasks[[#This Row],[_Descendants]])),Tasks[[#This Row],[_LeafTotalWork]]))</f>
        <v/>
      </c>
      <c r="AV20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1" s="111" t="str">
        <f aca="false">IF(Tasks[[#This Row],[Task Name]]="","",IF(Tasks[[#This Row],[_IsSummary]],SUM(INDEX(Tasks[_LeafTotalCost],Tasks[[#This Row],[_Row]]+1):INDEX(Tasks[_LeafTotalCost],Tasks[[#This Row],[_Row]]+Tasks[[#This Row],[_Descendants]])),Tasks[[#This Row],[_LeafTotalCost]]))</f>
        <v/>
      </c>
      <c r="AY201" s="112"/>
      <c r="AZ20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1" s="52"/>
      <c r="BB201" s="98"/>
      <c r="BC201" s="51" t="str">
        <f aca="false">IF(OR(Tasks[[#This Row],[Task Name]]="",Tasks[[#This Row],[Baseline Duration]]=""),"",Tasks[[#This Row],[BL Source Duration]]-N(Tasks[[#This Row],[Baseline Duration]]))</f>
        <v/>
      </c>
      <c r="BD201" s="110" t="str">
        <f aca="false">IF(OR(Tasks[[#This Row],[Task Name]]="",Tasks[[#This Row],[Baseline Work]]=""),"",Tasks[[#This Row],[Work]]-N(Tasks[[#This Row],[Baseline Work]]))</f>
        <v/>
      </c>
      <c r="BE201" s="111" t="str">
        <f aca="false">IF(OR(Tasks[[#This Row],[Task Name]]="",Tasks[[#This Row],[Baseline Cost]]=""),"",Tasks[[#This Row],[Cost]]-N(Tasks[[#This Row],[Baseline Cost]]))</f>
        <v/>
      </c>
      <c r="BF201" s="31" t="str">
        <f aca="false">IF(Tasks[[#This Row],[Task Name]]="","",Tasks[[#This Row],[Forecast Start]])</f>
        <v/>
      </c>
      <c r="BG201" s="31" t="str">
        <f aca="false">IF(Tasks[[#This Row],[Task Name]]="","",Tasks[[#This Row],[Forecast Finish]])</f>
        <v/>
      </c>
      <c r="BH201" s="51" t="str">
        <f aca="false">IF(Tasks[[#This Row],[Task Name]]="","",IF(Tasks[[#This Row],[_IsSummary]],NETWORKDAYS.INTL(Tasks[[#This Row],[Forecast Start]],Tasks[[#This Row],[Forecast Finish]],WorkWeek,Holidays),N(Tasks[[#This Row],[Duration]])))</f>
        <v/>
      </c>
      <c r="BI201" s="110" t="str">
        <f aca="false">IF(Tasks[[#This Row],[Task Name]]="","",Tasks[[#This Row],[Work]])</f>
        <v/>
      </c>
      <c r="BJ201" s="111" t="str">
        <f aca="false">IF(Tasks[[#This Row],[Task Name]]="","",Tasks[[#This Row],[Cost]])</f>
        <v/>
      </c>
      <c r="BK201" s="7"/>
      <c r="BL201" s="7"/>
      <c r="BM201" s="52"/>
      <c r="BN201" s="113"/>
      <c r="BO201" s="112"/>
      <c r="BP201" s="111" t="str">
        <f aca="false">IF(Tasks[[#This Row],[Task Name]]="","",IF(Tasks[[#This Row],[_IsSummary]],SUM(INDEX(Tasks[_LeafEV],Tasks[[#This Row],[_Row]]+1):INDEX(Tasks[_LeafEV],Tasks[[#This Row],[_Row]]+Tasks[[#This Row],[_Descendants]])),Tasks[[#This Row],[_LeafEV]]))</f>
        <v/>
      </c>
      <c r="BQ201" s="111" t="str">
        <f aca="false">IF(Tasks[[#This Row],[Task Name]]="","",IF(Tasks[[#This Row],[_IsSummary]],SUM(INDEX(Tasks[_LeafBudget],Tasks[[#This Row],[_Row]]+1):INDEX(Tasks[_LeafBudget],Tasks[[#This Row],[_Row]]+Tasks[[#This Row],[_Descendants]])),Tasks[[#This Row],[_LeafBudget]]))</f>
        <v/>
      </c>
      <c r="BR201" s="111" t="str">
        <f aca="false">IF(Tasks[[#This Row],[Task Name]]="","",IF(Tasks[[#This Row],[_IsSummary]],SUM(INDEX(Tasks[_LeafPV],Tasks[[#This Row],[_Row]]+1):INDEX(Tasks[_LeafPV],Tasks[[#This Row],[_Row]]+Tasks[[#This Row],[_Descendants]])),Tasks[[#This Row],[_LeafPV]]))</f>
        <v/>
      </c>
      <c r="BS201" s="111" t="str">
        <f aca="false">IF(Tasks[[#This Row],[Task Name]]="","",IF(Tasks[[#This Row],[_IsSummary]],SUM(INDEX(Tasks[_LeafAC],Tasks[[#This Row],[_Row]]+1):INDEX(Tasks[_LeafAC],Tasks[[#This Row],[_Row]]+Tasks[[#This Row],[_Descendants]])),Tasks[[#This Row],[_LeafAC]]))</f>
        <v/>
      </c>
      <c r="BT201" s="38" t="str">
        <f aca="false">IF(Tasks[[#This Row],[Task Name]]="","",MAX(1,N(Tasks[[#This Row],[Level]])))</f>
        <v/>
      </c>
      <c r="BU201" s="38" t="n">
        <f aca="false">ROW()-ROW(Tasks[[#Headers],[ID]])</f>
        <v>196</v>
      </c>
      <c r="BV201" s="38" t="n">
        <f aca="false">IF(OR(Tasks[[#This Row],[Task Name]]="",Tasks[[#This Row],[_Level]]&lt;=1),0,IFERROR(LOOKUP(2,1/(Tasks[[#Headers],[_Level]]:Tasks[[#This Row],[_Level]]=Tasks[[#This Row],[_Level]]-1),ROW(Tasks[[#Headers],[_Level]]:Tasks[[#This Row],[_Level]])),0))</f>
        <v>0</v>
      </c>
      <c r="BW201" s="38" t="n">
        <f aca="false">IFERROR(N(INDEX(Tasks[_Level],Tasks[[#This Row],[_Row]]+1)),0)</f>
        <v>0</v>
      </c>
      <c r="BX201" s="114" t="b">
        <f aca="false">AND(Tasks[[#This Row],[Task Name]]&lt;&gt;"",Tasks[[#This Row],[_NextLevel]]&gt;Tasks[[#This Row],[_Level]])</f>
        <v>0</v>
      </c>
      <c r="BY201" s="38" t="n">
        <f aca="false">IF(Tasks[[#This Row],[_IsSummary]],COUNTIF(Tasks[WBS],Tasks[[#This Row],[WBS]]&amp;".*"),0)</f>
        <v>0</v>
      </c>
      <c r="BZ201" s="38" t="n">
        <f aca="false">IF(AND(Tasks[[#This Row],[Task Name]]&lt;&gt;"",NOT(Tasks[[#This Row],[_IsSummary]])),1,0)</f>
        <v>0</v>
      </c>
      <c r="CA201" s="38" t="n">
        <f aca="false">IF(N(Tasks[[#This Row],[Pred1 UID]])=0,0,IFERROR(MATCH(Tasks[[#This Row],[Pred1 UID]],Tasks[UID],0),-1))</f>
        <v>0</v>
      </c>
      <c r="CB201" s="38" t="n">
        <f aca="false">IF(N(Tasks[[#This Row],[Pred2 UID]])=0,0,IFERROR(MATCH(Tasks[[#This Row],[Pred2 UID]],Tasks[UID],0),-1))</f>
        <v>0</v>
      </c>
      <c r="CC201" s="38" t="n">
        <f aca="false">IF(N(Tasks[[#This Row],[Pred3 UID]])=0,0,IFERROR(MATCH(Tasks[[#This Row],[Pred3 UID]],Tasks[UID],0),-1))</f>
        <v>0</v>
      </c>
      <c r="CD201" s="38" t="n">
        <f aca="false">IF(N(Tasks[[#This Row],[Pred4 UID]])=0,0,IFERROR(MATCH(Tasks[[#This Row],[Pred4 UID]],Tasks[UID],0),-1))</f>
        <v>0</v>
      </c>
      <c r="CE20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1" s="115" t="n">
        <f aca="false">IF(OR(Tasks[[#This Row],[_ConstraintCode]]=2,Tasks[[#This Row],[_ConstraintCode]]=3,Tasks[[#This Row],[_ConstraintCode]]=4,Tasks[[#This Row],[_ConstraintCode]]=6),Tasks[[#This Row],[_ConstraintStart]],0)</f>
        <v>0</v>
      </c>
      <c r="CH201" s="115" t="n">
        <f aca="false">IF(OR(Tasks[[#This Row],[_ConstraintCode]]=2,Tasks[[#This Row],[_ConstraintCode]]=3,Tasks[[#This Row],[_ConstraintCode]]=5,Tasks[[#This Row],[_ConstraintCode]]=7),Tasks[[#This Row],[_ConstraintStart]],2958465)</f>
        <v>2958465</v>
      </c>
      <c r="CI20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1" s="115" t="str">
        <f aca="false">IF(NOT(Tasks[[#This Row],[_IsLeaf]]=1),"",IF(N(Tasks[[#This Row],[Duration]])&lt;=0,Tasks[[#This Row],[_LeafCalcStart]],WORKDAY.INTL(Tasks[[#This Row],[_LeafCalcStart]],Tasks[[#This Row],[Duration]]-1,WorkWeek,Holidays)))</f>
        <v/>
      </c>
      <c r="CK20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1" s="38" t="n">
        <f aca="false">IF(NOT(Tasks[[#This Row],[_IsLeaf]]=1),0,IF(N(Tasks[[#This Row],[Actual Finish]])&gt;0,1,MIN(1,N(Tasks[[#This Row],[% Complete]]))))</f>
        <v>0</v>
      </c>
      <c r="CN201" s="38" t="n">
        <f aca="false">IF(OR(NOT(Tasks[[#This Row],[_IsLeaf]]=1),Tasks[[#This Row],[Resource]]=""),0,N(Tasks[[#This Row],[Duration]])*HoursPerDay*IF(Tasks[[#This Row],[Units]]="",DefaultUnits,Tasks[[#This Row],[Units]]))</f>
        <v>0</v>
      </c>
      <c r="CO201" s="38" t="n">
        <f aca="false">IF(Tasks[[#This Row],[_LeafWork]]=0,0,Tasks[[#This Row],[_LeafWork]]*IFERROR(INDEX(res_Rate,MATCH(Tasks[[#This Row],[Resource]],res_Name,0)),0))</f>
        <v>0</v>
      </c>
      <c r="CP201" s="38" t="n">
        <f aca="false">Tasks[[#This Row],[_LeafWork]]+IF(Tasks[[#This Row],[_IsLeaf]]=1,SUMIFS(asg_Work,asg_TaskUID,Tasks[[#This Row],[UID]],asg_Valid,1),0)</f>
        <v>0</v>
      </c>
      <c r="CQ201" s="38" t="n">
        <f aca="false">Tasks[[#This Row],[_LeafCost]]+IF(Tasks[[#This Row],[_IsLeaf]]=1,SUMIFS(asg_Cost,asg_TaskUID,Tasks[[#This Row],[UID]],asg_Valid,1),0)</f>
        <v>0</v>
      </c>
      <c r="CR201" s="38" t="n">
        <f aca="false">IF(Tasks[[#This Row],[_LeafTotalCost]]=0,Tasks[[#This Row],[_LeafAC]],Tasks[[#This Row],[_LeafAC]]*Tasks[[#This Row],[_LeafCost]]/Tasks[[#This Row],[_LeafTotalCost]])</f>
        <v>0</v>
      </c>
      <c r="CS20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1" s="38" t="n">
        <f aca="false">IF(NOT(Tasks[[#This Row],[_IsLeaf]]=1),0,MAX(_xlfn.MAXIFS(Tasks[_Row],Tasks[Pred1 UID],Tasks[[#This Row],[UID]]),_xlfn.MAXIFS(Tasks[_Row],Tasks[Pred2 UID],Tasks[[#This Row],[UID]]),_xlfn.MAXIFS(Tasks[_Row],Tasks[Pred3 UID],Tasks[[#This Row],[UID]]),_xlfn.MAXIFS(Tasks[_Row],Tasks[Pred4 UID],Tasks[[#This Row],[UID]])))</f>
        <v>0</v>
      </c>
      <c r="DB20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1" s="115" t="str">
        <f aca="false">IF(NOT(Tasks[[#This Row],[_IsLeaf]]=1),"",IF(N(Tasks[[#This Row],[Duration]])&lt;=0,Tasks[[#This Row],[_LeafLateFinish]],WORKDAY.INTL(Tasks[[#This Row],[_LeafLateFinish]],-(Tasks[[#This Row],[Duration]]-1),WorkWeek,Holidays)))</f>
        <v/>
      </c>
      <c r="DE20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1" s="114" t="b">
        <f aca="false">AND(Tasks[[#This Row],[_IsLeaf]]=1,Tasks[[#This Row],[_LeafProgress]]&lt;1,N(Tasks[[#This Row],[_LeafTotalSlack]])&lt;=CriticalSlackDays)</f>
        <v>0</v>
      </c>
      <c r="DG201" s="38" t="n">
        <f aca="false">IF(AND(Tasks[[#This Row],[_IsLeaf]]=1,Tasks[[#This Row],[_ConstraintCode]]=1,Tasks[[#This Row],[Mode]]&lt;&gt;"Manual",N(Tasks[[#This Row],[Actual Start]])=0),MAX(0,N(Tasks[[#This Row],[Free Slack]])),0)</f>
        <v>0</v>
      </c>
      <c r="DH201" s="115" t="str">
        <f aca="false">IF(NOT(Tasks[[#This Row],[_IsLeaf]]=1),"",IF(Tasks[[#This Row],[_AlapShift]]=0,Tasks[[#This Row],[_LeafCalcStart]],WORKDAY.INTL(Tasks[[#This Row],[_LeafCalcStart]],Tasks[[#This Row],[_AlapShift]],WorkWeek,Holidays)))</f>
        <v/>
      </c>
      <c r="DI201" s="115" t="str">
        <f aca="false">IF(NOT(Tasks[[#This Row],[_IsLeaf]]=1),"",IF(Tasks[[#This Row],[_AlapShift]]=0,Tasks[[#This Row],[_LeafCalcFinish]],WORKDAY.INTL(Tasks[[#This Row],[_LeafCalcFinish]],Tasks[[#This Row],[_AlapShift]],WorkWeek,Holidays)))</f>
        <v/>
      </c>
      <c r="DJ201" s="115" t="str">
        <f aca="false">IF(NOT(Tasks[[#This Row],[_IsLeaf]]=1),"",IF(Tasks[[#This Row],[_AlapShift]]=0,Tasks[[#This Row],[_LeafFcstStart]],WORKDAY.INTL(Tasks[[#This Row],[_LeafFcstStart]],Tasks[[#This Row],[_AlapShift]],WorkWeek,Holidays)))</f>
        <v/>
      </c>
      <c r="DK201" s="115" t="str">
        <f aca="false">IF(NOT(Tasks[[#This Row],[_IsLeaf]]=1),"",IF(Tasks[[#This Row],[_AlapShift]]=0,Tasks[[#This Row],[_LeafFcstFinish]],WORKDAY.INTL(Tasks[[#This Row],[_LeafFcstFinish]],Tasks[[#This Row],[_AlapShift]],WorkWeek,Holidays)))</f>
        <v/>
      </c>
      <c r="DL201" s="115" t="str">
        <f aca="false">IF(Tasks[[#This Row],[Task Name]]="","",IF(Tasks[[#This Row],[_IsSummary]],MIN(INDEX(Tasks[_ShownCalcStart],Tasks[[#This Row],[_Row]]+1):INDEX(Tasks[_ShownCalcStart],Tasks[[#This Row],[_Row]]+Tasks[[#This Row],[_Descendants]])),Tasks[[#This Row],[_ShownCalcStart]]))</f>
        <v/>
      </c>
      <c r="DM201" s="115" t="str">
        <f aca="false">IF(Tasks[[#This Row],[Task Name]]="","",IF(Tasks[[#This Row],[_IsSummary]],MAX(INDEX(Tasks[_ShownCalcFinish],Tasks[[#This Row],[_Row]]+1):INDEX(Tasks[_ShownCalcFinish],Tasks[[#This Row],[_Row]]+Tasks[[#This Row],[_Descendants]])),Tasks[[#This Row],[_ShownCalcFinish]]))</f>
        <v/>
      </c>
      <c r="DN20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1" s="38" t="n">
        <f aca="false">IF(AND(Tasks[[#This Row],[_IsLeaf]]=1,Tasks[[#This Row],[_LeafTotalWork]]&gt;0),NETWORKDAYS.INTL(ProjectStart,Tasks[[#This Row],[_ShownFcstStart]],WorkWeek,Holidays),0)</f>
        <v>0</v>
      </c>
      <c r="EA201" s="38" t="n">
        <f aca="false">IF(AND(Tasks[[#This Row],[_IsLeaf]]=1,Tasks[[#This Row],[_LeafTotalWork]]&gt;0),MAX(Tasks[[#This Row],[_StartWorkday]],NETWORKDAYS.INTL(ProjectStart,Tasks[[#This Row],[_ShownFcstFinish]],WorkWeek,Holidays)),0)</f>
        <v>0</v>
      </c>
      <c r="EB201" s="38" t="n">
        <f aca="false">IF(AND(Tasks[[#This Row],[_IsLeaf]]=1,Tasks[[#This Row],[_LeafTotalWork]]&gt;0),Tasks[[#This Row],[_LeafWork]]/(Tasks[[#This Row],[_FinishWorkday]]-Tasks[[#This Row],[_StartWorkday]]+1),0)</f>
        <v>0</v>
      </c>
      <c r="EC201" s="38" t="n">
        <f aca="false">Tasks[[#This Row],[_WorkPerWorkday]]*(Tasks[[#This Row],[_StartWorkday]]-1)</f>
        <v>-0</v>
      </c>
      <c r="ED201" s="38" t="n">
        <f aca="false">IF(Tasks[[#This Row],[_IsLeaf]]=1,MAX(N(Tasks[[#This Row],[Duration]]),0.1),0)</f>
        <v>0</v>
      </c>
      <c r="EE201" s="38" t="n">
        <f aca="false">Tasks[[#This Row],[_WeightDur]]*Tasks[[#This Row],[_LeafProgress]]</f>
        <v>0</v>
      </c>
      <c r="EF20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1" s="38" t="str">
        <f aca="false">IF(AND(Tasks[[#This Row],[_IsLeaf]]=1,N(Tasks[[#This Row],[Duration]])=0,Tasks[[#This Row],[_LeafProgress]]&lt;1),Tasks[[#This Row],[_ShownFcstFinish]]+Tasks[[#This Row],[_Row]]/100000,"")</f>
        <v/>
      </c>
      <c r="EH20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1" s="38" t="n">
        <f aca="false">IF(NOT(Tasks[[#This Row],[_IsLeaf]]=1),0,IF(Tasks[[#This Row],[Baseline Cost]]="",Tasks[[#This Row],[_LeafTotalCost]],N(Tasks[[#This Row],[Baseline Cost]])))</f>
        <v>0</v>
      </c>
      <c r="EJ201" s="38" t="n">
        <f aca="false">Tasks[[#This Row],[_LeafBudget]]*Tasks[[#This Row],[_PlannedPct]]</f>
        <v>0</v>
      </c>
      <c r="EK201" s="38" t="n">
        <f aca="false">Tasks[[#This Row],[_LeafBudget]]*Tasks[[#This Row],[_LeafProgress]]</f>
        <v>0</v>
      </c>
      <c r="EL201" s="38" t="n">
        <f aca="false">IF(NOT(Tasks[[#This Row],[_IsLeaf]]=1),0,IF(Tasks[[#This Row],[Actual Cost]]="",Tasks[[#This Row],[_LeafTotalCost]]*Tasks[[#This Row],[_LeafProgress]],N(Tasks[[#This Row],[Actual Cost]])))</f>
        <v>0</v>
      </c>
      <c r="EM201" s="38" t="str">
        <f aca="false">IF(Tasks[[#This Row],[Task Name]]="","",LEFT(Tasks[[#This Row],[WBS]],FIND(".",Tasks[[#This Row],[WBS]]&amp;".")-1))</f>
        <v/>
      </c>
      <c r="EN201" s="38" t="str">
        <f aca="false">IF(AND(Tasks[[#This Row],[Task Name]]&lt;&gt;"",Tasks[[#This Row],[_Level]]=1),Tasks[[#This Row],[_Row]],"")</f>
        <v/>
      </c>
      <c r="EO201" s="38" t="str">
        <f aca="false">IF(AND(Tasks[[#This Row],[_IsLeaf]]=1,N(Tasks[[#This Row],[Duration]])=0),Tasks[[#This Row],[Planned Finish]]+Tasks[[#This Row],[_Row]]/100000,"")</f>
        <v/>
      </c>
      <c r="EP201" s="38" t="str">
        <f aca="false">IF(AND(Tasks[[#This Row],[_IsLeaf]]=1,Tasks[[#This Row],[_LeafProgress]]&lt;1,OR(N(Tasks[[#This Row],[Finish Var]])&gt;0,Tasks[[#This Row],[Status]]="Late Start")),MAX(0,Tasks[[#This Row],[Finish Var]])+1-Tasks[[#This Row],[_Row]]/1000000,"")</f>
        <v/>
      </c>
      <c r="EQ201" s="38" t="str">
        <f aca="false">IF(AND(Tasks[[#This Row],[_IsLeaf]]=1,N(Tasks[[#This Row],[Actual Start]])=0,Tasks[[#This Row],[_ShownFcstStart]]&gt;=StatusDate,Tasks[[#This Row],[_ShownFcstStart]]&lt;=LookaheadEnd),Tasks[[#This Row],[_ShownFcstStart]]+Tasks[[#This Row],[_Row]]/100000,"")</f>
        <v/>
      </c>
      <c r="ER201" s="38" t="str">
        <f aca="false">IF(AND(Tasks[[#This Row],[_IsLeaf]]=1,Tasks[[#This Row],[_LeafProgress]]&lt;1,Tasks[[#This Row],[_ShownFcstFinish]]&gt;=StatusDate,Tasks[[#This Row],[_ShownFcstFinish]]&lt;=LookaheadEnd),Tasks[[#This Row],[_ShownFcstFinish]]+Tasks[[#This Row],[_Row]]/100000,"")</f>
        <v/>
      </c>
      <c r="ES201" s="38" t="str">
        <f aca="false">IF(Tasks[[#This Row],[_LeafCritical]],Tasks[[#This Row],[_ShownFcstStart]]+Tasks[[#This Row],[_Row]]/100000,"")</f>
        <v/>
      </c>
      <c r="ET201" s="38" t="n">
        <f aca="false">Tasks[[#This Row],[_LeafWork]]*Tasks[[#This Row],[_LeafProgress]]</f>
        <v>0</v>
      </c>
      <c r="EU201" s="115" t="str">
        <f aca="false">IF(AND(Tasks[[#This Row],[_IsLeaf]]=1,Tasks[[#This Row],[_LeafProgress]]&gt;=1),IF(N(Tasks[[#This Row],[Actual Finish]])&gt;0,Tasks[[#This Row],[Actual Finish]],Tasks[[#This Row],[_ShownFcstFinish]]),"")</f>
        <v/>
      </c>
      <c r="EV201" s="38" t="n">
        <f aca="false">IF(Tasks[[#This Row],[_IsLeaf]]=1,N(Tasks[[#This Row],[Story Points]]),0)</f>
        <v>0</v>
      </c>
      <c r="EW201" s="38" t="str">
        <f aca="false">IF(AND(Tasks[[#This Row],[_IsLeaf]]=1,CurrentSprint&lt;&gt;"",Tasks[[#This Row],[Sprint]]=CurrentSprint),Tasks[[#This Row],[_Row]],"")</f>
        <v/>
      </c>
    </row>
    <row r="202" customFormat="false" ht="15" hidden="false" customHeight="false" outlineLevel="0" collapsed="false">
      <c r="A202" s="51" t="str">
        <f aca="false">IF(Tasks[[#This Row],[Task Name]]="","",COUNTA(Tasks[[#Headers],[Task Name]]:Tasks[[#This Row],[Task Name]])-1)</f>
        <v/>
      </c>
      <c r="B202" s="52" t="n">
        <v>197</v>
      </c>
      <c r="C20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52"/>
      <c r="E202" s="53"/>
      <c r="F202" s="52"/>
      <c r="G202" s="52"/>
      <c r="H202" s="52"/>
      <c r="I202" s="52"/>
      <c r="J202" s="52"/>
      <c r="K202" s="52"/>
      <c r="L202" s="52"/>
      <c r="M202" s="52"/>
      <c r="N202" s="52"/>
      <c r="O202" s="52"/>
      <c r="P202" s="52"/>
      <c r="Q202" s="52"/>
      <c r="R202" s="52"/>
      <c r="S202" s="53"/>
      <c r="T202" s="102"/>
      <c r="U202" s="102"/>
      <c r="V202" s="7"/>
      <c r="W202" s="7"/>
      <c r="X202" s="53"/>
      <c r="Y202" s="31" t="str">
        <f aca="false">IF(Tasks[[#This Row],[Task Name]]="","",IF(Tasks[[#This Row],[_IsSummary]],MIN(INDEX(Tasks[_ShownFcstStart],Tasks[[#This Row],[_Row]]+1):INDEX(Tasks[_ShownFcstStart],Tasks[[#This Row],[_Row]]+Tasks[[#This Row],[_Descendants]])),Tasks[[#This Row],[_ShownFcstStart]]))</f>
        <v/>
      </c>
      <c r="Z202" s="31" t="str">
        <f aca="false">IF(Tasks[[#This Row],[Task Name]]="","",IF(Tasks[[#This Row],[_IsSummary]],MAX(INDEX(Tasks[_ShownFcstFinish],Tasks[[#This Row],[_Row]]+1):INDEX(Tasks[_ShownFcstFinish],Tasks[[#This Row],[_Row]]+Tasks[[#This Row],[_Descendants]])),Tasks[[#This Row],[_ShownFcstFinish]]))</f>
        <v/>
      </c>
      <c r="AA202" s="51" t="str">
        <f aca="false">IF(Tasks[[#This Row],[Task Name]]="","",IF(Tasks[[#This Row],[Progress]]&gt;=1,"Complete",IF(OR(N(Tasks[[#This Row],[Actual Start]])&gt;0,Tasks[[#This Row],[Progress]]&gt;0),IF(Tasks[[#This Row],[Finish Var]]&gt;0,"Behind","In Progress"),IF(Tasks[[#This Row],[Planned Start]]&lt;StatusDate,"Late Start","Not Started"))))</f>
        <v/>
      </c>
      <c r="AB202" s="51" t="str">
        <f aca="false">IF(Tasks[[#This Row],[Task Name]]="","",IF(IF(Tasks[[#This Row],[_IsSummary]],COUNTIF(INDEX(Tasks[_LeafCritical],Tasks[[#This Row],[_Row]]+1):INDEX(Tasks[_LeafCritical],Tasks[[#This Row],[_Row]]+Tasks[[#This Row],[_Descendants]]),TRUE())&gt;0,Tasks[[#This Row],[_LeafCritical]]),"Yes",""))</f>
        <v/>
      </c>
      <c r="AC20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2" s="51" t="str">
        <f aca="false">IF(Tasks[[#This Row],[Task Name]]="","",IF(Tasks[[#This Row],[_Level]]&lt;=OutlineShowLevel,"Yes","No"))</f>
        <v/>
      </c>
      <c r="AE202" s="7"/>
      <c r="AF202" s="52"/>
      <c r="AG202" s="53"/>
      <c r="AH202" s="7"/>
      <c r="AI202"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2" s="31" t="str">
        <f aca="false">IF(Tasks[[#This Row],[Task Name]]="","",IF(N(Tasks[[#This Row],[Baseline Start]])&gt;0,Tasks[[#This Row],[Baseline Start]],Tasks[[#This Row],[_CalcStart]]))</f>
        <v/>
      </c>
      <c r="AK202" s="31" t="str">
        <f aca="false">IF(Tasks[[#This Row],[Task Name]]="","",IF(N(Tasks[[#This Row],[Baseline Finish]])&gt;0,Tasks[[#This Row],[Baseline Finish]],Tasks[[#This Row],[_CalcFinish]]))</f>
        <v/>
      </c>
      <c r="AL202"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2" s="31" t="str">
        <f aca="false">IF(Tasks[[#This Row],[Task Name]]="","",IF(Tasks[[#This Row],[_IsSummary]],MIN(INDEX(Tasks[_LeafLateStart],Tasks[[#This Row],[_Row]]+1):INDEX(Tasks[_LeafLateStart],Tasks[[#This Row],[_Row]]+Tasks[[#This Row],[_Descendants]])),Tasks[[#This Row],[_LeafLateStart]]))</f>
        <v/>
      </c>
      <c r="AN202" s="31" t="str">
        <f aca="false">IF(Tasks[[#This Row],[Task Name]]="","",IF(Tasks[[#This Row],[_IsSummary]],MAX(INDEX(Tasks[_LeafLateFinish],Tasks[[#This Row],[_Row]]+1):INDEX(Tasks[_LeafLateFinish],Tasks[[#This Row],[_Row]]+Tasks[[#This Row],[_Descendants]])),Tasks[[#This Row],[_LeafLateFinish]]))</f>
        <v/>
      </c>
      <c r="AO202" s="51" t="str">
        <f aca="false">IF(Tasks[[#This Row],[Task Name]]="","",IF(Tasks[[#This Row],[_IsSummary]],MIN(INDEX(Tasks[_LeafTotalSlack],Tasks[[#This Row],[_Row]]+1):INDEX(Tasks[_LeafTotalSlack],Tasks[[#This Row],[_Row]]+Tasks[[#This Row],[_Descendants]])),Tasks[[#This Row],[_LeafTotalSlack]]))</f>
        <v/>
      </c>
      <c r="AP20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2" s="110" t="str">
        <f aca="false">IF(Tasks[[#This Row],[Task Name]]="","",IF(Tasks[[#This Row],[_IsSummary]],SUM(INDEX(Tasks[_LeafTotalWork],Tasks[[#This Row],[_Row]]+1):INDEX(Tasks[_LeafTotalWork],Tasks[[#This Row],[_Row]]+Tasks[[#This Row],[_Descendants]])),Tasks[[#This Row],[_LeafTotalWork]]))</f>
        <v/>
      </c>
      <c r="AV20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2" s="111" t="str">
        <f aca="false">IF(Tasks[[#This Row],[Task Name]]="","",IF(Tasks[[#This Row],[_IsSummary]],SUM(INDEX(Tasks[_LeafTotalCost],Tasks[[#This Row],[_Row]]+1):INDEX(Tasks[_LeafTotalCost],Tasks[[#This Row],[_Row]]+Tasks[[#This Row],[_Descendants]])),Tasks[[#This Row],[_LeafTotalCost]]))</f>
        <v/>
      </c>
      <c r="AY202" s="112"/>
      <c r="AZ20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2" s="52"/>
      <c r="BB202" s="98"/>
      <c r="BC202" s="51" t="str">
        <f aca="false">IF(OR(Tasks[[#This Row],[Task Name]]="",Tasks[[#This Row],[Baseline Duration]]=""),"",Tasks[[#This Row],[BL Source Duration]]-N(Tasks[[#This Row],[Baseline Duration]]))</f>
        <v/>
      </c>
      <c r="BD202" s="110" t="str">
        <f aca="false">IF(OR(Tasks[[#This Row],[Task Name]]="",Tasks[[#This Row],[Baseline Work]]=""),"",Tasks[[#This Row],[Work]]-N(Tasks[[#This Row],[Baseline Work]]))</f>
        <v/>
      </c>
      <c r="BE202" s="111" t="str">
        <f aca="false">IF(OR(Tasks[[#This Row],[Task Name]]="",Tasks[[#This Row],[Baseline Cost]]=""),"",Tasks[[#This Row],[Cost]]-N(Tasks[[#This Row],[Baseline Cost]]))</f>
        <v/>
      </c>
      <c r="BF202" s="31" t="str">
        <f aca="false">IF(Tasks[[#This Row],[Task Name]]="","",Tasks[[#This Row],[Forecast Start]])</f>
        <v/>
      </c>
      <c r="BG202" s="31" t="str">
        <f aca="false">IF(Tasks[[#This Row],[Task Name]]="","",Tasks[[#This Row],[Forecast Finish]])</f>
        <v/>
      </c>
      <c r="BH202" s="51" t="str">
        <f aca="false">IF(Tasks[[#This Row],[Task Name]]="","",IF(Tasks[[#This Row],[_IsSummary]],NETWORKDAYS.INTL(Tasks[[#This Row],[Forecast Start]],Tasks[[#This Row],[Forecast Finish]],WorkWeek,Holidays),N(Tasks[[#This Row],[Duration]])))</f>
        <v/>
      </c>
      <c r="BI202" s="110" t="str">
        <f aca="false">IF(Tasks[[#This Row],[Task Name]]="","",Tasks[[#This Row],[Work]])</f>
        <v/>
      </c>
      <c r="BJ202" s="111" t="str">
        <f aca="false">IF(Tasks[[#This Row],[Task Name]]="","",Tasks[[#This Row],[Cost]])</f>
        <v/>
      </c>
      <c r="BK202" s="7"/>
      <c r="BL202" s="7"/>
      <c r="BM202" s="52"/>
      <c r="BN202" s="113"/>
      <c r="BO202" s="112"/>
      <c r="BP202" s="111" t="str">
        <f aca="false">IF(Tasks[[#This Row],[Task Name]]="","",IF(Tasks[[#This Row],[_IsSummary]],SUM(INDEX(Tasks[_LeafEV],Tasks[[#This Row],[_Row]]+1):INDEX(Tasks[_LeafEV],Tasks[[#This Row],[_Row]]+Tasks[[#This Row],[_Descendants]])),Tasks[[#This Row],[_LeafEV]]))</f>
        <v/>
      </c>
      <c r="BQ202" s="111" t="str">
        <f aca="false">IF(Tasks[[#This Row],[Task Name]]="","",IF(Tasks[[#This Row],[_IsSummary]],SUM(INDEX(Tasks[_LeafBudget],Tasks[[#This Row],[_Row]]+1):INDEX(Tasks[_LeafBudget],Tasks[[#This Row],[_Row]]+Tasks[[#This Row],[_Descendants]])),Tasks[[#This Row],[_LeafBudget]]))</f>
        <v/>
      </c>
      <c r="BR202" s="111" t="str">
        <f aca="false">IF(Tasks[[#This Row],[Task Name]]="","",IF(Tasks[[#This Row],[_IsSummary]],SUM(INDEX(Tasks[_LeafPV],Tasks[[#This Row],[_Row]]+1):INDEX(Tasks[_LeafPV],Tasks[[#This Row],[_Row]]+Tasks[[#This Row],[_Descendants]])),Tasks[[#This Row],[_LeafPV]]))</f>
        <v/>
      </c>
      <c r="BS202" s="111" t="str">
        <f aca="false">IF(Tasks[[#This Row],[Task Name]]="","",IF(Tasks[[#This Row],[_IsSummary]],SUM(INDEX(Tasks[_LeafAC],Tasks[[#This Row],[_Row]]+1):INDEX(Tasks[_LeafAC],Tasks[[#This Row],[_Row]]+Tasks[[#This Row],[_Descendants]])),Tasks[[#This Row],[_LeafAC]]))</f>
        <v/>
      </c>
      <c r="BT202" s="38" t="str">
        <f aca="false">IF(Tasks[[#This Row],[Task Name]]="","",MAX(1,N(Tasks[[#This Row],[Level]])))</f>
        <v/>
      </c>
      <c r="BU202" s="38" t="n">
        <f aca="false">ROW()-ROW(Tasks[[#Headers],[ID]])</f>
        <v>197</v>
      </c>
      <c r="BV202" s="38" t="n">
        <f aca="false">IF(OR(Tasks[[#This Row],[Task Name]]="",Tasks[[#This Row],[_Level]]&lt;=1),0,IFERROR(LOOKUP(2,1/(Tasks[[#Headers],[_Level]]:Tasks[[#This Row],[_Level]]=Tasks[[#This Row],[_Level]]-1),ROW(Tasks[[#Headers],[_Level]]:Tasks[[#This Row],[_Level]])),0))</f>
        <v>0</v>
      </c>
      <c r="BW202" s="38" t="n">
        <f aca="false">IFERROR(N(INDEX(Tasks[_Level],Tasks[[#This Row],[_Row]]+1)),0)</f>
        <v>0</v>
      </c>
      <c r="BX202" s="114" t="b">
        <f aca="false">AND(Tasks[[#This Row],[Task Name]]&lt;&gt;"",Tasks[[#This Row],[_NextLevel]]&gt;Tasks[[#This Row],[_Level]])</f>
        <v>0</v>
      </c>
      <c r="BY202" s="38" t="n">
        <f aca="false">IF(Tasks[[#This Row],[_IsSummary]],COUNTIF(Tasks[WBS],Tasks[[#This Row],[WBS]]&amp;".*"),0)</f>
        <v>0</v>
      </c>
      <c r="BZ202" s="38" t="n">
        <f aca="false">IF(AND(Tasks[[#This Row],[Task Name]]&lt;&gt;"",NOT(Tasks[[#This Row],[_IsSummary]])),1,0)</f>
        <v>0</v>
      </c>
      <c r="CA202" s="38" t="n">
        <f aca="false">IF(N(Tasks[[#This Row],[Pred1 UID]])=0,0,IFERROR(MATCH(Tasks[[#This Row],[Pred1 UID]],Tasks[UID],0),-1))</f>
        <v>0</v>
      </c>
      <c r="CB202" s="38" t="n">
        <f aca="false">IF(N(Tasks[[#This Row],[Pred2 UID]])=0,0,IFERROR(MATCH(Tasks[[#This Row],[Pred2 UID]],Tasks[UID],0),-1))</f>
        <v>0</v>
      </c>
      <c r="CC202" s="38" t="n">
        <f aca="false">IF(N(Tasks[[#This Row],[Pred3 UID]])=0,0,IFERROR(MATCH(Tasks[[#This Row],[Pred3 UID]],Tasks[UID],0),-1))</f>
        <v>0</v>
      </c>
      <c r="CD202" s="38" t="n">
        <f aca="false">IF(N(Tasks[[#This Row],[Pred4 UID]])=0,0,IFERROR(MATCH(Tasks[[#This Row],[Pred4 UID]],Tasks[UID],0),-1))</f>
        <v>0</v>
      </c>
      <c r="CE20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2" s="115" t="n">
        <f aca="false">IF(OR(Tasks[[#This Row],[_ConstraintCode]]=2,Tasks[[#This Row],[_ConstraintCode]]=3,Tasks[[#This Row],[_ConstraintCode]]=4,Tasks[[#This Row],[_ConstraintCode]]=6),Tasks[[#This Row],[_ConstraintStart]],0)</f>
        <v>0</v>
      </c>
      <c r="CH202" s="115" t="n">
        <f aca="false">IF(OR(Tasks[[#This Row],[_ConstraintCode]]=2,Tasks[[#This Row],[_ConstraintCode]]=3,Tasks[[#This Row],[_ConstraintCode]]=5,Tasks[[#This Row],[_ConstraintCode]]=7),Tasks[[#This Row],[_ConstraintStart]],2958465)</f>
        <v>2958465</v>
      </c>
      <c r="CI20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2" s="115" t="str">
        <f aca="false">IF(NOT(Tasks[[#This Row],[_IsLeaf]]=1),"",IF(N(Tasks[[#This Row],[Duration]])&lt;=0,Tasks[[#This Row],[_LeafCalcStart]],WORKDAY.INTL(Tasks[[#This Row],[_LeafCalcStart]],Tasks[[#This Row],[Duration]]-1,WorkWeek,Holidays)))</f>
        <v/>
      </c>
      <c r="CK20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2" s="38" t="n">
        <f aca="false">IF(NOT(Tasks[[#This Row],[_IsLeaf]]=1),0,IF(N(Tasks[[#This Row],[Actual Finish]])&gt;0,1,MIN(1,N(Tasks[[#This Row],[% Complete]]))))</f>
        <v>0</v>
      </c>
      <c r="CN202" s="38" t="n">
        <f aca="false">IF(OR(NOT(Tasks[[#This Row],[_IsLeaf]]=1),Tasks[[#This Row],[Resource]]=""),0,N(Tasks[[#This Row],[Duration]])*HoursPerDay*IF(Tasks[[#This Row],[Units]]="",DefaultUnits,Tasks[[#This Row],[Units]]))</f>
        <v>0</v>
      </c>
      <c r="CO202" s="38" t="n">
        <f aca="false">IF(Tasks[[#This Row],[_LeafWork]]=0,0,Tasks[[#This Row],[_LeafWork]]*IFERROR(INDEX(res_Rate,MATCH(Tasks[[#This Row],[Resource]],res_Name,0)),0))</f>
        <v>0</v>
      </c>
      <c r="CP202" s="38" t="n">
        <f aca="false">Tasks[[#This Row],[_LeafWork]]+IF(Tasks[[#This Row],[_IsLeaf]]=1,SUMIFS(asg_Work,asg_TaskUID,Tasks[[#This Row],[UID]],asg_Valid,1),0)</f>
        <v>0</v>
      </c>
      <c r="CQ202" s="38" t="n">
        <f aca="false">Tasks[[#This Row],[_LeafCost]]+IF(Tasks[[#This Row],[_IsLeaf]]=1,SUMIFS(asg_Cost,asg_TaskUID,Tasks[[#This Row],[UID]],asg_Valid,1),0)</f>
        <v>0</v>
      </c>
      <c r="CR202" s="38" t="n">
        <f aca="false">IF(Tasks[[#This Row],[_LeafTotalCost]]=0,Tasks[[#This Row],[_LeafAC]],Tasks[[#This Row],[_LeafAC]]*Tasks[[#This Row],[_LeafCost]]/Tasks[[#This Row],[_LeafTotalCost]])</f>
        <v>0</v>
      </c>
      <c r="CS20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2" s="38" t="n">
        <f aca="false">IF(NOT(Tasks[[#This Row],[_IsLeaf]]=1),0,MAX(_xlfn.MAXIFS(Tasks[_Row],Tasks[Pred1 UID],Tasks[[#This Row],[UID]]),_xlfn.MAXIFS(Tasks[_Row],Tasks[Pred2 UID],Tasks[[#This Row],[UID]]),_xlfn.MAXIFS(Tasks[_Row],Tasks[Pred3 UID],Tasks[[#This Row],[UID]]),_xlfn.MAXIFS(Tasks[_Row],Tasks[Pred4 UID],Tasks[[#This Row],[UID]])))</f>
        <v>0</v>
      </c>
      <c r="DB20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2" s="115" t="str">
        <f aca="false">IF(NOT(Tasks[[#This Row],[_IsLeaf]]=1),"",IF(N(Tasks[[#This Row],[Duration]])&lt;=0,Tasks[[#This Row],[_LeafLateFinish]],WORKDAY.INTL(Tasks[[#This Row],[_LeafLateFinish]],-(Tasks[[#This Row],[Duration]]-1),WorkWeek,Holidays)))</f>
        <v/>
      </c>
      <c r="DE20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2" s="114" t="b">
        <f aca="false">AND(Tasks[[#This Row],[_IsLeaf]]=1,Tasks[[#This Row],[_LeafProgress]]&lt;1,N(Tasks[[#This Row],[_LeafTotalSlack]])&lt;=CriticalSlackDays)</f>
        <v>0</v>
      </c>
      <c r="DG202" s="38" t="n">
        <f aca="false">IF(AND(Tasks[[#This Row],[_IsLeaf]]=1,Tasks[[#This Row],[_ConstraintCode]]=1,Tasks[[#This Row],[Mode]]&lt;&gt;"Manual",N(Tasks[[#This Row],[Actual Start]])=0),MAX(0,N(Tasks[[#This Row],[Free Slack]])),0)</f>
        <v>0</v>
      </c>
      <c r="DH202" s="115" t="str">
        <f aca="false">IF(NOT(Tasks[[#This Row],[_IsLeaf]]=1),"",IF(Tasks[[#This Row],[_AlapShift]]=0,Tasks[[#This Row],[_LeafCalcStart]],WORKDAY.INTL(Tasks[[#This Row],[_LeafCalcStart]],Tasks[[#This Row],[_AlapShift]],WorkWeek,Holidays)))</f>
        <v/>
      </c>
      <c r="DI202" s="115" t="str">
        <f aca="false">IF(NOT(Tasks[[#This Row],[_IsLeaf]]=1),"",IF(Tasks[[#This Row],[_AlapShift]]=0,Tasks[[#This Row],[_LeafCalcFinish]],WORKDAY.INTL(Tasks[[#This Row],[_LeafCalcFinish]],Tasks[[#This Row],[_AlapShift]],WorkWeek,Holidays)))</f>
        <v/>
      </c>
      <c r="DJ202" s="115" t="str">
        <f aca="false">IF(NOT(Tasks[[#This Row],[_IsLeaf]]=1),"",IF(Tasks[[#This Row],[_AlapShift]]=0,Tasks[[#This Row],[_LeafFcstStart]],WORKDAY.INTL(Tasks[[#This Row],[_LeafFcstStart]],Tasks[[#This Row],[_AlapShift]],WorkWeek,Holidays)))</f>
        <v/>
      </c>
      <c r="DK202" s="115" t="str">
        <f aca="false">IF(NOT(Tasks[[#This Row],[_IsLeaf]]=1),"",IF(Tasks[[#This Row],[_AlapShift]]=0,Tasks[[#This Row],[_LeafFcstFinish]],WORKDAY.INTL(Tasks[[#This Row],[_LeafFcstFinish]],Tasks[[#This Row],[_AlapShift]],WorkWeek,Holidays)))</f>
        <v/>
      </c>
      <c r="DL202" s="115" t="str">
        <f aca="false">IF(Tasks[[#This Row],[Task Name]]="","",IF(Tasks[[#This Row],[_IsSummary]],MIN(INDEX(Tasks[_ShownCalcStart],Tasks[[#This Row],[_Row]]+1):INDEX(Tasks[_ShownCalcStart],Tasks[[#This Row],[_Row]]+Tasks[[#This Row],[_Descendants]])),Tasks[[#This Row],[_ShownCalcStart]]))</f>
        <v/>
      </c>
      <c r="DM202" s="115" t="str">
        <f aca="false">IF(Tasks[[#This Row],[Task Name]]="","",IF(Tasks[[#This Row],[_IsSummary]],MAX(INDEX(Tasks[_ShownCalcFinish],Tasks[[#This Row],[_Row]]+1):INDEX(Tasks[_ShownCalcFinish],Tasks[[#This Row],[_Row]]+Tasks[[#This Row],[_Descendants]])),Tasks[[#This Row],[_ShownCalcFinish]]))</f>
        <v/>
      </c>
      <c r="DN20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2" s="38" t="n">
        <f aca="false">IF(AND(Tasks[[#This Row],[_IsLeaf]]=1,Tasks[[#This Row],[_LeafTotalWork]]&gt;0),NETWORKDAYS.INTL(ProjectStart,Tasks[[#This Row],[_ShownFcstStart]],WorkWeek,Holidays),0)</f>
        <v>0</v>
      </c>
      <c r="EA202" s="38" t="n">
        <f aca="false">IF(AND(Tasks[[#This Row],[_IsLeaf]]=1,Tasks[[#This Row],[_LeafTotalWork]]&gt;0),MAX(Tasks[[#This Row],[_StartWorkday]],NETWORKDAYS.INTL(ProjectStart,Tasks[[#This Row],[_ShownFcstFinish]],WorkWeek,Holidays)),0)</f>
        <v>0</v>
      </c>
      <c r="EB202" s="38" t="n">
        <f aca="false">IF(AND(Tasks[[#This Row],[_IsLeaf]]=1,Tasks[[#This Row],[_LeafTotalWork]]&gt;0),Tasks[[#This Row],[_LeafWork]]/(Tasks[[#This Row],[_FinishWorkday]]-Tasks[[#This Row],[_StartWorkday]]+1),0)</f>
        <v>0</v>
      </c>
      <c r="EC202" s="38" t="n">
        <f aca="false">Tasks[[#This Row],[_WorkPerWorkday]]*(Tasks[[#This Row],[_StartWorkday]]-1)</f>
        <v>-0</v>
      </c>
      <c r="ED202" s="38" t="n">
        <f aca="false">IF(Tasks[[#This Row],[_IsLeaf]]=1,MAX(N(Tasks[[#This Row],[Duration]]),0.1),0)</f>
        <v>0</v>
      </c>
      <c r="EE202" s="38" t="n">
        <f aca="false">Tasks[[#This Row],[_WeightDur]]*Tasks[[#This Row],[_LeafProgress]]</f>
        <v>0</v>
      </c>
      <c r="EF20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2" s="38" t="str">
        <f aca="false">IF(AND(Tasks[[#This Row],[_IsLeaf]]=1,N(Tasks[[#This Row],[Duration]])=0,Tasks[[#This Row],[_LeafProgress]]&lt;1),Tasks[[#This Row],[_ShownFcstFinish]]+Tasks[[#This Row],[_Row]]/100000,"")</f>
        <v/>
      </c>
      <c r="EH20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2" s="38" t="n">
        <f aca="false">IF(NOT(Tasks[[#This Row],[_IsLeaf]]=1),0,IF(Tasks[[#This Row],[Baseline Cost]]="",Tasks[[#This Row],[_LeafTotalCost]],N(Tasks[[#This Row],[Baseline Cost]])))</f>
        <v>0</v>
      </c>
      <c r="EJ202" s="38" t="n">
        <f aca="false">Tasks[[#This Row],[_LeafBudget]]*Tasks[[#This Row],[_PlannedPct]]</f>
        <v>0</v>
      </c>
      <c r="EK202" s="38" t="n">
        <f aca="false">Tasks[[#This Row],[_LeafBudget]]*Tasks[[#This Row],[_LeafProgress]]</f>
        <v>0</v>
      </c>
      <c r="EL202" s="38" t="n">
        <f aca="false">IF(NOT(Tasks[[#This Row],[_IsLeaf]]=1),0,IF(Tasks[[#This Row],[Actual Cost]]="",Tasks[[#This Row],[_LeafTotalCost]]*Tasks[[#This Row],[_LeafProgress]],N(Tasks[[#This Row],[Actual Cost]])))</f>
        <v>0</v>
      </c>
      <c r="EM202" s="38" t="str">
        <f aca="false">IF(Tasks[[#This Row],[Task Name]]="","",LEFT(Tasks[[#This Row],[WBS]],FIND(".",Tasks[[#This Row],[WBS]]&amp;".")-1))</f>
        <v/>
      </c>
      <c r="EN202" s="38" t="str">
        <f aca="false">IF(AND(Tasks[[#This Row],[Task Name]]&lt;&gt;"",Tasks[[#This Row],[_Level]]=1),Tasks[[#This Row],[_Row]],"")</f>
        <v/>
      </c>
      <c r="EO202" s="38" t="str">
        <f aca="false">IF(AND(Tasks[[#This Row],[_IsLeaf]]=1,N(Tasks[[#This Row],[Duration]])=0),Tasks[[#This Row],[Planned Finish]]+Tasks[[#This Row],[_Row]]/100000,"")</f>
        <v/>
      </c>
      <c r="EP202" s="38" t="str">
        <f aca="false">IF(AND(Tasks[[#This Row],[_IsLeaf]]=1,Tasks[[#This Row],[_LeafProgress]]&lt;1,OR(N(Tasks[[#This Row],[Finish Var]])&gt;0,Tasks[[#This Row],[Status]]="Late Start")),MAX(0,Tasks[[#This Row],[Finish Var]])+1-Tasks[[#This Row],[_Row]]/1000000,"")</f>
        <v/>
      </c>
      <c r="EQ202" s="38" t="str">
        <f aca="false">IF(AND(Tasks[[#This Row],[_IsLeaf]]=1,N(Tasks[[#This Row],[Actual Start]])=0,Tasks[[#This Row],[_ShownFcstStart]]&gt;=StatusDate,Tasks[[#This Row],[_ShownFcstStart]]&lt;=LookaheadEnd),Tasks[[#This Row],[_ShownFcstStart]]+Tasks[[#This Row],[_Row]]/100000,"")</f>
        <v/>
      </c>
      <c r="ER202" s="38" t="str">
        <f aca="false">IF(AND(Tasks[[#This Row],[_IsLeaf]]=1,Tasks[[#This Row],[_LeafProgress]]&lt;1,Tasks[[#This Row],[_ShownFcstFinish]]&gt;=StatusDate,Tasks[[#This Row],[_ShownFcstFinish]]&lt;=LookaheadEnd),Tasks[[#This Row],[_ShownFcstFinish]]+Tasks[[#This Row],[_Row]]/100000,"")</f>
        <v/>
      </c>
      <c r="ES202" s="38" t="str">
        <f aca="false">IF(Tasks[[#This Row],[_LeafCritical]],Tasks[[#This Row],[_ShownFcstStart]]+Tasks[[#This Row],[_Row]]/100000,"")</f>
        <v/>
      </c>
      <c r="ET202" s="38" t="n">
        <f aca="false">Tasks[[#This Row],[_LeafWork]]*Tasks[[#This Row],[_LeafProgress]]</f>
        <v>0</v>
      </c>
      <c r="EU202" s="115" t="str">
        <f aca="false">IF(AND(Tasks[[#This Row],[_IsLeaf]]=1,Tasks[[#This Row],[_LeafProgress]]&gt;=1),IF(N(Tasks[[#This Row],[Actual Finish]])&gt;0,Tasks[[#This Row],[Actual Finish]],Tasks[[#This Row],[_ShownFcstFinish]]),"")</f>
        <v/>
      </c>
      <c r="EV202" s="38" t="n">
        <f aca="false">IF(Tasks[[#This Row],[_IsLeaf]]=1,N(Tasks[[#This Row],[Story Points]]),0)</f>
        <v>0</v>
      </c>
      <c r="EW202" s="38" t="str">
        <f aca="false">IF(AND(Tasks[[#This Row],[_IsLeaf]]=1,CurrentSprint&lt;&gt;"",Tasks[[#This Row],[Sprint]]=CurrentSprint),Tasks[[#This Row],[_Row]],"")</f>
        <v/>
      </c>
    </row>
    <row r="203" customFormat="false" ht="15" hidden="false" customHeight="false" outlineLevel="0" collapsed="false">
      <c r="A203" s="51" t="str">
        <f aca="false">IF(Tasks[[#This Row],[Task Name]]="","",COUNTA(Tasks[[#Headers],[Task Name]]:Tasks[[#This Row],[Task Name]])-1)</f>
        <v/>
      </c>
      <c r="B203" s="52" t="n">
        <v>198</v>
      </c>
      <c r="C20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52"/>
      <c r="E203" s="53"/>
      <c r="F203" s="52"/>
      <c r="G203" s="52"/>
      <c r="H203" s="52"/>
      <c r="I203" s="52"/>
      <c r="J203" s="52"/>
      <c r="K203" s="52"/>
      <c r="L203" s="52"/>
      <c r="M203" s="52"/>
      <c r="N203" s="52"/>
      <c r="O203" s="52"/>
      <c r="P203" s="52"/>
      <c r="Q203" s="52"/>
      <c r="R203" s="52"/>
      <c r="S203" s="53"/>
      <c r="T203" s="102"/>
      <c r="U203" s="102"/>
      <c r="V203" s="7"/>
      <c r="W203" s="7"/>
      <c r="X203" s="53"/>
      <c r="Y203" s="31" t="str">
        <f aca="false">IF(Tasks[[#This Row],[Task Name]]="","",IF(Tasks[[#This Row],[_IsSummary]],MIN(INDEX(Tasks[_ShownFcstStart],Tasks[[#This Row],[_Row]]+1):INDEX(Tasks[_ShownFcstStart],Tasks[[#This Row],[_Row]]+Tasks[[#This Row],[_Descendants]])),Tasks[[#This Row],[_ShownFcstStart]]))</f>
        <v/>
      </c>
      <c r="Z203" s="31" t="str">
        <f aca="false">IF(Tasks[[#This Row],[Task Name]]="","",IF(Tasks[[#This Row],[_IsSummary]],MAX(INDEX(Tasks[_ShownFcstFinish],Tasks[[#This Row],[_Row]]+1):INDEX(Tasks[_ShownFcstFinish],Tasks[[#This Row],[_Row]]+Tasks[[#This Row],[_Descendants]])),Tasks[[#This Row],[_ShownFcstFinish]]))</f>
        <v/>
      </c>
      <c r="AA203" s="51" t="str">
        <f aca="false">IF(Tasks[[#This Row],[Task Name]]="","",IF(Tasks[[#This Row],[Progress]]&gt;=1,"Complete",IF(OR(N(Tasks[[#This Row],[Actual Start]])&gt;0,Tasks[[#This Row],[Progress]]&gt;0),IF(Tasks[[#This Row],[Finish Var]]&gt;0,"Behind","In Progress"),IF(Tasks[[#This Row],[Planned Start]]&lt;StatusDate,"Late Start","Not Started"))))</f>
        <v/>
      </c>
      <c r="AB203" s="51" t="str">
        <f aca="false">IF(Tasks[[#This Row],[Task Name]]="","",IF(IF(Tasks[[#This Row],[_IsSummary]],COUNTIF(INDEX(Tasks[_LeafCritical],Tasks[[#This Row],[_Row]]+1):INDEX(Tasks[_LeafCritical],Tasks[[#This Row],[_Row]]+Tasks[[#This Row],[_Descendants]]),TRUE())&gt;0,Tasks[[#This Row],[_LeafCritical]]),"Yes",""))</f>
        <v/>
      </c>
      <c r="AC20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3" s="51" t="str">
        <f aca="false">IF(Tasks[[#This Row],[Task Name]]="","",IF(Tasks[[#This Row],[_Level]]&lt;=OutlineShowLevel,"Yes","No"))</f>
        <v/>
      </c>
      <c r="AE203" s="7"/>
      <c r="AF203" s="52"/>
      <c r="AG203" s="53"/>
      <c r="AH203" s="7"/>
      <c r="AI203"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3" s="31" t="str">
        <f aca="false">IF(Tasks[[#This Row],[Task Name]]="","",IF(N(Tasks[[#This Row],[Baseline Start]])&gt;0,Tasks[[#This Row],[Baseline Start]],Tasks[[#This Row],[_CalcStart]]))</f>
        <v/>
      </c>
      <c r="AK203" s="31" t="str">
        <f aca="false">IF(Tasks[[#This Row],[Task Name]]="","",IF(N(Tasks[[#This Row],[Baseline Finish]])&gt;0,Tasks[[#This Row],[Baseline Finish]],Tasks[[#This Row],[_CalcFinish]]))</f>
        <v/>
      </c>
      <c r="AL203"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3" s="31" t="str">
        <f aca="false">IF(Tasks[[#This Row],[Task Name]]="","",IF(Tasks[[#This Row],[_IsSummary]],MIN(INDEX(Tasks[_LeafLateStart],Tasks[[#This Row],[_Row]]+1):INDEX(Tasks[_LeafLateStart],Tasks[[#This Row],[_Row]]+Tasks[[#This Row],[_Descendants]])),Tasks[[#This Row],[_LeafLateStart]]))</f>
        <v/>
      </c>
      <c r="AN203" s="31" t="str">
        <f aca="false">IF(Tasks[[#This Row],[Task Name]]="","",IF(Tasks[[#This Row],[_IsSummary]],MAX(INDEX(Tasks[_LeafLateFinish],Tasks[[#This Row],[_Row]]+1):INDEX(Tasks[_LeafLateFinish],Tasks[[#This Row],[_Row]]+Tasks[[#This Row],[_Descendants]])),Tasks[[#This Row],[_LeafLateFinish]]))</f>
        <v/>
      </c>
      <c r="AO203" s="51" t="str">
        <f aca="false">IF(Tasks[[#This Row],[Task Name]]="","",IF(Tasks[[#This Row],[_IsSummary]],MIN(INDEX(Tasks[_LeafTotalSlack],Tasks[[#This Row],[_Row]]+1):INDEX(Tasks[_LeafTotalSlack],Tasks[[#This Row],[_Row]]+Tasks[[#This Row],[_Descendants]])),Tasks[[#This Row],[_LeafTotalSlack]]))</f>
        <v/>
      </c>
      <c r="AP20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3" s="110" t="str">
        <f aca="false">IF(Tasks[[#This Row],[Task Name]]="","",IF(Tasks[[#This Row],[_IsSummary]],SUM(INDEX(Tasks[_LeafTotalWork],Tasks[[#This Row],[_Row]]+1):INDEX(Tasks[_LeafTotalWork],Tasks[[#This Row],[_Row]]+Tasks[[#This Row],[_Descendants]])),Tasks[[#This Row],[_LeafTotalWork]]))</f>
        <v/>
      </c>
      <c r="AV20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3" s="111" t="str">
        <f aca="false">IF(Tasks[[#This Row],[Task Name]]="","",IF(Tasks[[#This Row],[_IsSummary]],SUM(INDEX(Tasks[_LeafTotalCost],Tasks[[#This Row],[_Row]]+1):INDEX(Tasks[_LeafTotalCost],Tasks[[#This Row],[_Row]]+Tasks[[#This Row],[_Descendants]])),Tasks[[#This Row],[_LeafTotalCost]]))</f>
        <v/>
      </c>
      <c r="AY203" s="112"/>
      <c r="AZ20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3" s="52"/>
      <c r="BB203" s="98"/>
      <c r="BC203" s="51" t="str">
        <f aca="false">IF(OR(Tasks[[#This Row],[Task Name]]="",Tasks[[#This Row],[Baseline Duration]]=""),"",Tasks[[#This Row],[BL Source Duration]]-N(Tasks[[#This Row],[Baseline Duration]]))</f>
        <v/>
      </c>
      <c r="BD203" s="110" t="str">
        <f aca="false">IF(OR(Tasks[[#This Row],[Task Name]]="",Tasks[[#This Row],[Baseline Work]]=""),"",Tasks[[#This Row],[Work]]-N(Tasks[[#This Row],[Baseline Work]]))</f>
        <v/>
      </c>
      <c r="BE203" s="111" t="str">
        <f aca="false">IF(OR(Tasks[[#This Row],[Task Name]]="",Tasks[[#This Row],[Baseline Cost]]=""),"",Tasks[[#This Row],[Cost]]-N(Tasks[[#This Row],[Baseline Cost]]))</f>
        <v/>
      </c>
      <c r="BF203" s="31" t="str">
        <f aca="false">IF(Tasks[[#This Row],[Task Name]]="","",Tasks[[#This Row],[Forecast Start]])</f>
        <v/>
      </c>
      <c r="BG203" s="31" t="str">
        <f aca="false">IF(Tasks[[#This Row],[Task Name]]="","",Tasks[[#This Row],[Forecast Finish]])</f>
        <v/>
      </c>
      <c r="BH203" s="51" t="str">
        <f aca="false">IF(Tasks[[#This Row],[Task Name]]="","",IF(Tasks[[#This Row],[_IsSummary]],NETWORKDAYS.INTL(Tasks[[#This Row],[Forecast Start]],Tasks[[#This Row],[Forecast Finish]],WorkWeek,Holidays),N(Tasks[[#This Row],[Duration]])))</f>
        <v/>
      </c>
      <c r="BI203" s="110" t="str">
        <f aca="false">IF(Tasks[[#This Row],[Task Name]]="","",Tasks[[#This Row],[Work]])</f>
        <v/>
      </c>
      <c r="BJ203" s="111" t="str">
        <f aca="false">IF(Tasks[[#This Row],[Task Name]]="","",Tasks[[#This Row],[Cost]])</f>
        <v/>
      </c>
      <c r="BK203" s="7"/>
      <c r="BL203" s="7"/>
      <c r="BM203" s="52"/>
      <c r="BN203" s="113"/>
      <c r="BO203" s="112"/>
      <c r="BP203" s="111" t="str">
        <f aca="false">IF(Tasks[[#This Row],[Task Name]]="","",IF(Tasks[[#This Row],[_IsSummary]],SUM(INDEX(Tasks[_LeafEV],Tasks[[#This Row],[_Row]]+1):INDEX(Tasks[_LeafEV],Tasks[[#This Row],[_Row]]+Tasks[[#This Row],[_Descendants]])),Tasks[[#This Row],[_LeafEV]]))</f>
        <v/>
      </c>
      <c r="BQ203" s="111" t="str">
        <f aca="false">IF(Tasks[[#This Row],[Task Name]]="","",IF(Tasks[[#This Row],[_IsSummary]],SUM(INDEX(Tasks[_LeafBudget],Tasks[[#This Row],[_Row]]+1):INDEX(Tasks[_LeafBudget],Tasks[[#This Row],[_Row]]+Tasks[[#This Row],[_Descendants]])),Tasks[[#This Row],[_LeafBudget]]))</f>
        <v/>
      </c>
      <c r="BR203" s="111" t="str">
        <f aca="false">IF(Tasks[[#This Row],[Task Name]]="","",IF(Tasks[[#This Row],[_IsSummary]],SUM(INDEX(Tasks[_LeafPV],Tasks[[#This Row],[_Row]]+1):INDEX(Tasks[_LeafPV],Tasks[[#This Row],[_Row]]+Tasks[[#This Row],[_Descendants]])),Tasks[[#This Row],[_LeafPV]]))</f>
        <v/>
      </c>
      <c r="BS203" s="111" t="str">
        <f aca="false">IF(Tasks[[#This Row],[Task Name]]="","",IF(Tasks[[#This Row],[_IsSummary]],SUM(INDEX(Tasks[_LeafAC],Tasks[[#This Row],[_Row]]+1):INDEX(Tasks[_LeafAC],Tasks[[#This Row],[_Row]]+Tasks[[#This Row],[_Descendants]])),Tasks[[#This Row],[_LeafAC]]))</f>
        <v/>
      </c>
      <c r="BT203" s="38" t="str">
        <f aca="false">IF(Tasks[[#This Row],[Task Name]]="","",MAX(1,N(Tasks[[#This Row],[Level]])))</f>
        <v/>
      </c>
      <c r="BU203" s="38" t="n">
        <f aca="false">ROW()-ROW(Tasks[[#Headers],[ID]])</f>
        <v>198</v>
      </c>
      <c r="BV203" s="38" t="n">
        <f aca="false">IF(OR(Tasks[[#This Row],[Task Name]]="",Tasks[[#This Row],[_Level]]&lt;=1),0,IFERROR(LOOKUP(2,1/(Tasks[[#Headers],[_Level]]:Tasks[[#This Row],[_Level]]=Tasks[[#This Row],[_Level]]-1),ROW(Tasks[[#Headers],[_Level]]:Tasks[[#This Row],[_Level]])),0))</f>
        <v>0</v>
      </c>
      <c r="BW203" s="38" t="n">
        <f aca="false">IFERROR(N(INDEX(Tasks[_Level],Tasks[[#This Row],[_Row]]+1)),0)</f>
        <v>0</v>
      </c>
      <c r="BX203" s="114" t="b">
        <f aca="false">AND(Tasks[[#This Row],[Task Name]]&lt;&gt;"",Tasks[[#This Row],[_NextLevel]]&gt;Tasks[[#This Row],[_Level]])</f>
        <v>0</v>
      </c>
      <c r="BY203" s="38" t="n">
        <f aca="false">IF(Tasks[[#This Row],[_IsSummary]],COUNTIF(Tasks[WBS],Tasks[[#This Row],[WBS]]&amp;".*"),0)</f>
        <v>0</v>
      </c>
      <c r="BZ203" s="38" t="n">
        <f aca="false">IF(AND(Tasks[[#This Row],[Task Name]]&lt;&gt;"",NOT(Tasks[[#This Row],[_IsSummary]])),1,0)</f>
        <v>0</v>
      </c>
      <c r="CA203" s="38" t="n">
        <f aca="false">IF(N(Tasks[[#This Row],[Pred1 UID]])=0,0,IFERROR(MATCH(Tasks[[#This Row],[Pred1 UID]],Tasks[UID],0),-1))</f>
        <v>0</v>
      </c>
      <c r="CB203" s="38" t="n">
        <f aca="false">IF(N(Tasks[[#This Row],[Pred2 UID]])=0,0,IFERROR(MATCH(Tasks[[#This Row],[Pred2 UID]],Tasks[UID],0),-1))</f>
        <v>0</v>
      </c>
      <c r="CC203" s="38" t="n">
        <f aca="false">IF(N(Tasks[[#This Row],[Pred3 UID]])=0,0,IFERROR(MATCH(Tasks[[#This Row],[Pred3 UID]],Tasks[UID],0),-1))</f>
        <v>0</v>
      </c>
      <c r="CD203" s="38" t="n">
        <f aca="false">IF(N(Tasks[[#This Row],[Pred4 UID]])=0,0,IFERROR(MATCH(Tasks[[#This Row],[Pred4 UID]],Tasks[UID],0),-1))</f>
        <v>0</v>
      </c>
      <c r="CE20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3" s="115" t="n">
        <f aca="false">IF(OR(Tasks[[#This Row],[_ConstraintCode]]=2,Tasks[[#This Row],[_ConstraintCode]]=3,Tasks[[#This Row],[_ConstraintCode]]=4,Tasks[[#This Row],[_ConstraintCode]]=6),Tasks[[#This Row],[_ConstraintStart]],0)</f>
        <v>0</v>
      </c>
      <c r="CH203" s="115" t="n">
        <f aca="false">IF(OR(Tasks[[#This Row],[_ConstraintCode]]=2,Tasks[[#This Row],[_ConstraintCode]]=3,Tasks[[#This Row],[_ConstraintCode]]=5,Tasks[[#This Row],[_ConstraintCode]]=7),Tasks[[#This Row],[_ConstraintStart]],2958465)</f>
        <v>2958465</v>
      </c>
      <c r="CI20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3" s="115" t="str">
        <f aca="false">IF(NOT(Tasks[[#This Row],[_IsLeaf]]=1),"",IF(N(Tasks[[#This Row],[Duration]])&lt;=0,Tasks[[#This Row],[_LeafCalcStart]],WORKDAY.INTL(Tasks[[#This Row],[_LeafCalcStart]],Tasks[[#This Row],[Duration]]-1,WorkWeek,Holidays)))</f>
        <v/>
      </c>
      <c r="CK20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3" s="38" t="n">
        <f aca="false">IF(NOT(Tasks[[#This Row],[_IsLeaf]]=1),0,IF(N(Tasks[[#This Row],[Actual Finish]])&gt;0,1,MIN(1,N(Tasks[[#This Row],[% Complete]]))))</f>
        <v>0</v>
      </c>
      <c r="CN203" s="38" t="n">
        <f aca="false">IF(OR(NOT(Tasks[[#This Row],[_IsLeaf]]=1),Tasks[[#This Row],[Resource]]=""),0,N(Tasks[[#This Row],[Duration]])*HoursPerDay*IF(Tasks[[#This Row],[Units]]="",DefaultUnits,Tasks[[#This Row],[Units]]))</f>
        <v>0</v>
      </c>
      <c r="CO203" s="38" t="n">
        <f aca="false">IF(Tasks[[#This Row],[_LeafWork]]=0,0,Tasks[[#This Row],[_LeafWork]]*IFERROR(INDEX(res_Rate,MATCH(Tasks[[#This Row],[Resource]],res_Name,0)),0))</f>
        <v>0</v>
      </c>
      <c r="CP203" s="38" t="n">
        <f aca="false">Tasks[[#This Row],[_LeafWork]]+IF(Tasks[[#This Row],[_IsLeaf]]=1,SUMIFS(asg_Work,asg_TaskUID,Tasks[[#This Row],[UID]],asg_Valid,1),0)</f>
        <v>0</v>
      </c>
      <c r="CQ203" s="38" t="n">
        <f aca="false">Tasks[[#This Row],[_LeafCost]]+IF(Tasks[[#This Row],[_IsLeaf]]=1,SUMIFS(asg_Cost,asg_TaskUID,Tasks[[#This Row],[UID]],asg_Valid,1),0)</f>
        <v>0</v>
      </c>
      <c r="CR203" s="38" t="n">
        <f aca="false">IF(Tasks[[#This Row],[_LeafTotalCost]]=0,Tasks[[#This Row],[_LeafAC]],Tasks[[#This Row],[_LeafAC]]*Tasks[[#This Row],[_LeafCost]]/Tasks[[#This Row],[_LeafTotalCost]])</f>
        <v>0</v>
      </c>
      <c r="CS20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3" s="38" t="n">
        <f aca="false">IF(NOT(Tasks[[#This Row],[_IsLeaf]]=1),0,MAX(_xlfn.MAXIFS(Tasks[_Row],Tasks[Pred1 UID],Tasks[[#This Row],[UID]]),_xlfn.MAXIFS(Tasks[_Row],Tasks[Pred2 UID],Tasks[[#This Row],[UID]]),_xlfn.MAXIFS(Tasks[_Row],Tasks[Pred3 UID],Tasks[[#This Row],[UID]]),_xlfn.MAXIFS(Tasks[_Row],Tasks[Pred4 UID],Tasks[[#This Row],[UID]])))</f>
        <v>0</v>
      </c>
      <c r="DB20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3" s="115" t="str">
        <f aca="false">IF(NOT(Tasks[[#This Row],[_IsLeaf]]=1),"",IF(N(Tasks[[#This Row],[Duration]])&lt;=0,Tasks[[#This Row],[_LeafLateFinish]],WORKDAY.INTL(Tasks[[#This Row],[_LeafLateFinish]],-(Tasks[[#This Row],[Duration]]-1),WorkWeek,Holidays)))</f>
        <v/>
      </c>
      <c r="DE20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3" s="114" t="b">
        <f aca="false">AND(Tasks[[#This Row],[_IsLeaf]]=1,Tasks[[#This Row],[_LeafProgress]]&lt;1,N(Tasks[[#This Row],[_LeafTotalSlack]])&lt;=CriticalSlackDays)</f>
        <v>0</v>
      </c>
      <c r="DG203" s="38" t="n">
        <f aca="false">IF(AND(Tasks[[#This Row],[_IsLeaf]]=1,Tasks[[#This Row],[_ConstraintCode]]=1,Tasks[[#This Row],[Mode]]&lt;&gt;"Manual",N(Tasks[[#This Row],[Actual Start]])=0),MAX(0,N(Tasks[[#This Row],[Free Slack]])),0)</f>
        <v>0</v>
      </c>
      <c r="DH203" s="115" t="str">
        <f aca="false">IF(NOT(Tasks[[#This Row],[_IsLeaf]]=1),"",IF(Tasks[[#This Row],[_AlapShift]]=0,Tasks[[#This Row],[_LeafCalcStart]],WORKDAY.INTL(Tasks[[#This Row],[_LeafCalcStart]],Tasks[[#This Row],[_AlapShift]],WorkWeek,Holidays)))</f>
        <v/>
      </c>
      <c r="DI203" s="115" t="str">
        <f aca="false">IF(NOT(Tasks[[#This Row],[_IsLeaf]]=1),"",IF(Tasks[[#This Row],[_AlapShift]]=0,Tasks[[#This Row],[_LeafCalcFinish]],WORKDAY.INTL(Tasks[[#This Row],[_LeafCalcFinish]],Tasks[[#This Row],[_AlapShift]],WorkWeek,Holidays)))</f>
        <v/>
      </c>
      <c r="DJ203" s="115" t="str">
        <f aca="false">IF(NOT(Tasks[[#This Row],[_IsLeaf]]=1),"",IF(Tasks[[#This Row],[_AlapShift]]=0,Tasks[[#This Row],[_LeafFcstStart]],WORKDAY.INTL(Tasks[[#This Row],[_LeafFcstStart]],Tasks[[#This Row],[_AlapShift]],WorkWeek,Holidays)))</f>
        <v/>
      </c>
      <c r="DK203" s="115" t="str">
        <f aca="false">IF(NOT(Tasks[[#This Row],[_IsLeaf]]=1),"",IF(Tasks[[#This Row],[_AlapShift]]=0,Tasks[[#This Row],[_LeafFcstFinish]],WORKDAY.INTL(Tasks[[#This Row],[_LeafFcstFinish]],Tasks[[#This Row],[_AlapShift]],WorkWeek,Holidays)))</f>
        <v/>
      </c>
      <c r="DL203" s="115" t="str">
        <f aca="false">IF(Tasks[[#This Row],[Task Name]]="","",IF(Tasks[[#This Row],[_IsSummary]],MIN(INDEX(Tasks[_ShownCalcStart],Tasks[[#This Row],[_Row]]+1):INDEX(Tasks[_ShownCalcStart],Tasks[[#This Row],[_Row]]+Tasks[[#This Row],[_Descendants]])),Tasks[[#This Row],[_ShownCalcStart]]))</f>
        <v/>
      </c>
      <c r="DM203" s="115" t="str">
        <f aca="false">IF(Tasks[[#This Row],[Task Name]]="","",IF(Tasks[[#This Row],[_IsSummary]],MAX(INDEX(Tasks[_ShownCalcFinish],Tasks[[#This Row],[_Row]]+1):INDEX(Tasks[_ShownCalcFinish],Tasks[[#This Row],[_Row]]+Tasks[[#This Row],[_Descendants]])),Tasks[[#This Row],[_ShownCalcFinish]]))</f>
        <v/>
      </c>
      <c r="DN20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3" s="38" t="n">
        <f aca="false">IF(AND(Tasks[[#This Row],[_IsLeaf]]=1,Tasks[[#This Row],[_LeafTotalWork]]&gt;0),NETWORKDAYS.INTL(ProjectStart,Tasks[[#This Row],[_ShownFcstStart]],WorkWeek,Holidays),0)</f>
        <v>0</v>
      </c>
      <c r="EA203" s="38" t="n">
        <f aca="false">IF(AND(Tasks[[#This Row],[_IsLeaf]]=1,Tasks[[#This Row],[_LeafTotalWork]]&gt;0),MAX(Tasks[[#This Row],[_StartWorkday]],NETWORKDAYS.INTL(ProjectStart,Tasks[[#This Row],[_ShownFcstFinish]],WorkWeek,Holidays)),0)</f>
        <v>0</v>
      </c>
      <c r="EB203" s="38" t="n">
        <f aca="false">IF(AND(Tasks[[#This Row],[_IsLeaf]]=1,Tasks[[#This Row],[_LeafTotalWork]]&gt;0),Tasks[[#This Row],[_LeafWork]]/(Tasks[[#This Row],[_FinishWorkday]]-Tasks[[#This Row],[_StartWorkday]]+1),0)</f>
        <v>0</v>
      </c>
      <c r="EC203" s="38" t="n">
        <f aca="false">Tasks[[#This Row],[_WorkPerWorkday]]*(Tasks[[#This Row],[_StartWorkday]]-1)</f>
        <v>-0</v>
      </c>
      <c r="ED203" s="38" t="n">
        <f aca="false">IF(Tasks[[#This Row],[_IsLeaf]]=1,MAX(N(Tasks[[#This Row],[Duration]]),0.1),0)</f>
        <v>0</v>
      </c>
      <c r="EE203" s="38" t="n">
        <f aca="false">Tasks[[#This Row],[_WeightDur]]*Tasks[[#This Row],[_LeafProgress]]</f>
        <v>0</v>
      </c>
      <c r="EF20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3" s="38" t="str">
        <f aca="false">IF(AND(Tasks[[#This Row],[_IsLeaf]]=1,N(Tasks[[#This Row],[Duration]])=0,Tasks[[#This Row],[_LeafProgress]]&lt;1),Tasks[[#This Row],[_ShownFcstFinish]]+Tasks[[#This Row],[_Row]]/100000,"")</f>
        <v/>
      </c>
      <c r="EH20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3" s="38" t="n">
        <f aca="false">IF(NOT(Tasks[[#This Row],[_IsLeaf]]=1),0,IF(Tasks[[#This Row],[Baseline Cost]]="",Tasks[[#This Row],[_LeafTotalCost]],N(Tasks[[#This Row],[Baseline Cost]])))</f>
        <v>0</v>
      </c>
      <c r="EJ203" s="38" t="n">
        <f aca="false">Tasks[[#This Row],[_LeafBudget]]*Tasks[[#This Row],[_PlannedPct]]</f>
        <v>0</v>
      </c>
      <c r="EK203" s="38" t="n">
        <f aca="false">Tasks[[#This Row],[_LeafBudget]]*Tasks[[#This Row],[_LeafProgress]]</f>
        <v>0</v>
      </c>
      <c r="EL203" s="38" t="n">
        <f aca="false">IF(NOT(Tasks[[#This Row],[_IsLeaf]]=1),0,IF(Tasks[[#This Row],[Actual Cost]]="",Tasks[[#This Row],[_LeafTotalCost]]*Tasks[[#This Row],[_LeafProgress]],N(Tasks[[#This Row],[Actual Cost]])))</f>
        <v>0</v>
      </c>
      <c r="EM203" s="38" t="str">
        <f aca="false">IF(Tasks[[#This Row],[Task Name]]="","",LEFT(Tasks[[#This Row],[WBS]],FIND(".",Tasks[[#This Row],[WBS]]&amp;".")-1))</f>
        <v/>
      </c>
      <c r="EN203" s="38" t="str">
        <f aca="false">IF(AND(Tasks[[#This Row],[Task Name]]&lt;&gt;"",Tasks[[#This Row],[_Level]]=1),Tasks[[#This Row],[_Row]],"")</f>
        <v/>
      </c>
      <c r="EO203" s="38" t="str">
        <f aca="false">IF(AND(Tasks[[#This Row],[_IsLeaf]]=1,N(Tasks[[#This Row],[Duration]])=0),Tasks[[#This Row],[Planned Finish]]+Tasks[[#This Row],[_Row]]/100000,"")</f>
        <v/>
      </c>
      <c r="EP203" s="38" t="str">
        <f aca="false">IF(AND(Tasks[[#This Row],[_IsLeaf]]=1,Tasks[[#This Row],[_LeafProgress]]&lt;1,OR(N(Tasks[[#This Row],[Finish Var]])&gt;0,Tasks[[#This Row],[Status]]="Late Start")),MAX(0,Tasks[[#This Row],[Finish Var]])+1-Tasks[[#This Row],[_Row]]/1000000,"")</f>
        <v/>
      </c>
      <c r="EQ203" s="38" t="str">
        <f aca="false">IF(AND(Tasks[[#This Row],[_IsLeaf]]=1,N(Tasks[[#This Row],[Actual Start]])=0,Tasks[[#This Row],[_ShownFcstStart]]&gt;=StatusDate,Tasks[[#This Row],[_ShownFcstStart]]&lt;=LookaheadEnd),Tasks[[#This Row],[_ShownFcstStart]]+Tasks[[#This Row],[_Row]]/100000,"")</f>
        <v/>
      </c>
      <c r="ER203" s="38" t="str">
        <f aca="false">IF(AND(Tasks[[#This Row],[_IsLeaf]]=1,Tasks[[#This Row],[_LeafProgress]]&lt;1,Tasks[[#This Row],[_ShownFcstFinish]]&gt;=StatusDate,Tasks[[#This Row],[_ShownFcstFinish]]&lt;=LookaheadEnd),Tasks[[#This Row],[_ShownFcstFinish]]+Tasks[[#This Row],[_Row]]/100000,"")</f>
        <v/>
      </c>
      <c r="ES203" s="38" t="str">
        <f aca="false">IF(Tasks[[#This Row],[_LeafCritical]],Tasks[[#This Row],[_ShownFcstStart]]+Tasks[[#This Row],[_Row]]/100000,"")</f>
        <v/>
      </c>
      <c r="ET203" s="38" t="n">
        <f aca="false">Tasks[[#This Row],[_LeafWork]]*Tasks[[#This Row],[_LeafProgress]]</f>
        <v>0</v>
      </c>
      <c r="EU203" s="115" t="str">
        <f aca="false">IF(AND(Tasks[[#This Row],[_IsLeaf]]=1,Tasks[[#This Row],[_LeafProgress]]&gt;=1),IF(N(Tasks[[#This Row],[Actual Finish]])&gt;0,Tasks[[#This Row],[Actual Finish]],Tasks[[#This Row],[_ShownFcstFinish]]),"")</f>
        <v/>
      </c>
      <c r="EV203" s="38" t="n">
        <f aca="false">IF(Tasks[[#This Row],[_IsLeaf]]=1,N(Tasks[[#This Row],[Story Points]]),0)</f>
        <v>0</v>
      </c>
      <c r="EW203" s="38" t="str">
        <f aca="false">IF(AND(Tasks[[#This Row],[_IsLeaf]]=1,CurrentSprint&lt;&gt;"",Tasks[[#This Row],[Sprint]]=CurrentSprint),Tasks[[#This Row],[_Row]],"")</f>
        <v/>
      </c>
    </row>
    <row r="204" customFormat="false" ht="15" hidden="false" customHeight="false" outlineLevel="0" collapsed="false">
      <c r="A204" s="51" t="str">
        <f aca="false">IF(Tasks[[#This Row],[Task Name]]="","",COUNTA(Tasks[[#Headers],[Task Name]]:Tasks[[#This Row],[Task Name]])-1)</f>
        <v/>
      </c>
      <c r="B204" s="52" t="n">
        <v>199</v>
      </c>
      <c r="C20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52"/>
      <c r="E204" s="53"/>
      <c r="F204" s="52"/>
      <c r="G204" s="52"/>
      <c r="H204" s="52"/>
      <c r="I204" s="52"/>
      <c r="J204" s="52"/>
      <c r="K204" s="52"/>
      <c r="L204" s="52"/>
      <c r="M204" s="52"/>
      <c r="N204" s="52"/>
      <c r="O204" s="52"/>
      <c r="P204" s="52"/>
      <c r="Q204" s="52"/>
      <c r="R204" s="52"/>
      <c r="S204" s="53"/>
      <c r="T204" s="102"/>
      <c r="U204" s="102"/>
      <c r="V204" s="7"/>
      <c r="W204" s="7"/>
      <c r="X204" s="53"/>
      <c r="Y204" s="31" t="str">
        <f aca="false">IF(Tasks[[#This Row],[Task Name]]="","",IF(Tasks[[#This Row],[_IsSummary]],MIN(INDEX(Tasks[_ShownFcstStart],Tasks[[#This Row],[_Row]]+1):INDEX(Tasks[_ShownFcstStart],Tasks[[#This Row],[_Row]]+Tasks[[#This Row],[_Descendants]])),Tasks[[#This Row],[_ShownFcstStart]]))</f>
        <v/>
      </c>
      <c r="Z204" s="31" t="str">
        <f aca="false">IF(Tasks[[#This Row],[Task Name]]="","",IF(Tasks[[#This Row],[_IsSummary]],MAX(INDEX(Tasks[_ShownFcstFinish],Tasks[[#This Row],[_Row]]+1):INDEX(Tasks[_ShownFcstFinish],Tasks[[#This Row],[_Row]]+Tasks[[#This Row],[_Descendants]])),Tasks[[#This Row],[_ShownFcstFinish]]))</f>
        <v/>
      </c>
      <c r="AA204" s="51" t="str">
        <f aca="false">IF(Tasks[[#This Row],[Task Name]]="","",IF(Tasks[[#This Row],[Progress]]&gt;=1,"Complete",IF(OR(N(Tasks[[#This Row],[Actual Start]])&gt;0,Tasks[[#This Row],[Progress]]&gt;0),IF(Tasks[[#This Row],[Finish Var]]&gt;0,"Behind","In Progress"),IF(Tasks[[#This Row],[Planned Start]]&lt;StatusDate,"Late Start","Not Started"))))</f>
        <v/>
      </c>
      <c r="AB204" s="51" t="str">
        <f aca="false">IF(Tasks[[#This Row],[Task Name]]="","",IF(IF(Tasks[[#This Row],[_IsSummary]],COUNTIF(INDEX(Tasks[_LeafCritical],Tasks[[#This Row],[_Row]]+1):INDEX(Tasks[_LeafCritical],Tasks[[#This Row],[_Row]]+Tasks[[#This Row],[_Descendants]]),TRUE())&gt;0,Tasks[[#This Row],[_LeafCritical]]),"Yes",""))</f>
        <v/>
      </c>
      <c r="AC20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4" s="51" t="str">
        <f aca="false">IF(Tasks[[#This Row],[Task Name]]="","",IF(Tasks[[#This Row],[_Level]]&lt;=OutlineShowLevel,"Yes","No"))</f>
        <v/>
      </c>
      <c r="AE204" s="7"/>
      <c r="AF204" s="52"/>
      <c r="AG204" s="53"/>
      <c r="AH204" s="7"/>
      <c r="AI204"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4" s="31" t="str">
        <f aca="false">IF(Tasks[[#This Row],[Task Name]]="","",IF(N(Tasks[[#This Row],[Baseline Start]])&gt;0,Tasks[[#This Row],[Baseline Start]],Tasks[[#This Row],[_CalcStart]]))</f>
        <v/>
      </c>
      <c r="AK204" s="31" t="str">
        <f aca="false">IF(Tasks[[#This Row],[Task Name]]="","",IF(N(Tasks[[#This Row],[Baseline Finish]])&gt;0,Tasks[[#This Row],[Baseline Finish]],Tasks[[#This Row],[_CalcFinish]]))</f>
        <v/>
      </c>
      <c r="AL204"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4" s="31" t="str">
        <f aca="false">IF(Tasks[[#This Row],[Task Name]]="","",IF(Tasks[[#This Row],[_IsSummary]],MIN(INDEX(Tasks[_LeafLateStart],Tasks[[#This Row],[_Row]]+1):INDEX(Tasks[_LeafLateStart],Tasks[[#This Row],[_Row]]+Tasks[[#This Row],[_Descendants]])),Tasks[[#This Row],[_LeafLateStart]]))</f>
        <v/>
      </c>
      <c r="AN204" s="31" t="str">
        <f aca="false">IF(Tasks[[#This Row],[Task Name]]="","",IF(Tasks[[#This Row],[_IsSummary]],MAX(INDEX(Tasks[_LeafLateFinish],Tasks[[#This Row],[_Row]]+1):INDEX(Tasks[_LeafLateFinish],Tasks[[#This Row],[_Row]]+Tasks[[#This Row],[_Descendants]])),Tasks[[#This Row],[_LeafLateFinish]]))</f>
        <v/>
      </c>
      <c r="AO204" s="51" t="str">
        <f aca="false">IF(Tasks[[#This Row],[Task Name]]="","",IF(Tasks[[#This Row],[_IsSummary]],MIN(INDEX(Tasks[_LeafTotalSlack],Tasks[[#This Row],[_Row]]+1):INDEX(Tasks[_LeafTotalSlack],Tasks[[#This Row],[_Row]]+Tasks[[#This Row],[_Descendants]])),Tasks[[#This Row],[_LeafTotalSlack]]))</f>
        <v/>
      </c>
      <c r="AP20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4" s="110" t="str">
        <f aca="false">IF(Tasks[[#This Row],[Task Name]]="","",IF(Tasks[[#This Row],[_IsSummary]],SUM(INDEX(Tasks[_LeafTotalWork],Tasks[[#This Row],[_Row]]+1):INDEX(Tasks[_LeafTotalWork],Tasks[[#This Row],[_Row]]+Tasks[[#This Row],[_Descendants]])),Tasks[[#This Row],[_LeafTotalWork]]))</f>
        <v/>
      </c>
      <c r="AV20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4" s="111" t="str">
        <f aca="false">IF(Tasks[[#This Row],[Task Name]]="","",IF(Tasks[[#This Row],[_IsSummary]],SUM(INDEX(Tasks[_LeafTotalCost],Tasks[[#This Row],[_Row]]+1):INDEX(Tasks[_LeafTotalCost],Tasks[[#This Row],[_Row]]+Tasks[[#This Row],[_Descendants]])),Tasks[[#This Row],[_LeafTotalCost]]))</f>
        <v/>
      </c>
      <c r="AY204" s="112"/>
      <c r="AZ20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4" s="52"/>
      <c r="BB204" s="98"/>
      <c r="BC204" s="51" t="str">
        <f aca="false">IF(OR(Tasks[[#This Row],[Task Name]]="",Tasks[[#This Row],[Baseline Duration]]=""),"",Tasks[[#This Row],[BL Source Duration]]-N(Tasks[[#This Row],[Baseline Duration]]))</f>
        <v/>
      </c>
      <c r="BD204" s="110" t="str">
        <f aca="false">IF(OR(Tasks[[#This Row],[Task Name]]="",Tasks[[#This Row],[Baseline Work]]=""),"",Tasks[[#This Row],[Work]]-N(Tasks[[#This Row],[Baseline Work]]))</f>
        <v/>
      </c>
      <c r="BE204" s="111" t="str">
        <f aca="false">IF(OR(Tasks[[#This Row],[Task Name]]="",Tasks[[#This Row],[Baseline Cost]]=""),"",Tasks[[#This Row],[Cost]]-N(Tasks[[#This Row],[Baseline Cost]]))</f>
        <v/>
      </c>
      <c r="BF204" s="31" t="str">
        <f aca="false">IF(Tasks[[#This Row],[Task Name]]="","",Tasks[[#This Row],[Forecast Start]])</f>
        <v/>
      </c>
      <c r="BG204" s="31" t="str">
        <f aca="false">IF(Tasks[[#This Row],[Task Name]]="","",Tasks[[#This Row],[Forecast Finish]])</f>
        <v/>
      </c>
      <c r="BH204" s="51" t="str">
        <f aca="false">IF(Tasks[[#This Row],[Task Name]]="","",IF(Tasks[[#This Row],[_IsSummary]],NETWORKDAYS.INTL(Tasks[[#This Row],[Forecast Start]],Tasks[[#This Row],[Forecast Finish]],WorkWeek,Holidays),N(Tasks[[#This Row],[Duration]])))</f>
        <v/>
      </c>
      <c r="BI204" s="110" t="str">
        <f aca="false">IF(Tasks[[#This Row],[Task Name]]="","",Tasks[[#This Row],[Work]])</f>
        <v/>
      </c>
      <c r="BJ204" s="111" t="str">
        <f aca="false">IF(Tasks[[#This Row],[Task Name]]="","",Tasks[[#This Row],[Cost]])</f>
        <v/>
      </c>
      <c r="BK204" s="7"/>
      <c r="BL204" s="7"/>
      <c r="BM204" s="52"/>
      <c r="BN204" s="113"/>
      <c r="BO204" s="112"/>
      <c r="BP204" s="111" t="str">
        <f aca="false">IF(Tasks[[#This Row],[Task Name]]="","",IF(Tasks[[#This Row],[_IsSummary]],SUM(INDEX(Tasks[_LeafEV],Tasks[[#This Row],[_Row]]+1):INDEX(Tasks[_LeafEV],Tasks[[#This Row],[_Row]]+Tasks[[#This Row],[_Descendants]])),Tasks[[#This Row],[_LeafEV]]))</f>
        <v/>
      </c>
      <c r="BQ204" s="111" t="str">
        <f aca="false">IF(Tasks[[#This Row],[Task Name]]="","",IF(Tasks[[#This Row],[_IsSummary]],SUM(INDEX(Tasks[_LeafBudget],Tasks[[#This Row],[_Row]]+1):INDEX(Tasks[_LeafBudget],Tasks[[#This Row],[_Row]]+Tasks[[#This Row],[_Descendants]])),Tasks[[#This Row],[_LeafBudget]]))</f>
        <v/>
      </c>
      <c r="BR204" s="111" t="str">
        <f aca="false">IF(Tasks[[#This Row],[Task Name]]="","",IF(Tasks[[#This Row],[_IsSummary]],SUM(INDEX(Tasks[_LeafPV],Tasks[[#This Row],[_Row]]+1):INDEX(Tasks[_LeafPV],Tasks[[#This Row],[_Row]]+Tasks[[#This Row],[_Descendants]])),Tasks[[#This Row],[_LeafPV]]))</f>
        <v/>
      </c>
      <c r="BS204" s="111" t="str">
        <f aca="false">IF(Tasks[[#This Row],[Task Name]]="","",IF(Tasks[[#This Row],[_IsSummary]],SUM(INDEX(Tasks[_LeafAC],Tasks[[#This Row],[_Row]]+1):INDEX(Tasks[_LeafAC],Tasks[[#This Row],[_Row]]+Tasks[[#This Row],[_Descendants]])),Tasks[[#This Row],[_LeafAC]]))</f>
        <v/>
      </c>
      <c r="BT204" s="38" t="str">
        <f aca="false">IF(Tasks[[#This Row],[Task Name]]="","",MAX(1,N(Tasks[[#This Row],[Level]])))</f>
        <v/>
      </c>
      <c r="BU204" s="38" t="n">
        <f aca="false">ROW()-ROW(Tasks[[#Headers],[ID]])</f>
        <v>199</v>
      </c>
      <c r="BV204" s="38" t="n">
        <f aca="false">IF(OR(Tasks[[#This Row],[Task Name]]="",Tasks[[#This Row],[_Level]]&lt;=1),0,IFERROR(LOOKUP(2,1/(Tasks[[#Headers],[_Level]]:Tasks[[#This Row],[_Level]]=Tasks[[#This Row],[_Level]]-1),ROW(Tasks[[#Headers],[_Level]]:Tasks[[#This Row],[_Level]])),0))</f>
        <v>0</v>
      </c>
      <c r="BW204" s="38" t="n">
        <f aca="false">IFERROR(N(INDEX(Tasks[_Level],Tasks[[#This Row],[_Row]]+1)),0)</f>
        <v>0</v>
      </c>
      <c r="BX204" s="114" t="b">
        <f aca="false">AND(Tasks[[#This Row],[Task Name]]&lt;&gt;"",Tasks[[#This Row],[_NextLevel]]&gt;Tasks[[#This Row],[_Level]])</f>
        <v>0</v>
      </c>
      <c r="BY204" s="38" t="n">
        <f aca="false">IF(Tasks[[#This Row],[_IsSummary]],COUNTIF(Tasks[WBS],Tasks[[#This Row],[WBS]]&amp;".*"),0)</f>
        <v>0</v>
      </c>
      <c r="BZ204" s="38" t="n">
        <f aca="false">IF(AND(Tasks[[#This Row],[Task Name]]&lt;&gt;"",NOT(Tasks[[#This Row],[_IsSummary]])),1,0)</f>
        <v>0</v>
      </c>
      <c r="CA204" s="38" t="n">
        <f aca="false">IF(N(Tasks[[#This Row],[Pred1 UID]])=0,0,IFERROR(MATCH(Tasks[[#This Row],[Pred1 UID]],Tasks[UID],0),-1))</f>
        <v>0</v>
      </c>
      <c r="CB204" s="38" t="n">
        <f aca="false">IF(N(Tasks[[#This Row],[Pred2 UID]])=0,0,IFERROR(MATCH(Tasks[[#This Row],[Pred2 UID]],Tasks[UID],0),-1))</f>
        <v>0</v>
      </c>
      <c r="CC204" s="38" t="n">
        <f aca="false">IF(N(Tasks[[#This Row],[Pred3 UID]])=0,0,IFERROR(MATCH(Tasks[[#This Row],[Pred3 UID]],Tasks[UID],0),-1))</f>
        <v>0</v>
      </c>
      <c r="CD204" s="38" t="n">
        <f aca="false">IF(N(Tasks[[#This Row],[Pred4 UID]])=0,0,IFERROR(MATCH(Tasks[[#This Row],[Pred4 UID]],Tasks[UID],0),-1))</f>
        <v>0</v>
      </c>
      <c r="CE20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4" s="115" t="n">
        <f aca="false">IF(OR(Tasks[[#This Row],[_ConstraintCode]]=2,Tasks[[#This Row],[_ConstraintCode]]=3,Tasks[[#This Row],[_ConstraintCode]]=4,Tasks[[#This Row],[_ConstraintCode]]=6),Tasks[[#This Row],[_ConstraintStart]],0)</f>
        <v>0</v>
      </c>
      <c r="CH204" s="115" t="n">
        <f aca="false">IF(OR(Tasks[[#This Row],[_ConstraintCode]]=2,Tasks[[#This Row],[_ConstraintCode]]=3,Tasks[[#This Row],[_ConstraintCode]]=5,Tasks[[#This Row],[_ConstraintCode]]=7),Tasks[[#This Row],[_ConstraintStart]],2958465)</f>
        <v>2958465</v>
      </c>
      <c r="CI20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4" s="115" t="str">
        <f aca="false">IF(NOT(Tasks[[#This Row],[_IsLeaf]]=1),"",IF(N(Tasks[[#This Row],[Duration]])&lt;=0,Tasks[[#This Row],[_LeafCalcStart]],WORKDAY.INTL(Tasks[[#This Row],[_LeafCalcStart]],Tasks[[#This Row],[Duration]]-1,WorkWeek,Holidays)))</f>
        <v/>
      </c>
      <c r="CK20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4" s="38" t="n">
        <f aca="false">IF(NOT(Tasks[[#This Row],[_IsLeaf]]=1),0,IF(N(Tasks[[#This Row],[Actual Finish]])&gt;0,1,MIN(1,N(Tasks[[#This Row],[% Complete]]))))</f>
        <v>0</v>
      </c>
      <c r="CN204" s="38" t="n">
        <f aca="false">IF(OR(NOT(Tasks[[#This Row],[_IsLeaf]]=1),Tasks[[#This Row],[Resource]]=""),0,N(Tasks[[#This Row],[Duration]])*HoursPerDay*IF(Tasks[[#This Row],[Units]]="",DefaultUnits,Tasks[[#This Row],[Units]]))</f>
        <v>0</v>
      </c>
      <c r="CO204" s="38" t="n">
        <f aca="false">IF(Tasks[[#This Row],[_LeafWork]]=0,0,Tasks[[#This Row],[_LeafWork]]*IFERROR(INDEX(res_Rate,MATCH(Tasks[[#This Row],[Resource]],res_Name,0)),0))</f>
        <v>0</v>
      </c>
      <c r="CP204" s="38" t="n">
        <f aca="false">Tasks[[#This Row],[_LeafWork]]+IF(Tasks[[#This Row],[_IsLeaf]]=1,SUMIFS(asg_Work,asg_TaskUID,Tasks[[#This Row],[UID]],asg_Valid,1),0)</f>
        <v>0</v>
      </c>
      <c r="CQ204" s="38" t="n">
        <f aca="false">Tasks[[#This Row],[_LeafCost]]+IF(Tasks[[#This Row],[_IsLeaf]]=1,SUMIFS(asg_Cost,asg_TaskUID,Tasks[[#This Row],[UID]],asg_Valid,1),0)</f>
        <v>0</v>
      </c>
      <c r="CR204" s="38" t="n">
        <f aca="false">IF(Tasks[[#This Row],[_LeafTotalCost]]=0,Tasks[[#This Row],[_LeafAC]],Tasks[[#This Row],[_LeafAC]]*Tasks[[#This Row],[_LeafCost]]/Tasks[[#This Row],[_LeafTotalCost]])</f>
        <v>0</v>
      </c>
      <c r="CS20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4" s="38" t="n">
        <f aca="false">IF(NOT(Tasks[[#This Row],[_IsLeaf]]=1),0,MAX(_xlfn.MAXIFS(Tasks[_Row],Tasks[Pred1 UID],Tasks[[#This Row],[UID]]),_xlfn.MAXIFS(Tasks[_Row],Tasks[Pred2 UID],Tasks[[#This Row],[UID]]),_xlfn.MAXIFS(Tasks[_Row],Tasks[Pred3 UID],Tasks[[#This Row],[UID]]),_xlfn.MAXIFS(Tasks[_Row],Tasks[Pred4 UID],Tasks[[#This Row],[UID]])))</f>
        <v>0</v>
      </c>
      <c r="DB20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4" s="115" t="str">
        <f aca="false">IF(NOT(Tasks[[#This Row],[_IsLeaf]]=1),"",IF(N(Tasks[[#This Row],[Duration]])&lt;=0,Tasks[[#This Row],[_LeafLateFinish]],WORKDAY.INTL(Tasks[[#This Row],[_LeafLateFinish]],-(Tasks[[#This Row],[Duration]]-1),WorkWeek,Holidays)))</f>
        <v/>
      </c>
      <c r="DE20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4" s="114" t="b">
        <f aca="false">AND(Tasks[[#This Row],[_IsLeaf]]=1,Tasks[[#This Row],[_LeafProgress]]&lt;1,N(Tasks[[#This Row],[_LeafTotalSlack]])&lt;=CriticalSlackDays)</f>
        <v>0</v>
      </c>
      <c r="DG204" s="38" t="n">
        <f aca="false">IF(AND(Tasks[[#This Row],[_IsLeaf]]=1,Tasks[[#This Row],[_ConstraintCode]]=1,Tasks[[#This Row],[Mode]]&lt;&gt;"Manual",N(Tasks[[#This Row],[Actual Start]])=0),MAX(0,N(Tasks[[#This Row],[Free Slack]])),0)</f>
        <v>0</v>
      </c>
      <c r="DH204" s="115" t="str">
        <f aca="false">IF(NOT(Tasks[[#This Row],[_IsLeaf]]=1),"",IF(Tasks[[#This Row],[_AlapShift]]=0,Tasks[[#This Row],[_LeafCalcStart]],WORKDAY.INTL(Tasks[[#This Row],[_LeafCalcStart]],Tasks[[#This Row],[_AlapShift]],WorkWeek,Holidays)))</f>
        <v/>
      </c>
      <c r="DI204" s="115" t="str">
        <f aca="false">IF(NOT(Tasks[[#This Row],[_IsLeaf]]=1),"",IF(Tasks[[#This Row],[_AlapShift]]=0,Tasks[[#This Row],[_LeafCalcFinish]],WORKDAY.INTL(Tasks[[#This Row],[_LeafCalcFinish]],Tasks[[#This Row],[_AlapShift]],WorkWeek,Holidays)))</f>
        <v/>
      </c>
      <c r="DJ204" s="115" t="str">
        <f aca="false">IF(NOT(Tasks[[#This Row],[_IsLeaf]]=1),"",IF(Tasks[[#This Row],[_AlapShift]]=0,Tasks[[#This Row],[_LeafFcstStart]],WORKDAY.INTL(Tasks[[#This Row],[_LeafFcstStart]],Tasks[[#This Row],[_AlapShift]],WorkWeek,Holidays)))</f>
        <v/>
      </c>
      <c r="DK204" s="115" t="str">
        <f aca="false">IF(NOT(Tasks[[#This Row],[_IsLeaf]]=1),"",IF(Tasks[[#This Row],[_AlapShift]]=0,Tasks[[#This Row],[_LeafFcstFinish]],WORKDAY.INTL(Tasks[[#This Row],[_LeafFcstFinish]],Tasks[[#This Row],[_AlapShift]],WorkWeek,Holidays)))</f>
        <v/>
      </c>
      <c r="DL204" s="115" t="str">
        <f aca="false">IF(Tasks[[#This Row],[Task Name]]="","",IF(Tasks[[#This Row],[_IsSummary]],MIN(INDEX(Tasks[_ShownCalcStart],Tasks[[#This Row],[_Row]]+1):INDEX(Tasks[_ShownCalcStart],Tasks[[#This Row],[_Row]]+Tasks[[#This Row],[_Descendants]])),Tasks[[#This Row],[_ShownCalcStart]]))</f>
        <v/>
      </c>
      <c r="DM204" s="115" t="str">
        <f aca="false">IF(Tasks[[#This Row],[Task Name]]="","",IF(Tasks[[#This Row],[_IsSummary]],MAX(INDEX(Tasks[_ShownCalcFinish],Tasks[[#This Row],[_Row]]+1):INDEX(Tasks[_ShownCalcFinish],Tasks[[#This Row],[_Row]]+Tasks[[#This Row],[_Descendants]])),Tasks[[#This Row],[_ShownCalcFinish]]))</f>
        <v/>
      </c>
      <c r="DN20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4" s="38" t="n">
        <f aca="false">IF(AND(Tasks[[#This Row],[_IsLeaf]]=1,Tasks[[#This Row],[_LeafTotalWork]]&gt;0),NETWORKDAYS.INTL(ProjectStart,Tasks[[#This Row],[_ShownFcstStart]],WorkWeek,Holidays),0)</f>
        <v>0</v>
      </c>
      <c r="EA204" s="38" t="n">
        <f aca="false">IF(AND(Tasks[[#This Row],[_IsLeaf]]=1,Tasks[[#This Row],[_LeafTotalWork]]&gt;0),MAX(Tasks[[#This Row],[_StartWorkday]],NETWORKDAYS.INTL(ProjectStart,Tasks[[#This Row],[_ShownFcstFinish]],WorkWeek,Holidays)),0)</f>
        <v>0</v>
      </c>
      <c r="EB204" s="38" t="n">
        <f aca="false">IF(AND(Tasks[[#This Row],[_IsLeaf]]=1,Tasks[[#This Row],[_LeafTotalWork]]&gt;0),Tasks[[#This Row],[_LeafWork]]/(Tasks[[#This Row],[_FinishWorkday]]-Tasks[[#This Row],[_StartWorkday]]+1),0)</f>
        <v>0</v>
      </c>
      <c r="EC204" s="38" t="n">
        <f aca="false">Tasks[[#This Row],[_WorkPerWorkday]]*(Tasks[[#This Row],[_StartWorkday]]-1)</f>
        <v>-0</v>
      </c>
      <c r="ED204" s="38" t="n">
        <f aca="false">IF(Tasks[[#This Row],[_IsLeaf]]=1,MAX(N(Tasks[[#This Row],[Duration]]),0.1),0)</f>
        <v>0</v>
      </c>
      <c r="EE204" s="38" t="n">
        <f aca="false">Tasks[[#This Row],[_WeightDur]]*Tasks[[#This Row],[_LeafProgress]]</f>
        <v>0</v>
      </c>
      <c r="EF20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4" s="38" t="str">
        <f aca="false">IF(AND(Tasks[[#This Row],[_IsLeaf]]=1,N(Tasks[[#This Row],[Duration]])=0,Tasks[[#This Row],[_LeafProgress]]&lt;1),Tasks[[#This Row],[_ShownFcstFinish]]+Tasks[[#This Row],[_Row]]/100000,"")</f>
        <v/>
      </c>
      <c r="EH20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4" s="38" t="n">
        <f aca="false">IF(NOT(Tasks[[#This Row],[_IsLeaf]]=1),0,IF(Tasks[[#This Row],[Baseline Cost]]="",Tasks[[#This Row],[_LeafTotalCost]],N(Tasks[[#This Row],[Baseline Cost]])))</f>
        <v>0</v>
      </c>
      <c r="EJ204" s="38" t="n">
        <f aca="false">Tasks[[#This Row],[_LeafBudget]]*Tasks[[#This Row],[_PlannedPct]]</f>
        <v>0</v>
      </c>
      <c r="EK204" s="38" t="n">
        <f aca="false">Tasks[[#This Row],[_LeafBudget]]*Tasks[[#This Row],[_LeafProgress]]</f>
        <v>0</v>
      </c>
      <c r="EL204" s="38" t="n">
        <f aca="false">IF(NOT(Tasks[[#This Row],[_IsLeaf]]=1),0,IF(Tasks[[#This Row],[Actual Cost]]="",Tasks[[#This Row],[_LeafTotalCost]]*Tasks[[#This Row],[_LeafProgress]],N(Tasks[[#This Row],[Actual Cost]])))</f>
        <v>0</v>
      </c>
      <c r="EM204" s="38" t="str">
        <f aca="false">IF(Tasks[[#This Row],[Task Name]]="","",LEFT(Tasks[[#This Row],[WBS]],FIND(".",Tasks[[#This Row],[WBS]]&amp;".")-1))</f>
        <v/>
      </c>
      <c r="EN204" s="38" t="str">
        <f aca="false">IF(AND(Tasks[[#This Row],[Task Name]]&lt;&gt;"",Tasks[[#This Row],[_Level]]=1),Tasks[[#This Row],[_Row]],"")</f>
        <v/>
      </c>
      <c r="EO204" s="38" t="str">
        <f aca="false">IF(AND(Tasks[[#This Row],[_IsLeaf]]=1,N(Tasks[[#This Row],[Duration]])=0),Tasks[[#This Row],[Planned Finish]]+Tasks[[#This Row],[_Row]]/100000,"")</f>
        <v/>
      </c>
      <c r="EP204" s="38" t="str">
        <f aca="false">IF(AND(Tasks[[#This Row],[_IsLeaf]]=1,Tasks[[#This Row],[_LeafProgress]]&lt;1,OR(N(Tasks[[#This Row],[Finish Var]])&gt;0,Tasks[[#This Row],[Status]]="Late Start")),MAX(0,Tasks[[#This Row],[Finish Var]])+1-Tasks[[#This Row],[_Row]]/1000000,"")</f>
        <v/>
      </c>
      <c r="EQ204" s="38" t="str">
        <f aca="false">IF(AND(Tasks[[#This Row],[_IsLeaf]]=1,N(Tasks[[#This Row],[Actual Start]])=0,Tasks[[#This Row],[_ShownFcstStart]]&gt;=StatusDate,Tasks[[#This Row],[_ShownFcstStart]]&lt;=LookaheadEnd),Tasks[[#This Row],[_ShownFcstStart]]+Tasks[[#This Row],[_Row]]/100000,"")</f>
        <v/>
      </c>
      <c r="ER204" s="38" t="str">
        <f aca="false">IF(AND(Tasks[[#This Row],[_IsLeaf]]=1,Tasks[[#This Row],[_LeafProgress]]&lt;1,Tasks[[#This Row],[_ShownFcstFinish]]&gt;=StatusDate,Tasks[[#This Row],[_ShownFcstFinish]]&lt;=LookaheadEnd),Tasks[[#This Row],[_ShownFcstFinish]]+Tasks[[#This Row],[_Row]]/100000,"")</f>
        <v/>
      </c>
      <c r="ES204" s="38" t="str">
        <f aca="false">IF(Tasks[[#This Row],[_LeafCritical]],Tasks[[#This Row],[_ShownFcstStart]]+Tasks[[#This Row],[_Row]]/100000,"")</f>
        <v/>
      </c>
      <c r="ET204" s="38" t="n">
        <f aca="false">Tasks[[#This Row],[_LeafWork]]*Tasks[[#This Row],[_LeafProgress]]</f>
        <v>0</v>
      </c>
      <c r="EU204" s="115" t="str">
        <f aca="false">IF(AND(Tasks[[#This Row],[_IsLeaf]]=1,Tasks[[#This Row],[_LeafProgress]]&gt;=1),IF(N(Tasks[[#This Row],[Actual Finish]])&gt;0,Tasks[[#This Row],[Actual Finish]],Tasks[[#This Row],[_ShownFcstFinish]]),"")</f>
        <v/>
      </c>
      <c r="EV204" s="38" t="n">
        <f aca="false">IF(Tasks[[#This Row],[_IsLeaf]]=1,N(Tasks[[#This Row],[Story Points]]),0)</f>
        <v>0</v>
      </c>
      <c r="EW204" s="38" t="str">
        <f aca="false">IF(AND(Tasks[[#This Row],[_IsLeaf]]=1,CurrentSprint&lt;&gt;"",Tasks[[#This Row],[Sprint]]=CurrentSprint),Tasks[[#This Row],[_Row]],"")</f>
        <v/>
      </c>
    </row>
    <row r="205" customFormat="false" ht="15" hidden="false" customHeight="false" outlineLevel="0" collapsed="false">
      <c r="A205" s="51" t="str">
        <f aca="false">IF(Tasks[[#This Row],[Task Name]]="","",COUNTA(Tasks[[#Headers],[Task Name]]:Tasks[[#This Row],[Task Name]])-1)</f>
        <v/>
      </c>
      <c r="B205" s="52" t="n">
        <v>200</v>
      </c>
      <c r="C20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52"/>
      <c r="E205" s="53"/>
      <c r="F205" s="52"/>
      <c r="G205" s="52"/>
      <c r="H205" s="52"/>
      <c r="I205" s="52"/>
      <c r="J205" s="52"/>
      <c r="K205" s="52"/>
      <c r="L205" s="52"/>
      <c r="M205" s="52"/>
      <c r="N205" s="52"/>
      <c r="O205" s="52"/>
      <c r="P205" s="52"/>
      <c r="Q205" s="52"/>
      <c r="R205" s="52"/>
      <c r="S205" s="53"/>
      <c r="T205" s="102"/>
      <c r="U205" s="102"/>
      <c r="V205" s="7"/>
      <c r="W205" s="7"/>
      <c r="X205" s="53"/>
      <c r="Y205" s="31" t="str">
        <f aca="false">IF(Tasks[[#This Row],[Task Name]]="","",IF(Tasks[[#This Row],[_IsSummary]],MIN(INDEX(Tasks[_ShownFcstStart],Tasks[[#This Row],[_Row]]+1):INDEX(Tasks[_ShownFcstStart],Tasks[[#This Row],[_Row]]+Tasks[[#This Row],[_Descendants]])),Tasks[[#This Row],[_ShownFcstStart]]))</f>
        <v/>
      </c>
      <c r="Z205" s="31" t="str">
        <f aca="false">IF(Tasks[[#This Row],[Task Name]]="","",IF(Tasks[[#This Row],[_IsSummary]],MAX(INDEX(Tasks[_ShownFcstFinish],Tasks[[#This Row],[_Row]]+1):INDEX(Tasks[_ShownFcstFinish],Tasks[[#This Row],[_Row]]+Tasks[[#This Row],[_Descendants]])),Tasks[[#This Row],[_ShownFcstFinish]]))</f>
        <v/>
      </c>
      <c r="AA205" s="51" t="str">
        <f aca="false">IF(Tasks[[#This Row],[Task Name]]="","",IF(Tasks[[#This Row],[Progress]]&gt;=1,"Complete",IF(OR(N(Tasks[[#This Row],[Actual Start]])&gt;0,Tasks[[#This Row],[Progress]]&gt;0),IF(Tasks[[#This Row],[Finish Var]]&gt;0,"Behind","In Progress"),IF(Tasks[[#This Row],[Planned Start]]&lt;StatusDate,"Late Start","Not Started"))))</f>
        <v/>
      </c>
      <c r="AB205" s="51" t="str">
        <f aca="false">IF(Tasks[[#This Row],[Task Name]]="","",IF(IF(Tasks[[#This Row],[_IsSummary]],COUNTIF(INDEX(Tasks[_LeafCritical],Tasks[[#This Row],[_Row]]+1):INDEX(Tasks[_LeafCritical],Tasks[[#This Row],[_Row]]+Tasks[[#This Row],[_Descendants]]),TRUE())&gt;0,Tasks[[#This Row],[_LeafCritical]]),"Yes",""))</f>
        <v/>
      </c>
      <c r="AC20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5" s="51" t="str">
        <f aca="false">IF(Tasks[[#This Row],[Task Name]]="","",IF(Tasks[[#This Row],[_Level]]&lt;=OutlineShowLevel,"Yes","No"))</f>
        <v/>
      </c>
      <c r="AE205" s="7"/>
      <c r="AF205" s="52"/>
      <c r="AG205" s="53"/>
      <c r="AH205" s="7"/>
      <c r="AI205" s="5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5" s="31" t="str">
        <f aca="false">IF(Tasks[[#This Row],[Task Name]]="","",IF(N(Tasks[[#This Row],[Baseline Start]])&gt;0,Tasks[[#This Row],[Baseline Start]],Tasks[[#This Row],[_CalcStart]]))</f>
        <v/>
      </c>
      <c r="AK205" s="31" t="str">
        <f aca="false">IF(Tasks[[#This Row],[Task Name]]="","",IF(N(Tasks[[#This Row],[Baseline Finish]])&gt;0,Tasks[[#This Row],[Baseline Finish]],Tasks[[#This Row],[_CalcFinish]]))</f>
        <v/>
      </c>
      <c r="AL205" s="5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5" s="31" t="str">
        <f aca="false">IF(Tasks[[#This Row],[Task Name]]="","",IF(Tasks[[#This Row],[_IsSummary]],MIN(INDEX(Tasks[_LeafLateStart],Tasks[[#This Row],[_Row]]+1):INDEX(Tasks[_LeafLateStart],Tasks[[#This Row],[_Row]]+Tasks[[#This Row],[_Descendants]])),Tasks[[#This Row],[_LeafLateStart]]))</f>
        <v/>
      </c>
      <c r="AN205" s="31" t="str">
        <f aca="false">IF(Tasks[[#This Row],[Task Name]]="","",IF(Tasks[[#This Row],[_IsSummary]],MAX(INDEX(Tasks[_LeafLateFinish],Tasks[[#This Row],[_Row]]+1):INDEX(Tasks[_LeafLateFinish],Tasks[[#This Row],[_Row]]+Tasks[[#This Row],[_Descendants]])),Tasks[[#This Row],[_LeafLateFinish]]))</f>
        <v/>
      </c>
      <c r="AO205" s="51" t="str">
        <f aca="false">IF(Tasks[[#This Row],[Task Name]]="","",IF(Tasks[[#This Row],[_IsSummary]],MIN(INDEX(Tasks[_LeafTotalSlack],Tasks[[#This Row],[_Row]]+1):INDEX(Tasks[_LeafTotalSlack],Tasks[[#This Row],[_Row]]+Tasks[[#This Row],[_Descendants]])),Tasks[[#This Row],[_LeafTotalSlack]]))</f>
        <v/>
      </c>
      <c r="AP20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5" s="110" t="str">
        <f aca="false">IF(Tasks[[#This Row],[Task Name]]="","",IF(Tasks[[#This Row],[_IsSummary]],SUM(INDEX(Tasks[_LeafTotalWork],Tasks[[#This Row],[_Row]]+1):INDEX(Tasks[_LeafTotalWork],Tasks[[#This Row],[_Row]]+Tasks[[#This Row],[_Descendants]])),Tasks[[#This Row],[_LeafTotalWork]]))</f>
        <v/>
      </c>
      <c r="AV20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5" s="111" t="str">
        <f aca="false">IF(Tasks[[#This Row],[Task Name]]="","",IF(Tasks[[#This Row],[_IsSummary]],SUM(INDEX(Tasks[_LeafTotalCost],Tasks[[#This Row],[_Row]]+1):INDEX(Tasks[_LeafTotalCost],Tasks[[#This Row],[_Row]]+Tasks[[#This Row],[_Descendants]])),Tasks[[#This Row],[_LeafTotalCost]]))</f>
        <v/>
      </c>
      <c r="AY205" s="112"/>
      <c r="AZ20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5" s="52"/>
      <c r="BB205" s="98"/>
      <c r="BC205" s="51" t="str">
        <f aca="false">IF(OR(Tasks[[#This Row],[Task Name]]="",Tasks[[#This Row],[Baseline Duration]]=""),"",Tasks[[#This Row],[BL Source Duration]]-N(Tasks[[#This Row],[Baseline Duration]]))</f>
        <v/>
      </c>
      <c r="BD205" s="110" t="str">
        <f aca="false">IF(OR(Tasks[[#This Row],[Task Name]]="",Tasks[[#This Row],[Baseline Work]]=""),"",Tasks[[#This Row],[Work]]-N(Tasks[[#This Row],[Baseline Work]]))</f>
        <v/>
      </c>
      <c r="BE205" s="111" t="str">
        <f aca="false">IF(OR(Tasks[[#This Row],[Task Name]]="",Tasks[[#This Row],[Baseline Cost]]=""),"",Tasks[[#This Row],[Cost]]-N(Tasks[[#This Row],[Baseline Cost]]))</f>
        <v/>
      </c>
      <c r="BF205" s="31" t="str">
        <f aca="false">IF(Tasks[[#This Row],[Task Name]]="","",Tasks[[#This Row],[Forecast Start]])</f>
        <v/>
      </c>
      <c r="BG205" s="31" t="str">
        <f aca="false">IF(Tasks[[#This Row],[Task Name]]="","",Tasks[[#This Row],[Forecast Finish]])</f>
        <v/>
      </c>
      <c r="BH205" s="51" t="str">
        <f aca="false">IF(Tasks[[#This Row],[Task Name]]="","",IF(Tasks[[#This Row],[_IsSummary]],NETWORKDAYS.INTL(Tasks[[#This Row],[Forecast Start]],Tasks[[#This Row],[Forecast Finish]],WorkWeek,Holidays),N(Tasks[[#This Row],[Duration]])))</f>
        <v/>
      </c>
      <c r="BI205" s="110" t="str">
        <f aca="false">IF(Tasks[[#This Row],[Task Name]]="","",Tasks[[#This Row],[Work]])</f>
        <v/>
      </c>
      <c r="BJ205" s="111" t="str">
        <f aca="false">IF(Tasks[[#This Row],[Task Name]]="","",Tasks[[#This Row],[Cost]])</f>
        <v/>
      </c>
      <c r="BK205" s="7"/>
      <c r="BL205" s="7"/>
      <c r="BM205" s="52"/>
      <c r="BN205" s="113"/>
      <c r="BO205" s="112"/>
      <c r="BP205" s="111" t="str">
        <f aca="false">IF(Tasks[[#This Row],[Task Name]]="","",IF(Tasks[[#This Row],[_IsSummary]],SUM(INDEX(Tasks[_LeafEV],Tasks[[#This Row],[_Row]]+1):INDEX(Tasks[_LeafEV],Tasks[[#This Row],[_Row]]+Tasks[[#This Row],[_Descendants]])),Tasks[[#This Row],[_LeafEV]]))</f>
        <v/>
      </c>
      <c r="BQ205" s="111" t="str">
        <f aca="false">IF(Tasks[[#This Row],[Task Name]]="","",IF(Tasks[[#This Row],[_IsSummary]],SUM(INDEX(Tasks[_LeafBudget],Tasks[[#This Row],[_Row]]+1):INDEX(Tasks[_LeafBudget],Tasks[[#This Row],[_Row]]+Tasks[[#This Row],[_Descendants]])),Tasks[[#This Row],[_LeafBudget]]))</f>
        <v/>
      </c>
      <c r="BR205" s="111" t="str">
        <f aca="false">IF(Tasks[[#This Row],[Task Name]]="","",IF(Tasks[[#This Row],[_IsSummary]],SUM(INDEX(Tasks[_LeafPV],Tasks[[#This Row],[_Row]]+1):INDEX(Tasks[_LeafPV],Tasks[[#This Row],[_Row]]+Tasks[[#This Row],[_Descendants]])),Tasks[[#This Row],[_LeafPV]]))</f>
        <v/>
      </c>
      <c r="BS205" s="111" t="str">
        <f aca="false">IF(Tasks[[#This Row],[Task Name]]="","",IF(Tasks[[#This Row],[_IsSummary]],SUM(INDEX(Tasks[_LeafAC],Tasks[[#This Row],[_Row]]+1):INDEX(Tasks[_LeafAC],Tasks[[#This Row],[_Row]]+Tasks[[#This Row],[_Descendants]])),Tasks[[#This Row],[_LeafAC]]))</f>
        <v/>
      </c>
      <c r="BT205" s="38" t="str">
        <f aca="false">IF(Tasks[[#This Row],[Task Name]]="","",MAX(1,N(Tasks[[#This Row],[Level]])))</f>
        <v/>
      </c>
      <c r="BU205" s="38" t="n">
        <f aca="false">ROW()-ROW(Tasks[[#Headers],[ID]])</f>
        <v>200</v>
      </c>
      <c r="BV205" s="38" t="n">
        <f aca="false">IF(OR(Tasks[[#This Row],[Task Name]]="",Tasks[[#This Row],[_Level]]&lt;=1),0,IFERROR(LOOKUP(2,1/(Tasks[[#Headers],[_Level]]:Tasks[[#This Row],[_Level]]=Tasks[[#This Row],[_Level]]-1),ROW(Tasks[[#Headers],[_Level]]:Tasks[[#This Row],[_Level]])),0))</f>
        <v>0</v>
      </c>
      <c r="BW205" s="38" t="n">
        <f aca="false">IFERROR(N(INDEX(Tasks[_Level],Tasks[[#This Row],[_Row]]+1)),0)</f>
        <v>0</v>
      </c>
      <c r="BX205" s="114" t="b">
        <f aca="false">AND(Tasks[[#This Row],[Task Name]]&lt;&gt;"",Tasks[[#This Row],[_NextLevel]]&gt;Tasks[[#This Row],[_Level]])</f>
        <v>0</v>
      </c>
      <c r="BY205" s="38" t="n">
        <f aca="false">IF(Tasks[[#This Row],[_IsSummary]],COUNTIF(Tasks[WBS],Tasks[[#This Row],[WBS]]&amp;".*"),0)</f>
        <v>0</v>
      </c>
      <c r="BZ205" s="38" t="n">
        <f aca="false">IF(AND(Tasks[[#This Row],[Task Name]]&lt;&gt;"",NOT(Tasks[[#This Row],[_IsSummary]])),1,0)</f>
        <v>0</v>
      </c>
      <c r="CA205" s="38" t="n">
        <f aca="false">IF(N(Tasks[[#This Row],[Pred1 UID]])=0,0,IFERROR(MATCH(Tasks[[#This Row],[Pred1 UID]],Tasks[UID],0),-1))</f>
        <v>0</v>
      </c>
      <c r="CB205" s="38" t="n">
        <f aca="false">IF(N(Tasks[[#This Row],[Pred2 UID]])=0,0,IFERROR(MATCH(Tasks[[#This Row],[Pred2 UID]],Tasks[UID],0),-1))</f>
        <v>0</v>
      </c>
      <c r="CC205" s="38" t="n">
        <f aca="false">IF(N(Tasks[[#This Row],[Pred3 UID]])=0,0,IFERROR(MATCH(Tasks[[#This Row],[Pred3 UID]],Tasks[UID],0),-1))</f>
        <v>0</v>
      </c>
      <c r="CD205" s="38" t="n">
        <f aca="false">IF(N(Tasks[[#This Row],[Pred4 UID]])=0,0,IFERROR(MATCH(Tasks[[#This Row],[Pred4 UID]],Tasks[UID],0),-1))</f>
        <v>0</v>
      </c>
      <c r="CE20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5" s="115" t="n">
        <f aca="false">IF(OR(Tasks[[#This Row],[_ConstraintCode]]=2,Tasks[[#This Row],[_ConstraintCode]]=3,Tasks[[#This Row],[_ConstraintCode]]=4,Tasks[[#This Row],[_ConstraintCode]]=6),Tasks[[#This Row],[_ConstraintStart]],0)</f>
        <v>0</v>
      </c>
      <c r="CH205" s="115" t="n">
        <f aca="false">IF(OR(Tasks[[#This Row],[_ConstraintCode]]=2,Tasks[[#This Row],[_ConstraintCode]]=3,Tasks[[#This Row],[_ConstraintCode]]=5,Tasks[[#This Row],[_ConstraintCode]]=7),Tasks[[#This Row],[_ConstraintStart]],2958465)</f>
        <v>2958465</v>
      </c>
      <c r="CI20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5" s="115" t="str">
        <f aca="false">IF(NOT(Tasks[[#This Row],[_IsLeaf]]=1),"",IF(N(Tasks[[#This Row],[Duration]])&lt;=0,Tasks[[#This Row],[_LeafCalcStart]],WORKDAY.INTL(Tasks[[#This Row],[_LeafCalcStart]],Tasks[[#This Row],[Duration]]-1,WorkWeek,Holidays)))</f>
        <v/>
      </c>
      <c r="CK20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5" s="38" t="n">
        <f aca="false">IF(NOT(Tasks[[#This Row],[_IsLeaf]]=1),0,IF(N(Tasks[[#This Row],[Actual Finish]])&gt;0,1,MIN(1,N(Tasks[[#This Row],[% Complete]]))))</f>
        <v>0</v>
      </c>
      <c r="CN205" s="38" t="n">
        <f aca="false">IF(OR(NOT(Tasks[[#This Row],[_IsLeaf]]=1),Tasks[[#This Row],[Resource]]=""),0,N(Tasks[[#This Row],[Duration]])*HoursPerDay*IF(Tasks[[#This Row],[Units]]="",DefaultUnits,Tasks[[#This Row],[Units]]))</f>
        <v>0</v>
      </c>
      <c r="CO205" s="38" t="n">
        <f aca="false">IF(Tasks[[#This Row],[_LeafWork]]=0,0,Tasks[[#This Row],[_LeafWork]]*IFERROR(INDEX(res_Rate,MATCH(Tasks[[#This Row],[Resource]],res_Name,0)),0))</f>
        <v>0</v>
      </c>
      <c r="CP205" s="38" t="n">
        <f aca="false">Tasks[[#This Row],[_LeafWork]]+IF(Tasks[[#This Row],[_IsLeaf]]=1,SUMIFS(asg_Work,asg_TaskUID,Tasks[[#This Row],[UID]],asg_Valid,1),0)</f>
        <v>0</v>
      </c>
      <c r="CQ205" s="38" t="n">
        <f aca="false">Tasks[[#This Row],[_LeafCost]]+IF(Tasks[[#This Row],[_IsLeaf]]=1,SUMIFS(asg_Cost,asg_TaskUID,Tasks[[#This Row],[UID]],asg_Valid,1),0)</f>
        <v>0</v>
      </c>
      <c r="CR205" s="38" t="n">
        <f aca="false">IF(Tasks[[#This Row],[_LeafTotalCost]]=0,Tasks[[#This Row],[_LeafAC]],Tasks[[#This Row],[_LeafAC]]*Tasks[[#This Row],[_LeafCost]]/Tasks[[#This Row],[_LeafTotalCost]])</f>
        <v>0</v>
      </c>
      <c r="CS20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5" s="38" t="n">
        <f aca="false">IF(NOT(Tasks[[#This Row],[_IsLeaf]]=1),0,MAX(_xlfn.MAXIFS(Tasks[_Row],Tasks[Pred1 UID],Tasks[[#This Row],[UID]]),_xlfn.MAXIFS(Tasks[_Row],Tasks[Pred2 UID],Tasks[[#This Row],[UID]]),_xlfn.MAXIFS(Tasks[_Row],Tasks[Pred3 UID],Tasks[[#This Row],[UID]]),_xlfn.MAXIFS(Tasks[_Row],Tasks[Pred4 UID],Tasks[[#This Row],[UID]])))</f>
        <v>0</v>
      </c>
      <c r="DB20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5" s="115" t="str">
        <f aca="false">IF(NOT(Tasks[[#This Row],[_IsLeaf]]=1),"",IF(N(Tasks[[#This Row],[Duration]])&lt;=0,Tasks[[#This Row],[_LeafLateFinish]],WORKDAY.INTL(Tasks[[#This Row],[_LeafLateFinish]],-(Tasks[[#This Row],[Duration]]-1),WorkWeek,Holidays)))</f>
        <v/>
      </c>
      <c r="DE20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5" s="114" t="b">
        <f aca="false">AND(Tasks[[#This Row],[_IsLeaf]]=1,Tasks[[#This Row],[_LeafProgress]]&lt;1,N(Tasks[[#This Row],[_LeafTotalSlack]])&lt;=CriticalSlackDays)</f>
        <v>0</v>
      </c>
      <c r="DG205" s="38" t="n">
        <f aca="false">IF(AND(Tasks[[#This Row],[_IsLeaf]]=1,Tasks[[#This Row],[_ConstraintCode]]=1,Tasks[[#This Row],[Mode]]&lt;&gt;"Manual",N(Tasks[[#This Row],[Actual Start]])=0),MAX(0,N(Tasks[[#This Row],[Free Slack]])),0)</f>
        <v>0</v>
      </c>
      <c r="DH205" s="115" t="str">
        <f aca="false">IF(NOT(Tasks[[#This Row],[_IsLeaf]]=1),"",IF(Tasks[[#This Row],[_AlapShift]]=0,Tasks[[#This Row],[_LeafCalcStart]],WORKDAY.INTL(Tasks[[#This Row],[_LeafCalcStart]],Tasks[[#This Row],[_AlapShift]],WorkWeek,Holidays)))</f>
        <v/>
      </c>
      <c r="DI205" s="115" t="str">
        <f aca="false">IF(NOT(Tasks[[#This Row],[_IsLeaf]]=1),"",IF(Tasks[[#This Row],[_AlapShift]]=0,Tasks[[#This Row],[_LeafCalcFinish]],WORKDAY.INTL(Tasks[[#This Row],[_LeafCalcFinish]],Tasks[[#This Row],[_AlapShift]],WorkWeek,Holidays)))</f>
        <v/>
      </c>
      <c r="DJ205" s="115" t="str">
        <f aca="false">IF(NOT(Tasks[[#This Row],[_IsLeaf]]=1),"",IF(Tasks[[#This Row],[_AlapShift]]=0,Tasks[[#This Row],[_LeafFcstStart]],WORKDAY.INTL(Tasks[[#This Row],[_LeafFcstStart]],Tasks[[#This Row],[_AlapShift]],WorkWeek,Holidays)))</f>
        <v/>
      </c>
      <c r="DK205" s="115" t="str">
        <f aca="false">IF(NOT(Tasks[[#This Row],[_IsLeaf]]=1),"",IF(Tasks[[#This Row],[_AlapShift]]=0,Tasks[[#This Row],[_LeafFcstFinish]],WORKDAY.INTL(Tasks[[#This Row],[_LeafFcstFinish]],Tasks[[#This Row],[_AlapShift]],WorkWeek,Holidays)))</f>
        <v/>
      </c>
      <c r="DL205" s="115" t="str">
        <f aca="false">IF(Tasks[[#This Row],[Task Name]]="","",IF(Tasks[[#This Row],[_IsSummary]],MIN(INDEX(Tasks[_ShownCalcStart],Tasks[[#This Row],[_Row]]+1):INDEX(Tasks[_ShownCalcStart],Tasks[[#This Row],[_Row]]+Tasks[[#This Row],[_Descendants]])),Tasks[[#This Row],[_ShownCalcStart]]))</f>
        <v/>
      </c>
      <c r="DM205" s="115" t="str">
        <f aca="false">IF(Tasks[[#This Row],[Task Name]]="","",IF(Tasks[[#This Row],[_IsSummary]],MAX(INDEX(Tasks[_ShownCalcFinish],Tasks[[#This Row],[_Row]]+1):INDEX(Tasks[_ShownCalcFinish],Tasks[[#This Row],[_Row]]+Tasks[[#This Row],[_Descendants]])),Tasks[[#This Row],[_ShownCalcFinish]]))</f>
        <v/>
      </c>
      <c r="DN20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5" s="38" t="n">
        <f aca="false">IF(AND(Tasks[[#This Row],[_IsLeaf]]=1,Tasks[[#This Row],[_LeafTotalWork]]&gt;0),NETWORKDAYS.INTL(ProjectStart,Tasks[[#This Row],[_ShownFcstStart]],WorkWeek,Holidays),0)</f>
        <v>0</v>
      </c>
      <c r="EA205" s="38" t="n">
        <f aca="false">IF(AND(Tasks[[#This Row],[_IsLeaf]]=1,Tasks[[#This Row],[_LeafTotalWork]]&gt;0),MAX(Tasks[[#This Row],[_StartWorkday]],NETWORKDAYS.INTL(ProjectStart,Tasks[[#This Row],[_ShownFcstFinish]],WorkWeek,Holidays)),0)</f>
        <v>0</v>
      </c>
      <c r="EB205" s="38" t="n">
        <f aca="false">IF(AND(Tasks[[#This Row],[_IsLeaf]]=1,Tasks[[#This Row],[_LeafTotalWork]]&gt;0),Tasks[[#This Row],[_LeafWork]]/(Tasks[[#This Row],[_FinishWorkday]]-Tasks[[#This Row],[_StartWorkday]]+1),0)</f>
        <v>0</v>
      </c>
      <c r="EC205" s="38" t="n">
        <f aca="false">Tasks[[#This Row],[_WorkPerWorkday]]*(Tasks[[#This Row],[_StartWorkday]]-1)</f>
        <v>-0</v>
      </c>
      <c r="ED205" s="38" t="n">
        <f aca="false">IF(Tasks[[#This Row],[_IsLeaf]]=1,MAX(N(Tasks[[#This Row],[Duration]]),0.1),0)</f>
        <v>0</v>
      </c>
      <c r="EE205" s="38" t="n">
        <f aca="false">Tasks[[#This Row],[_WeightDur]]*Tasks[[#This Row],[_LeafProgress]]</f>
        <v>0</v>
      </c>
      <c r="EF20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5" s="38" t="str">
        <f aca="false">IF(AND(Tasks[[#This Row],[_IsLeaf]]=1,N(Tasks[[#This Row],[Duration]])=0,Tasks[[#This Row],[_LeafProgress]]&lt;1),Tasks[[#This Row],[_ShownFcstFinish]]+Tasks[[#This Row],[_Row]]/100000,"")</f>
        <v/>
      </c>
      <c r="EH20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5" s="38" t="n">
        <f aca="false">IF(NOT(Tasks[[#This Row],[_IsLeaf]]=1),0,IF(Tasks[[#This Row],[Baseline Cost]]="",Tasks[[#This Row],[_LeafTotalCost]],N(Tasks[[#This Row],[Baseline Cost]])))</f>
        <v>0</v>
      </c>
      <c r="EJ205" s="38" t="n">
        <f aca="false">Tasks[[#This Row],[_LeafBudget]]*Tasks[[#This Row],[_PlannedPct]]</f>
        <v>0</v>
      </c>
      <c r="EK205" s="38" t="n">
        <f aca="false">Tasks[[#This Row],[_LeafBudget]]*Tasks[[#This Row],[_LeafProgress]]</f>
        <v>0</v>
      </c>
      <c r="EL205" s="38" t="n">
        <f aca="false">IF(NOT(Tasks[[#This Row],[_IsLeaf]]=1),0,IF(Tasks[[#This Row],[Actual Cost]]="",Tasks[[#This Row],[_LeafTotalCost]]*Tasks[[#This Row],[_LeafProgress]],N(Tasks[[#This Row],[Actual Cost]])))</f>
        <v>0</v>
      </c>
      <c r="EM205" s="38" t="str">
        <f aca="false">IF(Tasks[[#This Row],[Task Name]]="","",LEFT(Tasks[[#This Row],[WBS]],FIND(".",Tasks[[#This Row],[WBS]]&amp;".")-1))</f>
        <v/>
      </c>
      <c r="EN205" s="38" t="str">
        <f aca="false">IF(AND(Tasks[[#This Row],[Task Name]]&lt;&gt;"",Tasks[[#This Row],[_Level]]=1),Tasks[[#This Row],[_Row]],"")</f>
        <v/>
      </c>
      <c r="EO205" s="38" t="str">
        <f aca="false">IF(AND(Tasks[[#This Row],[_IsLeaf]]=1,N(Tasks[[#This Row],[Duration]])=0),Tasks[[#This Row],[Planned Finish]]+Tasks[[#This Row],[_Row]]/100000,"")</f>
        <v/>
      </c>
      <c r="EP205" s="38" t="str">
        <f aca="false">IF(AND(Tasks[[#This Row],[_IsLeaf]]=1,Tasks[[#This Row],[_LeafProgress]]&lt;1,OR(N(Tasks[[#This Row],[Finish Var]])&gt;0,Tasks[[#This Row],[Status]]="Late Start")),MAX(0,Tasks[[#This Row],[Finish Var]])+1-Tasks[[#This Row],[_Row]]/1000000,"")</f>
        <v/>
      </c>
      <c r="EQ205" s="38" t="str">
        <f aca="false">IF(AND(Tasks[[#This Row],[_IsLeaf]]=1,N(Tasks[[#This Row],[Actual Start]])=0,Tasks[[#This Row],[_ShownFcstStart]]&gt;=StatusDate,Tasks[[#This Row],[_ShownFcstStart]]&lt;=LookaheadEnd),Tasks[[#This Row],[_ShownFcstStart]]+Tasks[[#This Row],[_Row]]/100000,"")</f>
        <v/>
      </c>
      <c r="ER205" s="38" t="str">
        <f aca="false">IF(AND(Tasks[[#This Row],[_IsLeaf]]=1,Tasks[[#This Row],[_LeafProgress]]&lt;1,Tasks[[#This Row],[_ShownFcstFinish]]&gt;=StatusDate,Tasks[[#This Row],[_ShownFcstFinish]]&lt;=LookaheadEnd),Tasks[[#This Row],[_ShownFcstFinish]]+Tasks[[#This Row],[_Row]]/100000,"")</f>
        <v/>
      </c>
      <c r="ES205" s="38" t="str">
        <f aca="false">IF(Tasks[[#This Row],[_LeafCritical]],Tasks[[#This Row],[_ShownFcstStart]]+Tasks[[#This Row],[_Row]]/100000,"")</f>
        <v/>
      </c>
      <c r="ET205" s="38" t="n">
        <f aca="false">Tasks[[#This Row],[_LeafWork]]*Tasks[[#This Row],[_LeafProgress]]</f>
        <v>0</v>
      </c>
      <c r="EU205" s="115" t="str">
        <f aca="false">IF(AND(Tasks[[#This Row],[_IsLeaf]]=1,Tasks[[#This Row],[_LeafProgress]]&gt;=1),IF(N(Tasks[[#This Row],[Actual Finish]])&gt;0,Tasks[[#This Row],[Actual Finish]],Tasks[[#This Row],[_ShownFcstFinish]]),"")</f>
        <v/>
      </c>
      <c r="EV205" s="38" t="n">
        <f aca="false">IF(Tasks[[#This Row],[_IsLeaf]]=1,N(Tasks[[#This Row],[Story Points]]),0)</f>
        <v>0</v>
      </c>
      <c r="EW205" s="38" t="str">
        <f aca="false">IF(AND(Tasks[[#This Row],[_IsLeaf]]=1,CurrentSprint&lt;&gt;"",Tasks[[#This Row],[Sprint]]=CurrentSprint),Tasks[[#This Row],[_Row]],"")</f>
        <v/>
      </c>
    </row>
  </sheetData>
  <conditionalFormatting sqref="A6:BS205">
    <cfRule type="expression" priority="2" aboveAverage="0" equalAverage="0" bottom="0" percent="0" rank="0" text="" dxfId="37">
      <formula>$BX6=1</formula>
    </cfRule>
  </conditionalFormatting>
  <conditionalFormatting sqref="F6:F205">
    <cfRule type="expression" priority="3" aboveAverage="0" equalAverage="0" bottom="0" percent="0" rank="0" text="" dxfId="38">
      <formula>$BX6=1</formula>
    </cfRule>
  </conditionalFormatting>
  <conditionalFormatting sqref="G6:G205">
    <cfRule type="expression" priority="4" aboveAverage="0" equalAverage="0" bottom="0" percent="0" rank="0" text="" dxfId="38">
      <formula>$BX6=1</formula>
    </cfRule>
  </conditionalFormatting>
  <conditionalFormatting sqref="J6:J205">
    <cfRule type="expression" priority="5" aboveAverage="0" equalAverage="0" bottom="0" percent="0" rank="0" text="" dxfId="38">
      <formula>$BX6=1</formula>
    </cfRule>
  </conditionalFormatting>
  <conditionalFormatting sqref="M6:M205">
    <cfRule type="expression" priority="6" aboveAverage="0" equalAverage="0" bottom="0" percent="0" rank="0" text="" dxfId="38">
      <formula>$BX6=1</formula>
    </cfRule>
  </conditionalFormatting>
  <conditionalFormatting sqref="P6:P205">
    <cfRule type="expression" priority="7" aboveAverage="0" equalAverage="0" bottom="0" percent="0" rank="0" text="" dxfId="38">
      <formula>$BX6=1</formula>
    </cfRule>
  </conditionalFormatting>
  <conditionalFormatting sqref="H6:H205">
    <cfRule type="expression" priority="8" aboveAverage="0" equalAverage="0" bottom="0" percent="0" rank="0" text="" dxfId="38">
      <formula>$BX6=1</formula>
    </cfRule>
  </conditionalFormatting>
  <conditionalFormatting sqref="K6:K205">
    <cfRule type="expression" priority="9" aboveAverage="0" equalAverage="0" bottom="0" percent="0" rank="0" text="" dxfId="38">
      <formula>$BX6=1</formula>
    </cfRule>
  </conditionalFormatting>
  <conditionalFormatting sqref="N6:N205">
    <cfRule type="expression" priority="10" aboveAverage="0" equalAverage="0" bottom="0" percent="0" rank="0" text="" dxfId="38">
      <formula>$BX6=1</formula>
    </cfRule>
  </conditionalFormatting>
  <conditionalFormatting sqref="Q6:Q205">
    <cfRule type="expression" priority="11" aboveAverage="0" equalAverage="0" bottom="0" percent="0" rank="0" text="" dxfId="38">
      <formula>$BX6=1</formula>
    </cfRule>
  </conditionalFormatting>
  <conditionalFormatting sqref="I6:I205">
    <cfRule type="expression" priority="12" aboveAverage="0" equalAverage="0" bottom="0" percent="0" rank="0" text="" dxfId="38">
      <formula>$BX6=1</formula>
    </cfRule>
  </conditionalFormatting>
  <conditionalFormatting sqref="L6:L205">
    <cfRule type="expression" priority="13" aboveAverage="0" equalAverage="0" bottom="0" percent="0" rank="0" text="" dxfId="38">
      <formula>$BX6=1</formula>
    </cfRule>
  </conditionalFormatting>
  <conditionalFormatting sqref="O6:O205">
    <cfRule type="expression" priority="14" aboveAverage="0" equalAverage="0" bottom="0" percent="0" rank="0" text="" dxfId="38">
      <formula>$BX6=1</formula>
    </cfRule>
  </conditionalFormatting>
  <conditionalFormatting sqref="R6:R205">
    <cfRule type="expression" priority="15" aboveAverage="0" equalAverage="0" bottom="0" percent="0" rank="0" text="" dxfId="38">
      <formula>$BX6=1</formula>
    </cfRule>
  </conditionalFormatting>
  <conditionalFormatting sqref="AG6:AG205">
    <cfRule type="expression" priority="16" aboveAverage="0" equalAverage="0" bottom="0" percent="0" rank="0" text="" dxfId="38">
      <formula>$BX6=1</formula>
    </cfRule>
  </conditionalFormatting>
  <conditionalFormatting sqref="AH6:AH205">
    <cfRule type="expression" priority="17" aboveAverage="0" equalAverage="0" bottom="0" percent="0" rank="0" text="" dxfId="38">
      <formula>$BX6=1</formula>
    </cfRule>
  </conditionalFormatting>
  <conditionalFormatting sqref="V6:V205">
    <cfRule type="expression" priority="18" aboveAverage="0" equalAverage="0" bottom="0" percent="0" rank="0" text="" dxfId="38">
      <formula>$BX6=1</formula>
    </cfRule>
  </conditionalFormatting>
  <conditionalFormatting sqref="W6:W205">
    <cfRule type="expression" priority="19" aboveAverage="0" equalAverage="0" bottom="0" percent="0" rank="0" text="" dxfId="38">
      <formula>$BX6=1</formula>
    </cfRule>
  </conditionalFormatting>
  <conditionalFormatting sqref="U6:U205">
    <cfRule type="expression" priority="20" aboveAverage="0" equalAverage="0" bottom="0" percent="0" rank="0" text="" dxfId="38">
      <formula>$BX6=1</formula>
    </cfRule>
  </conditionalFormatting>
  <conditionalFormatting sqref="S6:S205">
    <cfRule type="expression" priority="21" aboveAverage="0" equalAverage="0" bottom="0" percent="0" rank="0" text="" dxfId="38">
      <formula>$BX6=1</formula>
    </cfRule>
  </conditionalFormatting>
  <conditionalFormatting sqref="T6:T205">
    <cfRule type="expression" priority="22" aboveAverage="0" equalAverage="0" bottom="0" percent="0" rank="0" text="" dxfId="38">
      <formula>$BX6=1</formula>
    </cfRule>
  </conditionalFormatting>
  <conditionalFormatting sqref="AY6:AY205">
    <cfRule type="expression" priority="23" aboveAverage="0" equalAverage="0" bottom="0" percent="0" rank="0" text="" dxfId="38">
      <formula>$BX6=1</formula>
    </cfRule>
  </conditionalFormatting>
  <conditionalFormatting sqref="BA6:BA205">
    <cfRule type="expression" priority="24" aboveAverage="0" equalAverage="0" bottom="0" percent="0" rank="0" text="" dxfId="38">
      <formula>$BX6=1</formula>
    </cfRule>
  </conditionalFormatting>
  <conditionalFormatting sqref="BB6:BB205">
    <cfRule type="expression" priority="25" aboveAverage="0" equalAverage="0" bottom="0" percent="0" rank="0" text="" dxfId="38">
      <formula>$BX6=1</formula>
    </cfRule>
  </conditionalFormatting>
  <conditionalFormatting sqref="AA6:AA205">
    <cfRule type="expression" priority="26" aboveAverage="0" equalAverage="0" bottom="0" percent="0" rank="0" text="" dxfId="13">
      <formula>$AA6="Complete"</formula>
    </cfRule>
    <cfRule type="expression" priority="27" aboveAverage="0" equalAverage="0" bottom="0" percent="0" rank="0" text="" dxfId="39">
      <formula>$AA6="In Progress"</formula>
    </cfRule>
    <cfRule type="expression" priority="28" aboveAverage="0" equalAverage="0" bottom="0" percent="0" rank="0" text="" dxfId="27">
      <formula>$AA6="Behind"</formula>
    </cfRule>
    <cfRule type="expression" priority="29" aboveAverage="0" equalAverage="0" bottom="0" percent="0" rank="0" text="" dxfId="35">
      <formula>$AA6="Late Start"</formula>
    </cfRule>
    <cfRule type="expression" priority="30" aboveAverage="0" equalAverage="0" bottom="0" percent="0" rank="0" text="" dxfId="40">
      <formula>$AA6="Not Started"</formula>
    </cfRule>
  </conditionalFormatting>
  <conditionalFormatting sqref="AL6:AL205">
    <cfRule type="expression" priority="31" aboveAverage="0" equalAverage="0" bottom="0" percent="0" rank="0" text="" dxfId="27">
      <formula>AND(ISNUMBER($AL6),$AL6&gt;0)</formula>
    </cfRule>
    <cfRule type="expression" priority="32" aboveAverage="0" equalAverage="0" bottom="0" percent="0" rank="0" text="" dxfId="13">
      <formula>AND(ISNUMBER($AL6),$AL6&lt;0)</formula>
    </cfRule>
  </conditionalFormatting>
  <conditionalFormatting sqref="AI6:AI205">
    <cfRule type="expression" priority="33" aboveAverage="0" equalAverage="0" bottom="0" percent="0" rank="0" text="" dxfId="27">
      <formula>AND(ISNUMBER($AI6),$AI6&gt;0)</formula>
    </cfRule>
    <cfRule type="expression" priority="34" aboveAverage="0" equalAverage="0" bottom="0" percent="0" rank="0" text="" dxfId="13">
      <formula>AND(ISNUMBER($AI6),$AI6&lt;0)</formula>
    </cfRule>
  </conditionalFormatting>
  <conditionalFormatting sqref="BC6:BC205">
    <cfRule type="expression" priority="35" aboveAverage="0" equalAverage="0" bottom="0" percent="0" rank="0" text="" dxfId="27">
      <formula>AND(ISNUMBER($BC6),$BC6&gt;0)</formula>
    </cfRule>
    <cfRule type="expression" priority="36" aboveAverage="0" equalAverage="0" bottom="0" percent="0" rank="0" text="" dxfId="13">
      <formula>AND(ISNUMBER($BC6),$BC6&lt;0)</formula>
    </cfRule>
  </conditionalFormatting>
  <conditionalFormatting sqref="BD6:BD205">
    <cfRule type="expression" priority="37" aboveAverage="0" equalAverage="0" bottom="0" percent="0" rank="0" text="" dxfId="27">
      <formula>AND(ISNUMBER($BD6),$BD6&gt;0)</formula>
    </cfRule>
    <cfRule type="expression" priority="38" aboveAverage="0" equalAverage="0" bottom="0" percent="0" rank="0" text="" dxfId="13">
      <formula>AND(ISNUMBER($BD6),$BD6&lt;0)</formula>
    </cfRule>
  </conditionalFormatting>
  <conditionalFormatting sqref="BE6:BE205">
    <cfRule type="expression" priority="39" aboveAverage="0" equalAverage="0" bottom="0" percent="0" rank="0" text="" dxfId="27">
      <formula>AND(ISNUMBER($BE6),$BE6&gt;0)</formula>
    </cfRule>
    <cfRule type="expression" priority="40" aboveAverage="0" equalAverage="0" bottom="0" percent="0" rank="0" text="" dxfId="13">
      <formula>AND(ISNUMBER($BE6),$BE6&lt;0)</formula>
    </cfRule>
  </conditionalFormatting>
  <conditionalFormatting sqref="E6:E205">
    <cfRule type="expression" priority="41" aboveAverage="0" equalAverage="0" bottom="0" percent="0" rank="0" text="" dxfId="41">
      <formula>AND($BZ6=1,N($F6)=0)</formula>
    </cfRule>
  </conditionalFormatting>
  <conditionalFormatting sqref="C6:C205">
    <cfRule type="expression" priority="42" aboveAverage="0" equalAverage="0" bottom="0" percent="0" rank="0" text="" dxfId="42">
      <formula>$C6="?"</formula>
    </cfRule>
  </conditionalFormatting>
  <conditionalFormatting sqref="B6:B205">
    <cfRule type="expression" priority="43" aboveAverage="0" equalAverage="0" bottom="0" percent="0" rank="0" text="" dxfId="16">
      <formula>OR(AND($E6&lt;&gt;"",$B6=""),AND($B6&lt;&gt;"",COUNTIF(tsk_UID,$B6)&gt;1))</formula>
    </cfRule>
  </conditionalFormatting>
  <conditionalFormatting sqref="AR6:AR205">
    <cfRule type="expression" priority="44" aboveAverage="0" equalAverage="0" bottom="0" percent="0" rank="0" text="" dxfId="43">
      <formula>$AR6&lt;&gt;""</formula>
    </cfRule>
  </conditionalFormatting>
  <conditionalFormatting sqref="AQ6:AQ205">
    <cfRule type="expression" priority="45" aboveAverage="0" equalAverage="0" bottom="0" percent="0" rank="0" text="" dxfId="27">
      <formula>LEFT($AQ6,4)="Late"</formula>
    </cfRule>
    <cfRule type="expression" priority="46" aboveAverage="0" equalAverage="0" bottom="0" percent="0" rank="0" text="" dxfId="13">
      <formula>$AQ6="OK"</formula>
    </cfRule>
  </conditionalFormatting>
  <conditionalFormatting sqref="AW6:AW205">
    <cfRule type="expression" priority="47" aboveAverage="0" equalAverage="0" bottom="0" percent="0" rank="0" text="" dxfId="16">
      <formula>$AW6="Yes"</formula>
    </cfRule>
  </conditionalFormatting>
  <conditionalFormatting sqref="AB6:AB205">
    <cfRule type="expression" priority="48" aboveAverage="0" equalAverage="0" bottom="0" percent="0" rank="0" text="" dxfId="30">
      <formula>$AB6="Yes"</formula>
    </cfRule>
  </conditionalFormatting>
  <conditionalFormatting sqref="AO6:AO205">
    <cfRule type="expression" priority="49" aboveAverage="0" equalAverage="0" bottom="0" percent="0" rank="0" text="" dxfId="27">
      <formula>AND(ISNUMBER($AO6),$AO6&lt;0)</formula>
    </cfRule>
  </conditionalFormatting>
  <conditionalFormatting sqref="AP6:AP205">
    <cfRule type="expression" priority="50" aboveAverage="0" equalAverage="0" bottom="0" percent="0" rank="0" text="" dxfId="27">
      <formula>AND(ISNUMBER($AP6),$AP6&lt;0)</formula>
    </cfRule>
  </conditionalFormatting>
  <dataValidations count="28">
    <dataValidation allowBlank="false" errorStyle="stop" operator="greaterThan" showDropDown="false" showErrorMessage="false" showInputMessage="false" sqref="AH6:AH205" type="date">
      <formula1>1</formula1>
      <formula2>0</formula2>
    </dataValidation>
    <dataValidation allowBlank="false" error="UID must be a whole number; give each task a different one (see Settings &gt; NextFreeUID)." errorStyle="stop" errorTitle="UID" operator="greaterThanOrEqual" prompt="Pre-filled: a permanent number that other tasks' predecessors refer to. A new row: Settings &gt; NextFreeUID." promptTitle="UID" showDropDown="false" showErrorMessage="true" showInputMessage="true" sqref="B6:B205" type="whole">
      <formula1>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D6:D205" type="whole">
      <formula1>1</formula1>
      <formula2>9</formula2>
    </dataValidation>
    <dataValidation allowBlank="false" errorStyle="stop" operator="between" showDropDown="false" showErrorMessage="false" showInputMessage="false" sqref="AF6:AF205" type="list">
      <formula1>L_Mode</formula1>
      <formula2>0</formula2>
    </dataValidation>
    <dataValidation allowBlank="false" error="Duration is in working days (0 = milestone)." errorStyle="stop" operator="greaterThanOrEqual" prompt="e.g. 5. 0 = a milestone. Summaries roll up: leave them blank." promptTitle="Duration (working days)" showDropDown="false" showErrorMessage="true" showInputMessage="true" sqref="F6:F205" type="decimal">
      <formula1>0</formula1>
      <formula2>0</formula2>
    </dataValidation>
    <dataValidation allowBlank="false" error="Enter the UID of another task. Problems are explained in the Link Check column." errorStyle="stop" operator="greaterThanOrEqual" prompt="The UID of a task that must come first, e.g. 12. It must be a detail task above this one." promptTitle="Predecessor 1" showDropDown="false" showErrorMessage="true" showInputMessage="true" sqref="G6:G205" type="whole">
      <formula1>1</formula1>
      <formula2>0</formula2>
    </dataValidation>
    <dataValidation allowBlank="false" error="Enter the UID of another task. Problems are explained in the Link Check column." errorStyle="stop" operator="greaterThanOrEqual" prompt="The UID of a task that must come first, e.g. 12. It must be a detail task above this one." promptTitle="Predecessor 2" showDropDown="false" showErrorMessage="true" showInputMessage="true" sqref="J6:J205" type="whole">
      <formula1>1</formula1>
      <formula2>0</formula2>
    </dataValidation>
    <dataValidation allowBlank="false" error="Enter the UID of another task. Problems are explained in the Link Check column." errorStyle="stop" operator="greaterThanOrEqual" prompt="The UID of a task that must come first, e.g. 12. It must be a detail task above this one." promptTitle="Predecessor 3" showDropDown="false" showErrorMessage="true" showInputMessage="true" sqref="M6:M205" type="whole">
      <formula1>1</formula1>
      <formula2>0</formula2>
    </dataValidation>
    <dataValidation allowBlank="false" error="Enter the UID of another task. Problems are explained in the Link Check column." errorStyle="stop" operator="greaterThanOrEqual" prompt="The UID of a task that must come first, e.g. 12. It must be a detail task above this one." promptTitle="Predecessor 4" showDropDown="false" showErrorMessage="true" showInputMessage="true" sqref="P6:P205" type="whole">
      <formula1>1</formula1>
      <formula2>0</formula2>
    </dataValidation>
    <dataValidation allowBlank="false" errorStyle="stop" operator="between" prompt="FS (finish-to-start, the default when blank), SS, FF or SF." promptTitle="Link type" showDropDown="false" showErrorMessage="false" showInputMessage="true" sqref="H6:H205" type="list">
      <formula1>L_DepType</formula1>
      <formula2>0</formula2>
    </dataValidation>
    <dataValidation allowBlank="false" errorStyle="stop" operator="between" prompt="FS (finish-to-start, the default when blank), SS, FF or SF." promptTitle="Link type" showDropDown="false" showErrorMessage="false" showInputMessage="true" sqref="K6:K205" type="list">
      <formula1>L_DepType</formula1>
      <formula2>0</formula2>
    </dataValidation>
    <dataValidation allowBlank="false" errorStyle="stop" operator="between" prompt="FS (finish-to-start, the default when blank), SS, FF or SF." promptTitle="Link type" showDropDown="false" showErrorMessage="false" showInputMessage="true" sqref="N6:N205" type="list">
      <formula1>L_DepType</formula1>
      <formula2>0</formula2>
    </dataValidation>
    <dataValidation allowBlank="false" errorStyle="stop" operator="between" prompt="FS (finish-to-start, the default when blank), SS, FF or SF." promptTitle="Link type" showDropDown="false" showErrorMessage="false" showInputMessage="true" sqref="Q6:Q205" type="list">
      <formula1>L_DepType</formula1>
      <formula2>0</formula2>
    </dataValidation>
    <dataValidation allowBlank="false" errorStyle="stop" operator="between" prompt="e.g. 2 = two days after; -1 = a day of overlap. Blank = 0." promptTitle="Lag (working days)" showDropDown="false" showErrorMessage="false" showInputMessage="true" sqref="I6:I205" type="whole">
      <formula1>-365</formula1>
      <formula2>365</formula2>
    </dataValidation>
    <dataValidation allowBlank="false" errorStyle="stop" operator="between" prompt="e.g. 2 = two days after; -1 = a day of overlap. Blank = 0." promptTitle="Lag (working days)" showDropDown="false" showErrorMessage="false" showInputMessage="true" sqref="L6:L205" type="whole">
      <formula1>-365</formula1>
      <formula2>365</formula2>
    </dataValidation>
    <dataValidation allowBlank="false" errorStyle="stop" operator="between" prompt="e.g. 2 = two days after; -1 = a day of overlap. Blank = 0." promptTitle="Lag (working days)" showDropDown="false" showErrorMessage="false" showInputMessage="true" sqref="O6:O205" type="whole">
      <formula1>-365</formula1>
      <formula2>365</formula2>
    </dataValidation>
    <dataValidation allowBlank="false" errorStyle="stop" operator="between" prompt="e.g. 2 = two days after; -1 = a day of overlap. Blank = 0." promptTitle="Lag (working days)" showDropDown="false" showErrorMessage="false" showInputMessage="true" sqref="R6:R205" type="whole">
      <formula1>-365</formula1>
      <formula2>365</formula2>
    </dataValidation>
    <dataValidation allowBlank="false" errorStyle="stop" operator="between" showDropDown="false" showErrorMessage="false" showInputMessage="false" sqref="AG6:AG205" type="list">
      <formula1>L_Constraint</formula1>
      <formula2>0</formula2>
    </dataValidation>
    <dataValidation allowBlank="false" errorStyle="stop" operator="greaterThan" prompt="Optional: the date it must be done by. Issues and the Gantt flag a forecast after it." promptTitle="Deadline" showDropDown="false" showErrorMessage="false" showInputMessage="true" sqref="AE6:AE205" type="date">
      <formula1>1</formula1>
      <formula2>0</formula2>
    </dataValidation>
    <dataValidation allowBlank="false" errorStyle="stop" operator="greaterThan" prompt="The day work really started. Leave blank until it starts." promptTitle="Actual Start" showDropDown="false" showErrorMessage="false" showInputMessage="true" sqref="V6:V205" type="date">
      <formula1>1</formula1>
      <formula2>0</formula2>
    </dataValidation>
    <dataValidation allowBlank="false" errorStyle="stop" operator="greaterThan" prompt="The day it really finished: the task counts as 100% complete." promptTitle="Actual Finish" showDropDown="false" showErrorMessage="false" showInputMessage="true" sqref="W6:W205" type="date">
      <formula1>1</formula1>
      <formula2>0</formula2>
    </dataValidation>
    <dataValidation allowBlank="false" error="Enter 0% - 100%." errorStyle="stop" operator="between" prompt="0% - 100%. An Actual Finish counts as 100%." promptTitle="% Complete" showDropDown="false" showErrorMessage="true" showInputMessage="true" sqref="U6:U205" type="decimal">
      <formula1>0</formula1>
      <formula2>1</formula2>
    </dataValidation>
    <dataValidation allowBlank="false" errorStyle="stop" operator="between" prompt="Who does it (from the Resources sheet). More people: add rows on the Assignments sheet." promptTitle="Resource" showDropDown="false" showErrorMessage="false" showInputMessage="true" sqref="S6:S205" type="list">
      <formula1>res_Name</formula1>
      <formula2>0</formula2>
    </dataValidation>
    <dataValidation allowBlank="false" errorStyle="stop" operator="between" prompt="Share of the person's time, e.g. 50%. Blank = Settings &gt; DefaultUnits." promptTitle="Units" showDropDown="false" showErrorMessage="false" showInputMessage="true" sqref="T6:T205" type="decimal">
      <formula1>0</formula1>
      <formula2>10</formula2>
    </dataValidation>
    <dataValidation allowBlank="false" errorStyle="stop" operator="greaterThanOrEqual" showDropDown="false" showErrorMessage="false" showInputMessage="false" sqref="AY6:AY205 BB6:BB205" type="decimal">
      <formula1>0</formula1>
      <formula2>0</formula2>
    </dataValidation>
    <dataValidation allowBlank="false" errorStyle="stop" operator="between" showDropDown="false" showErrorMessage="false" showInputMessage="false" sqref="BA6:BA205" type="list">
      <formula1>spr_Name</formula1>
      <formula2>0</formula2>
    </dataValidation>
    <dataValidation allowBlank="true" errorStyle="stop" operator="between" prompt="What the task is, e.g. Build login page. Leave the row blank to end the plan." promptTitle="Task name" showDropDown="false" showErrorMessage="false" showInputMessage="true" sqref="E6:E205" type="none">
      <formula1>0</formula1>
      <formula2>0</formula2>
    </dataValidation>
    <dataValidation allowBlank="true" errorStyle="stop" operator="between" prompt="Anything worth knowing: assumptions, links, who to ask." promptTitle="Notes" showDropDown="false" showErrorMessage="false" showInputMessage="true" sqref="X6:X205"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Q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3" ySplit="5" topLeftCell="X6" activePane="bottomRight" state="frozen"/>
      <selection pane="topLeft" activeCell="A1" activeCellId="0" sqref="A1"/>
      <selection pane="topRight" activeCell="X1" activeCellId="0" sqref="X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false" outlineLevel="0" max="12" min="12" style="0" width="6"/>
    <col collapsed="false" customWidth="true" hidden="true" outlineLevel="1" max="22" min="13" style="0" width="5"/>
    <col collapsed="false" customWidth="true" hidden="false" outlineLevel="0" max="23" min="23" style="0" width="1"/>
    <col collapsed="false" customWidth="true" hidden="false" outlineLevel="0" max="173" min="24" style="0" width="2.9"/>
  </cols>
  <sheetData>
    <row r="1" customFormat="false" ht="19.7" hidden="false" customHeight="false" outlineLevel="0" collapsed="false">
      <c r="A1" s="32" t="str">
        <f aca="false">ProjectName&amp;"  -  Gantt Chart"</f>
        <v>New Project  -  Gantt Chart</v>
      </c>
      <c r="X1" s="116"/>
      <c r="Y1" s="117" t="s">
        <v>166</v>
      </c>
      <c r="AJ1" s="44"/>
      <c r="AK1" s="117" t="s">
        <v>593</v>
      </c>
      <c r="AV1" s="118"/>
      <c r="AW1" s="117" t="s">
        <v>594</v>
      </c>
      <c r="BH1" s="45"/>
      <c r="BI1" s="117" t="s">
        <v>595</v>
      </c>
      <c r="BT1" s="119"/>
      <c r="BU1" s="117" t="s">
        <v>596</v>
      </c>
    </row>
    <row r="2" customFormat="false" ht="15" hidden="false" customHeight="false" outlineLevel="0" collapsed="false">
      <c r="A2" s="33" t="str">
        <f aca="false">"Status date: "&amp;TEXT(StatusDate,"ddd dd-mmm-yyyy")&amp;"   |   Forecast finish: "&amp;TEXT(MAX(tsk_FcFinish),"dd-mmm-yyyy")&amp;"   |   Planned finish: "&amp;TEXT(MAX(tsk_PlanFinish),"dd-mmm-yyyy")&amp;IF(COUNTA(tsk_Name)&gt;ROWS(GanttView[ID]),"   |   Showing the first "&amp;ROWS(GanttView[ID])&amp;" tasks","")</f>
        <v>Status date: Sun 31-Dec-1899   |   Forecast finish: 30-Dec-1899   |   Planned finish: 30-Dec-1899</v>
      </c>
      <c r="X2" s="120"/>
      <c r="Y2" s="117" t="s">
        <v>597</v>
      </c>
      <c r="AJ2" s="47"/>
      <c r="AK2" s="117" t="s">
        <v>598</v>
      </c>
      <c r="AV2" s="48"/>
      <c r="AW2" s="117" t="s">
        <v>161</v>
      </c>
      <c r="BH2" s="121"/>
      <c r="BI2" s="117" t="s">
        <v>7</v>
      </c>
      <c r="BT2" s="122"/>
      <c r="BU2" s="117" t="s">
        <v>599</v>
      </c>
    </row>
    <row r="3" customFormat="false" ht="15" hidden="false" customHeight="false" outlineLevel="0" collapsed="false">
      <c r="A3" s="2" t="s">
        <v>600</v>
      </c>
      <c r="X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Y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Z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A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B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C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D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E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F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G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H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I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J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K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L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M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N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O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P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Q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R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S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T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U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V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W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X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Y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Z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A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B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C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D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E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F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G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H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I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J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K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L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M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N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O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P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Q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R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S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T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U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V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W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X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Y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Z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A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B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C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D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E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F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G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H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I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J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K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L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M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N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O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P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Q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R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S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T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U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V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W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X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Y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Z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A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B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C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D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E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F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G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H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I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J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K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L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M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N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O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P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Q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R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S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T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U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V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W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X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Y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Z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A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B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C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D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E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F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G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H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I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J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K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L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M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N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O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P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Q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R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S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T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U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V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W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X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Y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Z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A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B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C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D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E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F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G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H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I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J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K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L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M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N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O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P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Q3" s="123"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X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99</v>
      </c>
      <c r="Y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Z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A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B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C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D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E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00</v>
      </c>
      <c r="AF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G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H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I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J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K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L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M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N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O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P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Q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R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S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T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U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V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W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X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Y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Z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A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B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C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D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E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F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G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H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I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J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00</v>
      </c>
      <c r="BK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L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M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N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O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P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Q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R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S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T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U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V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W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X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Y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Z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A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B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C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D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E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F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G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H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I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J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K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L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00</v>
      </c>
      <c r="CM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N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O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P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Q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R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S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T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U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V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W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X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Y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Z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A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B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C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D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E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F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G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H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I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J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K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L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M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N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O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P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Q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Apr 00</v>
      </c>
      <c r="DR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S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T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U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V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W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X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Y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Z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A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B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C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D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E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F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G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H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I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J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K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L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M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N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O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P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Q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R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S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T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U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May 00</v>
      </c>
      <c r="EV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W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X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Y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Z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A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B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C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D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E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F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G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H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I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J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K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L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M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N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O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P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Q4" s="124"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30" hidden="false" customHeight="true" outlineLevel="0" collapsed="false">
      <c r="A5" s="15" t="s">
        <v>466</v>
      </c>
      <c r="B5" s="15" t="s">
        <v>152</v>
      </c>
      <c r="C5" s="15" t="s">
        <v>227</v>
      </c>
      <c r="D5" s="15" t="s">
        <v>601</v>
      </c>
      <c r="E5" s="15" t="s">
        <v>154</v>
      </c>
      <c r="F5" s="15" t="s">
        <v>155</v>
      </c>
      <c r="G5" s="15" t="s">
        <v>257</v>
      </c>
      <c r="H5" s="15" t="s">
        <v>247</v>
      </c>
      <c r="I5" s="15" t="s">
        <v>602</v>
      </c>
      <c r="J5" s="15" t="s">
        <v>255</v>
      </c>
      <c r="K5" s="15" t="s">
        <v>28</v>
      </c>
      <c r="L5" s="15" t="s">
        <v>487</v>
      </c>
      <c r="M5" s="37" t="s">
        <v>512</v>
      </c>
      <c r="N5" s="37" t="s">
        <v>515</v>
      </c>
      <c r="O5" s="37" t="s">
        <v>603</v>
      </c>
      <c r="P5" s="37" t="s">
        <v>604</v>
      </c>
      <c r="Q5" s="37" t="s">
        <v>605</v>
      </c>
      <c r="R5" s="37" t="s">
        <v>606</v>
      </c>
      <c r="S5" s="37" t="s">
        <v>607</v>
      </c>
      <c r="T5" s="37" t="s">
        <v>608</v>
      </c>
      <c r="U5" s="37" t="s">
        <v>609</v>
      </c>
      <c r="V5" s="37" t="s">
        <v>610</v>
      </c>
      <c r="X5" s="125" t="n">
        <f aca="false">IF(GanttPeriod&lt;28,GanttStart+((COLUMN()-COLUMN(gantt_Origin))-1)*GanttPeriod,EDATE(DATE(YEAR(GanttStart),MONTH(GanttStart)-IF(GanttPeriod&gt;=90,MOD(MONTH(GanttStart)-1,3),0),1),((COLUMN()-COLUMN(gantt_Origin))-1)*IF(GanttPeriod&gt;=90,3,1)))</f>
        <v>-5</v>
      </c>
      <c r="Y5" s="125" t="n">
        <f aca="false">IF(GanttPeriod&lt;28,GanttStart+((COLUMN()-COLUMN(gantt_Origin))-1)*GanttPeriod,EDATE(DATE(YEAR(GanttStart),MONTH(GanttStart)-IF(GanttPeriod&gt;=90,MOD(MONTH(GanttStart)-1,3),0),1),((COLUMN()-COLUMN(gantt_Origin))-1)*IF(GanttPeriod&gt;=90,3,1)))</f>
        <v>-4</v>
      </c>
      <c r="Z5" s="125" t="n">
        <f aca="false">IF(GanttPeriod&lt;28,GanttStart+((COLUMN()-COLUMN(gantt_Origin))-1)*GanttPeriod,EDATE(DATE(YEAR(GanttStart),MONTH(GanttStart)-IF(GanttPeriod&gt;=90,MOD(MONTH(GanttStart)-1,3),0),1),((COLUMN()-COLUMN(gantt_Origin))-1)*IF(GanttPeriod&gt;=90,3,1)))</f>
        <v>-3</v>
      </c>
      <c r="AA5" s="125" t="n">
        <f aca="false">IF(GanttPeriod&lt;28,GanttStart+((COLUMN()-COLUMN(gantt_Origin))-1)*GanttPeriod,EDATE(DATE(YEAR(GanttStart),MONTH(GanttStart)-IF(GanttPeriod&gt;=90,MOD(MONTH(GanttStart)-1,3),0),1),((COLUMN()-COLUMN(gantt_Origin))-1)*IF(GanttPeriod&gt;=90,3,1)))</f>
        <v>-2</v>
      </c>
      <c r="AB5" s="125" t="n">
        <f aca="false">IF(GanttPeriod&lt;28,GanttStart+((COLUMN()-COLUMN(gantt_Origin))-1)*GanttPeriod,EDATE(DATE(YEAR(GanttStart),MONTH(GanttStart)-IF(GanttPeriod&gt;=90,MOD(MONTH(GanttStart)-1,3),0),1),((COLUMN()-COLUMN(gantt_Origin))-1)*IF(GanttPeriod&gt;=90,3,1)))</f>
        <v>-1</v>
      </c>
      <c r="AC5" s="125" t="n">
        <f aca="false">IF(GanttPeriod&lt;28,GanttStart+((COLUMN()-COLUMN(gantt_Origin))-1)*GanttPeriod,EDATE(DATE(YEAR(GanttStart),MONTH(GanttStart)-IF(GanttPeriod&gt;=90,MOD(MONTH(GanttStart)-1,3),0),1),((COLUMN()-COLUMN(gantt_Origin))-1)*IF(GanttPeriod&gt;=90,3,1)))</f>
        <v>0</v>
      </c>
      <c r="AD5" s="125" t="n">
        <f aca="false">IF(GanttPeriod&lt;28,GanttStart+((COLUMN()-COLUMN(gantt_Origin))-1)*GanttPeriod,EDATE(DATE(YEAR(GanttStart),MONTH(GanttStart)-IF(GanttPeriod&gt;=90,MOD(MONTH(GanttStart)-1,3),0),1),((COLUMN()-COLUMN(gantt_Origin))-1)*IF(GanttPeriod&gt;=90,3,1)))</f>
        <v>1</v>
      </c>
      <c r="AE5" s="125" t="n">
        <f aca="false">IF(GanttPeriod&lt;28,GanttStart+((COLUMN()-COLUMN(gantt_Origin))-1)*GanttPeriod,EDATE(DATE(YEAR(GanttStart),MONTH(GanttStart)-IF(GanttPeriod&gt;=90,MOD(MONTH(GanttStart)-1,3),0),1),((COLUMN()-COLUMN(gantt_Origin))-1)*IF(GanttPeriod&gt;=90,3,1)))</f>
        <v>2</v>
      </c>
      <c r="AF5" s="125" t="n">
        <f aca="false">IF(GanttPeriod&lt;28,GanttStart+((COLUMN()-COLUMN(gantt_Origin))-1)*GanttPeriod,EDATE(DATE(YEAR(GanttStart),MONTH(GanttStart)-IF(GanttPeriod&gt;=90,MOD(MONTH(GanttStart)-1,3),0),1),((COLUMN()-COLUMN(gantt_Origin))-1)*IF(GanttPeriod&gt;=90,3,1)))</f>
        <v>3</v>
      </c>
      <c r="AG5" s="125" t="n">
        <f aca="false">IF(GanttPeriod&lt;28,GanttStart+((COLUMN()-COLUMN(gantt_Origin))-1)*GanttPeriod,EDATE(DATE(YEAR(GanttStart),MONTH(GanttStart)-IF(GanttPeriod&gt;=90,MOD(MONTH(GanttStart)-1,3),0),1),((COLUMN()-COLUMN(gantt_Origin))-1)*IF(GanttPeriod&gt;=90,3,1)))</f>
        <v>4</v>
      </c>
      <c r="AH5" s="125" t="n">
        <f aca="false">IF(GanttPeriod&lt;28,GanttStart+((COLUMN()-COLUMN(gantt_Origin))-1)*GanttPeriod,EDATE(DATE(YEAR(GanttStart),MONTH(GanttStart)-IF(GanttPeriod&gt;=90,MOD(MONTH(GanttStart)-1,3),0),1),((COLUMN()-COLUMN(gantt_Origin))-1)*IF(GanttPeriod&gt;=90,3,1)))</f>
        <v>5</v>
      </c>
      <c r="AI5" s="125" t="n">
        <f aca="false">IF(GanttPeriod&lt;28,GanttStart+((COLUMN()-COLUMN(gantt_Origin))-1)*GanttPeriod,EDATE(DATE(YEAR(GanttStart),MONTH(GanttStart)-IF(GanttPeriod&gt;=90,MOD(MONTH(GanttStart)-1,3),0),1),((COLUMN()-COLUMN(gantt_Origin))-1)*IF(GanttPeriod&gt;=90,3,1)))</f>
        <v>6</v>
      </c>
      <c r="AJ5" s="125" t="n">
        <f aca="false">IF(GanttPeriod&lt;28,GanttStart+((COLUMN()-COLUMN(gantt_Origin))-1)*GanttPeriod,EDATE(DATE(YEAR(GanttStart),MONTH(GanttStart)-IF(GanttPeriod&gt;=90,MOD(MONTH(GanttStart)-1,3),0),1),((COLUMN()-COLUMN(gantt_Origin))-1)*IF(GanttPeriod&gt;=90,3,1)))</f>
        <v>7</v>
      </c>
      <c r="AK5" s="125" t="n">
        <f aca="false">IF(GanttPeriod&lt;28,GanttStart+((COLUMN()-COLUMN(gantt_Origin))-1)*GanttPeriod,EDATE(DATE(YEAR(GanttStart),MONTH(GanttStart)-IF(GanttPeriod&gt;=90,MOD(MONTH(GanttStart)-1,3),0),1),((COLUMN()-COLUMN(gantt_Origin))-1)*IF(GanttPeriod&gt;=90,3,1)))</f>
        <v>8</v>
      </c>
      <c r="AL5" s="125" t="n">
        <f aca="false">IF(GanttPeriod&lt;28,GanttStart+((COLUMN()-COLUMN(gantt_Origin))-1)*GanttPeriod,EDATE(DATE(YEAR(GanttStart),MONTH(GanttStart)-IF(GanttPeriod&gt;=90,MOD(MONTH(GanttStart)-1,3),0),1),((COLUMN()-COLUMN(gantt_Origin))-1)*IF(GanttPeriod&gt;=90,3,1)))</f>
        <v>9</v>
      </c>
      <c r="AM5" s="125" t="n">
        <f aca="false">IF(GanttPeriod&lt;28,GanttStart+((COLUMN()-COLUMN(gantt_Origin))-1)*GanttPeriod,EDATE(DATE(YEAR(GanttStart),MONTH(GanttStart)-IF(GanttPeriod&gt;=90,MOD(MONTH(GanttStart)-1,3),0),1),((COLUMN()-COLUMN(gantt_Origin))-1)*IF(GanttPeriod&gt;=90,3,1)))</f>
        <v>10</v>
      </c>
      <c r="AN5" s="125" t="n">
        <f aca="false">IF(GanttPeriod&lt;28,GanttStart+((COLUMN()-COLUMN(gantt_Origin))-1)*GanttPeriod,EDATE(DATE(YEAR(GanttStart),MONTH(GanttStart)-IF(GanttPeriod&gt;=90,MOD(MONTH(GanttStart)-1,3),0),1),((COLUMN()-COLUMN(gantt_Origin))-1)*IF(GanttPeriod&gt;=90,3,1)))</f>
        <v>11</v>
      </c>
      <c r="AO5" s="125" t="n">
        <f aca="false">IF(GanttPeriod&lt;28,GanttStart+((COLUMN()-COLUMN(gantt_Origin))-1)*GanttPeriod,EDATE(DATE(YEAR(GanttStart),MONTH(GanttStart)-IF(GanttPeriod&gt;=90,MOD(MONTH(GanttStart)-1,3),0),1),((COLUMN()-COLUMN(gantt_Origin))-1)*IF(GanttPeriod&gt;=90,3,1)))</f>
        <v>12</v>
      </c>
      <c r="AP5" s="125" t="n">
        <f aca="false">IF(GanttPeriod&lt;28,GanttStart+((COLUMN()-COLUMN(gantt_Origin))-1)*GanttPeriod,EDATE(DATE(YEAR(GanttStart),MONTH(GanttStart)-IF(GanttPeriod&gt;=90,MOD(MONTH(GanttStart)-1,3),0),1),((COLUMN()-COLUMN(gantt_Origin))-1)*IF(GanttPeriod&gt;=90,3,1)))</f>
        <v>13</v>
      </c>
      <c r="AQ5" s="125" t="n">
        <f aca="false">IF(GanttPeriod&lt;28,GanttStart+((COLUMN()-COLUMN(gantt_Origin))-1)*GanttPeriod,EDATE(DATE(YEAR(GanttStart),MONTH(GanttStart)-IF(GanttPeriod&gt;=90,MOD(MONTH(GanttStart)-1,3),0),1),((COLUMN()-COLUMN(gantt_Origin))-1)*IF(GanttPeriod&gt;=90,3,1)))</f>
        <v>14</v>
      </c>
      <c r="AR5" s="125" t="n">
        <f aca="false">IF(GanttPeriod&lt;28,GanttStart+((COLUMN()-COLUMN(gantt_Origin))-1)*GanttPeriod,EDATE(DATE(YEAR(GanttStart),MONTH(GanttStart)-IF(GanttPeriod&gt;=90,MOD(MONTH(GanttStart)-1,3),0),1),((COLUMN()-COLUMN(gantt_Origin))-1)*IF(GanttPeriod&gt;=90,3,1)))</f>
        <v>15</v>
      </c>
      <c r="AS5" s="125" t="n">
        <f aca="false">IF(GanttPeriod&lt;28,GanttStart+((COLUMN()-COLUMN(gantt_Origin))-1)*GanttPeriod,EDATE(DATE(YEAR(GanttStart),MONTH(GanttStart)-IF(GanttPeriod&gt;=90,MOD(MONTH(GanttStart)-1,3),0),1),((COLUMN()-COLUMN(gantt_Origin))-1)*IF(GanttPeriod&gt;=90,3,1)))</f>
        <v>16</v>
      </c>
      <c r="AT5" s="125" t="n">
        <f aca="false">IF(GanttPeriod&lt;28,GanttStart+((COLUMN()-COLUMN(gantt_Origin))-1)*GanttPeriod,EDATE(DATE(YEAR(GanttStart),MONTH(GanttStart)-IF(GanttPeriod&gt;=90,MOD(MONTH(GanttStart)-1,3),0),1),((COLUMN()-COLUMN(gantt_Origin))-1)*IF(GanttPeriod&gt;=90,3,1)))</f>
        <v>17</v>
      </c>
      <c r="AU5" s="125" t="n">
        <f aca="false">IF(GanttPeriod&lt;28,GanttStart+((COLUMN()-COLUMN(gantt_Origin))-1)*GanttPeriod,EDATE(DATE(YEAR(GanttStart),MONTH(GanttStart)-IF(GanttPeriod&gt;=90,MOD(MONTH(GanttStart)-1,3),0),1),((COLUMN()-COLUMN(gantt_Origin))-1)*IF(GanttPeriod&gt;=90,3,1)))</f>
        <v>18</v>
      </c>
      <c r="AV5" s="125" t="n">
        <f aca="false">IF(GanttPeriod&lt;28,GanttStart+((COLUMN()-COLUMN(gantt_Origin))-1)*GanttPeriod,EDATE(DATE(YEAR(GanttStart),MONTH(GanttStart)-IF(GanttPeriod&gt;=90,MOD(MONTH(GanttStart)-1,3),0),1),((COLUMN()-COLUMN(gantt_Origin))-1)*IF(GanttPeriod&gt;=90,3,1)))</f>
        <v>19</v>
      </c>
      <c r="AW5" s="125" t="n">
        <f aca="false">IF(GanttPeriod&lt;28,GanttStart+((COLUMN()-COLUMN(gantt_Origin))-1)*GanttPeriod,EDATE(DATE(YEAR(GanttStart),MONTH(GanttStart)-IF(GanttPeriod&gt;=90,MOD(MONTH(GanttStart)-1,3),0),1),((COLUMN()-COLUMN(gantt_Origin))-1)*IF(GanttPeriod&gt;=90,3,1)))</f>
        <v>20</v>
      </c>
      <c r="AX5" s="125" t="n">
        <f aca="false">IF(GanttPeriod&lt;28,GanttStart+((COLUMN()-COLUMN(gantt_Origin))-1)*GanttPeriod,EDATE(DATE(YEAR(GanttStart),MONTH(GanttStart)-IF(GanttPeriod&gt;=90,MOD(MONTH(GanttStart)-1,3),0),1),((COLUMN()-COLUMN(gantt_Origin))-1)*IF(GanttPeriod&gt;=90,3,1)))</f>
        <v>21</v>
      </c>
      <c r="AY5" s="125" t="n">
        <f aca="false">IF(GanttPeriod&lt;28,GanttStart+((COLUMN()-COLUMN(gantt_Origin))-1)*GanttPeriod,EDATE(DATE(YEAR(GanttStart),MONTH(GanttStart)-IF(GanttPeriod&gt;=90,MOD(MONTH(GanttStart)-1,3),0),1),((COLUMN()-COLUMN(gantt_Origin))-1)*IF(GanttPeriod&gt;=90,3,1)))</f>
        <v>22</v>
      </c>
      <c r="AZ5" s="125" t="n">
        <f aca="false">IF(GanttPeriod&lt;28,GanttStart+((COLUMN()-COLUMN(gantt_Origin))-1)*GanttPeriod,EDATE(DATE(YEAR(GanttStart),MONTH(GanttStart)-IF(GanttPeriod&gt;=90,MOD(MONTH(GanttStart)-1,3),0),1),((COLUMN()-COLUMN(gantt_Origin))-1)*IF(GanttPeriod&gt;=90,3,1)))</f>
        <v>23</v>
      </c>
      <c r="BA5" s="125" t="n">
        <f aca="false">IF(GanttPeriod&lt;28,GanttStart+((COLUMN()-COLUMN(gantt_Origin))-1)*GanttPeriod,EDATE(DATE(YEAR(GanttStart),MONTH(GanttStart)-IF(GanttPeriod&gt;=90,MOD(MONTH(GanttStart)-1,3),0),1),((COLUMN()-COLUMN(gantt_Origin))-1)*IF(GanttPeriod&gt;=90,3,1)))</f>
        <v>24</v>
      </c>
      <c r="BB5" s="125" t="n">
        <f aca="false">IF(GanttPeriod&lt;28,GanttStart+((COLUMN()-COLUMN(gantt_Origin))-1)*GanttPeriod,EDATE(DATE(YEAR(GanttStart),MONTH(GanttStart)-IF(GanttPeriod&gt;=90,MOD(MONTH(GanttStart)-1,3),0),1),((COLUMN()-COLUMN(gantt_Origin))-1)*IF(GanttPeriod&gt;=90,3,1)))</f>
        <v>25</v>
      </c>
      <c r="BC5" s="125" t="n">
        <f aca="false">IF(GanttPeriod&lt;28,GanttStart+((COLUMN()-COLUMN(gantt_Origin))-1)*GanttPeriod,EDATE(DATE(YEAR(GanttStart),MONTH(GanttStart)-IF(GanttPeriod&gt;=90,MOD(MONTH(GanttStart)-1,3),0),1),((COLUMN()-COLUMN(gantt_Origin))-1)*IF(GanttPeriod&gt;=90,3,1)))</f>
        <v>26</v>
      </c>
      <c r="BD5" s="125" t="n">
        <f aca="false">IF(GanttPeriod&lt;28,GanttStart+((COLUMN()-COLUMN(gantt_Origin))-1)*GanttPeriod,EDATE(DATE(YEAR(GanttStart),MONTH(GanttStart)-IF(GanttPeriod&gt;=90,MOD(MONTH(GanttStart)-1,3),0),1),((COLUMN()-COLUMN(gantt_Origin))-1)*IF(GanttPeriod&gt;=90,3,1)))</f>
        <v>27</v>
      </c>
      <c r="BE5" s="125" t="n">
        <f aca="false">IF(GanttPeriod&lt;28,GanttStart+((COLUMN()-COLUMN(gantt_Origin))-1)*GanttPeriod,EDATE(DATE(YEAR(GanttStart),MONTH(GanttStart)-IF(GanttPeriod&gt;=90,MOD(MONTH(GanttStart)-1,3),0),1),((COLUMN()-COLUMN(gantt_Origin))-1)*IF(GanttPeriod&gt;=90,3,1)))</f>
        <v>28</v>
      </c>
      <c r="BF5" s="125" t="n">
        <f aca="false">IF(GanttPeriod&lt;28,GanttStart+((COLUMN()-COLUMN(gantt_Origin))-1)*GanttPeriod,EDATE(DATE(YEAR(GanttStart),MONTH(GanttStart)-IF(GanttPeriod&gt;=90,MOD(MONTH(GanttStart)-1,3),0),1),((COLUMN()-COLUMN(gantt_Origin))-1)*IF(GanttPeriod&gt;=90,3,1)))</f>
        <v>29</v>
      </c>
      <c r="BG5" s="125" t="n">
        <f aca="false">IF(GanttPeriod&lt;28,GanttStart+((COLUMN()-COLUMN(gantt_Origin))-1)*GanttPeriod,EDATE(DATE(YEAR(GanttStart),MONTH(GanttStart)-IF(GanttPeriod&gt;=90,MOD(MONTH(GanttStart)-1,3),0),1),((COLUMN()-COLUMN(gantt_Origin))-1)*IF(GanttPeriod&gt;=90,3,1)))</f>
        <v>30</v>
      </c>
      <c r="BH5" s="125" t="n">
        <f aca="false">IF(GanttPeriod&lt;28,GanttStart+((COLUMN()-COLUMN(gantt_Origin))-1)*GanttPeriod,EDATE(DATE(YEAR(GanttStart),MONTH(GanttStart)-IF(GanttPeriod&gt;=90,MOD(MONTH(GanttStart)-1,3),0),1),((COLUMN()-COLUMN(gantt_Origin))-1)*IF(GanttPeriod&gt;=90,3,1)))</f>
        <v>31</v>
      </c>
      <c r="BI5" s="125" t="n">
        <f aca="false">IF(GanttPeriod&lt;28,GanttStart+((COLUMN()-COLUMN(gantt_Origin))-1)*GanttPeriod,EDATE(DATE(YEAR(GanttStart),MONTH(GanttStart)-IF(GanttPeriod&gt;=90,MOD(MONTH(GanttStart)-1,3),0),1),((COLUMN()-COLUMN(gantt_Origin))-1)*IF(GanttPeriod&gt;=90,3,1)))</f>
        <v>32</v>
      </c>
      <c r="BJ5" s="125" t="n">
        <f aca="false">IF(GanttPeriod&lt;28,GanttStart+((COLUMN()-COLUMN(gantt_Origin))-1)*GanttPeriod,EDATE(DATE(YEAR(GanttStart),MONTH(GanttStart)-IF(GanttPeriod&gt;=90,MOD(MONTH(GanttStart)-1,3),0),1),((COLUMN()-COLUMN(gantt_Origin))-1)*IF(GanttPeriod&gt;=90,3,1)))</f>
        <v>33</v>
      </c>
      <c r="BK5" s="125" t="n">
        <f aca="false">IF(GanttPeriod&lt;28,GanttStart+((COLUMN()-COLUMN(gantt_Origin))-1)*GanttPeriod,EDATE(DATE(YEAR(GanttStart),MONTH(GanttStart)-IF(GanttPeriod&gt;=90,MOD(MONTH(GanttStart)-1,3),0),1),((COLUMN()-COLUMN(gantt_Origin))-1)*IF(GanttPeriod&gt;=90,3,1)))</f>
        <v>34</v>
      </c>
      <c r="BL5" s="125" t="n">
        <f aca="false">IF(GanttPeriod&lt;28,GanttStart+((COLUMN()-COLUMN(gantt_Origin))-1)*GanttPeriod,EDATE(DATE(YEAR(GanttStart),MONTH(GanttStart)-IF(GanttPeriod&gt;=90,MOD(MONTH(GanttStart)-1,3),0),1),((COLUMN()-COLUMN(gantt_Origin))-1)*IF(GanttPeriod&gt;=90,3,1)))</f>
        <v>35</v>
      </c>
      <c r="BM5" s="125" t="n">
        <f aca="false">IF(GanttPeriod&lt;28,GanttStart+((COLUMN()-COLUMN(gantt_Origin))-1)*GanttPeriod,EDATE(DATE(YEAR(GanttStart),MONTH(GanttStart)-IF(GanttPeriod&gt;=90,MOD(MONTH(GanttStart)-1,3),0),1),((COLUMN()-COLUMN(gantt_Origin))-1)*IF(GanttPeriod&gt;=90,3,1)))</f>
        <v>36</v>
      </c>
      <c r="BN5" s="125" t="n">
        <f aca="false">IF(GanttPeriod&lt;28,GanttStart+((COLUMN()-COLUMN(gantt_Origin))-1)*GanttPeriod,EDATE(DATE(YEAR(GanttStart),MONTH(GanttStart)-IF(GanttPeriod&gt;=90,MOD(MONTH(GanttStart)-1,3),0),1),((COLUMN()-COLUMN(gantt_Origin))-1)*IF(GanttPeriod&gt;=90,3,1)))</f>
        <v>37</v>
      </c>
      <c r="BO5" s="125" t="n">
        <f aca="false">IF(GanttPeriod&lt;28,GanttStart+((COLUMN()-COLUMN(gantt_Origin))-1)*GanttPeriod,EDATE(DATE(YEAR(GanttStart),MONTH(GanttStart)-IF(GanttPeriod&gt;=90,MOD(MONTH(GanttStart)-1,3),0),1),((COLUMN()-COLUMN(gantt_Origin))-1)*IF(GanttPeriod&gt;=90,3,1)))</f>
        <v>38</v>
      </c>
      <c r="BP5" s="125" t="n">
        <f aca="false">IF(GanttPeriod&lt;28,GanttStart+((COLUMN()-COLUMN(gantt_Origin))-1)*GanttPeriod,EDATE(DATE(YEAR(GanttStart),MONTH(GanttStart)-IF(GanttPeriod&gt;=90,MOD(MONTH(GanttStart)-1,3),0),1),((COLUMN()-COLUMN(gantt_Origin))-1)*IF(GanttPeriod&gt;=90,3,1)))</f>
        <v>39</v>
      </c>
      <c r="BQ5" s="125" t="n">
        <f aca="false">IF(GanttPeriod&lt;28,GanttStart+((COLUMN()-COLUMN(gantt_Origin))-1)*GanttPeriod,EDATE(DATE(YEAR(GanttStart),MONTH(GanttStart)-IF(GanttPeriod&gt;=90,MOD(MONTH(GanttStart)-1,3),0),1),((COLUMN()-COLUMN(gantt_Origin))-1)*IF(GanttPeriod&gt;=90,3,1)))</f>
        <v>40</v>
      </c>
      <c r="BR5" s="125" t="n">
        <f aca="false">IF(GanttPeriod&lt;28,GanttStart+((COLUMN()-COLUMN(gantt_Origin))-1)*GanttPeriod,EDATE(DATE(YEAR(GanttStart),MONTH(GanttStart)-IF(GanttPeriod&gt;=90,MOD(MONTH(GanttStart)-1,3),0),1),((COLUMN()-COLUMN(gantt_Origin))-1)*IF(GanttPeriod&gt;=90,3,1)))</f>
        <v>41</v>
      </c>
      <c r="BS5" s="125" t="n">
        <f aca="false">IF(GanttPeriod&lt;28,GanttStart+((COLUMN()-COLUMN(gantt_Origin))-1)*GanttPeriod,EDATE(DATE(YEAR(GanttStart),MONTH(GanttStart)-IF(GanttPeriod&gt;=90,MOD(MONTH(GanttStart)-1,3),0),1),((COLUMN()-COLUMN(gantt_Origin))-1)*IF(GanttPeriod&gt;=90,3,1)))</f>
        <v>42</v>
      </c>
      <c r="BT5" s="125" t="n">
        <f aca="false">IF(GanttPeriod&lt;28,GanttStart+((COLUMN()-COLUMN(gantt_Origin))-1)*GanttPeriod,EDATE(DATE(YEAR(GanttStart),MONTH(GanttStart)-IF(GanttPeriod&gt;=90,MOD(MONTH(GanttStart)-1,3),0),1),((COLUMN()-COLUMN(gantt_Origin))-1)*IF(GanttPeriod&gt;=90,3,1)))</f>
        <v>43</v>
      </c>
      <c r="BU5" s="125" t="n">
        <f aca="false">IF(GanttPeriod&lt;28,GanttStart+((COLUMN()-COLUMN(gantt_Origin))-1)*GanttPeriod,EDATE(DATE(YEAR(GanttStart),MONTH(GanttStart)-IF(GanttPeriod&gt;=90,MOD(MONTH(GanttStart)-1,3),0),1),((COLUMN()-COLUMN(gantt_Origin))-1)*IF(GanttPeriod&gt;=90,3,1)))</f>
        <v>44</v>
      </c>
      <c r="BV5" s="125" t="n">
        <f aca="false">IF(GanttPeriod&lt;28,GanttStart+((COLUMN()-COLUMN(gantt_Origin))-1)*GanttPeriod,EDATE(DATE(YEAR(GanttStart),MONTH(GanttStart)-IF(GanttPeriod&gt;=90,MOD(MONTH(GanttStart)-1,3),0),1),((COLUMN()-COLUMN(gantt_Origin))-1)*IF(GanttPeriod&gt;=90,3,1)))</f>
        <v>45</v>
      </c>
      <c r="BW5" s="125" t="n">
        <f aca="false">IF(GanttPeriod&lt;28,GanttStart+((COLUMN()-COLUMN(gantt_Origin))-1)*GanttPeriod,EDATE(DATE(YEAR(GanttStart),MONTH(GanttStart)-IF(GanttPeriod&gt;=90,MOD(MONTH(GanttStart)-1,3),0),1),((COLUMN()-COLUMN(gantt_Origin))-1)*IF(GanttPeriod&gt;=90,3,1)))</f>
        <v>46</v>
      </c>
      <c r="BX5" s="125" t="n">
        <f aca="false">IF(GanttPeriod&lt;28,GanttStart+((COLUMN()-COLUMN(gantt_Origin))-1)*GanttPeriod,EDATE(DATE(YEAR(GanttStart),MONTH(GanttStart)-IF(GanttPeriod&gt;=90,MOD(MONTH(GanttStart)-1,3),0),1),((COLUMN()-COLUMN(gantt_Origin))-1)*IF(GanttPeriod&gt;=90,3,1)))</f>
        <v>47</v>
      </c>
      <c r="BY5" s="125" t="n">
        <f aca="false">IF(GanttPeriod&lt;28,GanttStart+((COLUMN()-COLUMN(gantt_Origin))-1)*GanttPeriod,EDATE(DATE(YEAR(GanttStart),MONTH(GanttStart)-IF(GanttPeriod&gt;=90,MOD(MONTH(GanttStart)-1,3),0),1),((COLUMN()-COLUMN(gantt_Origin))-1)*IF(GanttPeriod&gt;=90,3,1)))</f>
        <v>48</v>
      </c>
      <c r="BZ5" s="125" t="n">
        <f aca="false">IF(GanttPeriod&lt;28,GanttStart+((COLUMN()-COLUMN(gantt_Origin))-1)*GanttPeriod,EDATE(DATE(YEAR(GanttStart),MONTH(GanttStart)-IF(GanttPeriod&gt;=90,MOD(MONTH(GanttStart)-1,3),0),1),((COLUMN()-COLUMN(gantt_Origin))-1)*IF(GanttPeriod&gt;=90,3,1)))</f>
        <v>49</v>
      </c>
      <c r="CA5" s="125" t="n">
        <f aca="false">IF(GanttPeriod&lt;28,GanttStart+((COLUMN()-COLUMN(gantt_Origin))-1)*GanttPeriod,EDATE(DATE(YEAR(GanttStart),MONTH(GanttStart)-IF(GanttPeriod&gt;=90,MOD(MONTH(GanttStart)-1,3),0),1),((COLUMN()-COLUMN(gantt_Origin))-1)*IF(GanttPeriod&gt;=90,3,1)))</f>
        <v>50</v>
      </c>
      <c r="CB5" s="125" t="n">
        <f aca="false">IF(GanttPeriod&lt;28,GanttStart+((COLUMN()-COLUMN(gantt_Origin))-1)*GanttPeriod,EDATE(DATE(YEAR(GanttStart),MONTH(GanttStart)-IF(GanttPeriod&gt;=90,MOD(MONTH(GanttStart)-1,3),0),1),((COLUMN()-COLUMN(gantt_Origin))-1)*IF(GanttPeriod&gt;=90,3,1)))</f>
        <v>51</v>
      </c>
      <c r="CC5" s="125" t="n">
        <f aca="false">IF(GanttPeriod&lt;28,GanttStart+((COLUMN()-COLUMN(gantt_Origin))-1)*GanttPeriod,EDATE(DATE(YEAR(GanttStart),MONTH(GanttStart)-IF(GanttPeriod&gt;=90,MOD(MONTH(GanttStart)-1,3),0),1),((COLUMN()-COLUMN(gantt_Origin))-1)*IF(GanttPeriod&gt;=90,3,1)))</f>
        <v>52</v>
      </c>
      <c r="CD5" s="125" t="n">
        <f aca="false">IF(GanttPeriod&lt;28,GanttStart+((COLUMN()-COLUMN(gantt_Origin))-1)*GanttPeriod,EDATE(DATE(YEAR(GanttStart),MONTH(GanttStart)-IF(GanttPeriod&gt;=90,MOD(MONTH(GanttStart)-1,3),0),1),((COLUMN()-COLUMN(gantt_Origin))-1)*IF(GanttPeriod&gt;=90,3,1)))</f>
        <v>53</v>
      </c>
      <c r="CE5" s="125" t="n">
        <f aca="false">IF(GanttPeriod&lt;28,GanttStart+((COLUMN()-COLUMN(gantt_Origin))-1)*GanttPeriod,EDATE(DATE(YEAR(GanttStart),MONTH(GanttStart)-IF(GanttPeriod&gt;=90,MOD(MONTH(GanttStart)-1,3),0),1),((COLUMN()-COLUMN(gantt_Origin))-1)*IF(GanttPeriod&gt;=90,3,1)))</f>
        <v>54</v>
      </c>
      <c r="CF5" s="125" t="n">
        <f aca="false">IF(GanttPeriod&lt;28,GanttStart+((COLUMN()-COLUMN(gantt_Origin))-1)*GanttPeriod,EDATE(DATE(YEAR(GanttStart),MONTH(GanttStart)-IF(GanttPeriod&gt;=90,MOD(MONTH(GanttStart)-1,3),0),1),((COLUMN()-COLUMN(gantt_Origin))-1)*IF(GanttPeriod&gt;=90,3,1)))</f>
        <v>55</v>
      </c>
      <c r="CG5" s="125" t="n">
        <f aca="false">IF(GanttPeriod&lt;28,GanttStart+((COLUMN()-COLUMN(gantt_Origin))-1)*GanttPeriod,EDATE(DATE(YEAR(GanttStart),MONTH(GanttStart)-IF(GanttPeriod&gt;=90,MOD(MONTH(GanttStart)-1,3),0),1),((COLUMN()-COLUMN(gantt_Origin))-1)*IF(GanttPeriod&gt;=90,3,1)))</f>
        <v>56</v>
      </c>
      <c r="CH5" s="125" t="n">
        <f aca="false">IF(GanttPeriod&lt;28,GanttStart+((COLUMN()-COLUMN(gantt_Origin))-1)*GanttPeriod,EDATE(DATE(YEAR(GanttStart),MONTH(GanttStart)-IF(GanttPeriod&gt;=90,MOD(MONTH(GanttStart)-1,3),0),1),((COLUMN()-COLUMN(gantt_Origin))-1)*IF(GanttPeriod&gt;=90,3,1)))</f>
        <v>57</v>
      </c>
      <c r="CI5" s="125" t="n">
        <f aca="false">IF(GanttPeriod&lt;28,GanttStart+((COLUMN()-COLUMN(gantt_Origin))-1)*GanttPeriod,EDATE(DATE(YEAR(GanttStart),MONTH(GanttStart)-IF(GanttPeriod&gt;=90,MOD(MONTH(GanttStart)-1,3),0),1),((COLUMN()-COLUMN(gantt_Origin))-1)*IF(GanttPeriod&gt;=90,3,1)))</f>
        <v>58</v>
      </c>
      <c r="CJ5" s="125" t="n">
        <f aca="false">IF(GanttPeriod&lt;28,GanttStart+((COLUMN()-COLUMN(gantt_Origin))-1)*GanttPeriod,EDATE(DATE(YEAR(GanttStart),MONTH(GanttStart)-IF(GanttPeriod&gt;=90,MOD(MONTH(GanttStart)-1,3),0),1),((COLUMN()-COLUMN(gantt_Origin))-1)*IF(GanttPeriod&gt;=90,3,1)))</f>
        <v>59</v>
      </c>
      <c r="CK5" s="125" t="n">
        <f aca="false">IF(GanttPeriod&lt;28,GanttStart+((COLUMN()-COLUMN(gantt_Origin))-1)*GanttPeriod,EDATE(DATE(YEAR(GanttStart),MONTH(GanttStart)-IF(GanttPeriod&gt;=90,MOD(MONTH(GanttStart)-1,3),0),1),((COLUMN()-COLUMN(gantt_Origin))-1)*IF(GanttPeriod&gt;=90,3,1)))</f>
        <v>60</v>
      </c>
      <c r="CL5" s="125" t="n">
        <f aca="false">IF(GanttPeriod&lt;28,GanttStart+((COLUMN()-COLUMN(gantt_Origin))-1)*GanttPeriod,EDATE(DATE(YEAR(GanttStart),MONTH(GanttStart)-IF(GanttPeriod&gt;=90,MOD(MONTH(GanttStart)-1,3),0),1),((COLUMN()-COLUMN(gantt_Origin))-1)*IF(GanttPeriod&gt;=90,3,1)))</f>
        <v>61</v>
      </c>
      <c r="CM5" s="125" t="n">
        <f aca="false">IF(GanttPeriod&lt;28,GanttStart+((COLUMN()-COLUMN(gantt_Origin))-1)*GanttPeriod,EDATE(DATE(YEAR(GanttStart),MONTH(GanttStart)-IF(GanttPeriod&gt;=90,MOD(MONTH(GanttStart)-1,3),0),1),((COLUMN()-COLUMN(gantt_Origin))-1)*IF(GanttPeriod&gt;=90,3,1)))</f>
        <v>62</v>
      </c>
      <c r="CN5" s="125" t="n">
        <f aca="false">IF(GanttPeriod&lt;28,GanttStart+((COLUMN()-COLUMN(gantt_Origin))-1)*GanttPeriod,EDATE(DATE(YEAR(GanttStart),MONTH(GanttStart)-IF(GanttPeriod&gt;=90,MOD(MONTH(GanttStart)-1,3),0),1),((COLUMN()-COLUMN(gantt_Origin))-1)*IF(GanttPeriod&gt;=90,3,1)))</f>
        <v>63</v>
      </c>
      <c r="CO5" s="125" t="n">
        <f aca="false">IF(GanttPeriod&lt;28,GanttStart+((COLUMN()-COLUMN(gantt_Origin))-1)*GanttPeriod,EDATE(DATE(YEAR(GanttStart),MONTH(GanttStart)-IF(GanttPeriod&gt;=90,MOD(MONTH(GanttStart)-1,3),0),1),((COLUMN()-COLUMN(gantt_Origin))-1)*IF(GanttPeriod&gt;=90,3,1)))</f>
        <v>64</v>
      </c>
      <c r="CP5" s="125" t="n">
        <f aca="false">IF(GanttPeriod&lt;28,GanttStart+((COLUMN()-COLUMN(gantt_Origin))-1)*GanttPeriod,EDATE(DATE(YEAR(GanttStart),MONTH(GanttStart)-IF(GanttPeriod&gt;=90,MOD(MONTH(GanttStart)-1,3),0),1),((COLUMN()-COLUMN(gantt_Origin))-1)*IF(GanttPeriod&gt;=90,3,1)))</f>
        <v>65</v>
      </c>
      <c r="CQ5" s="125" t="n">
        <f aca="false">IF(GanttPeriod&lt;28,GanttStart+((COLUMN()-COLUMN(gantt_Origin))-1)*GanttPeriod,EDATE(DATE(YEAR(GanttStart),MONTH(GanttStart)-IF(GanttPeriod&gt;=90,MOD(MONTH(GanttStart)-1,3),0),1),((COLUMN()-COLUMN(gantt_Origin))-1)*IF(GanttPeriod&gt;=90,3,1)))</f>
        <v>66</v>
      </c>
      <c r="CR5" s="125" t="n">
        <f aca="false">IF(GanttPeriod&lt;28,GanttStart+((COLUMN()-COLUMN(gantt_Origin))-1)*GanttPeriod,EDATE(DATE(YEAR(GanttStart),MONTH(GanttStart)-IF(GanttPeriod&gt;=90,MOD(MONTH(GanttStart)-1,3),0),1),((COLUMN()-COLUMN(gantt_Origin))-1)*IF(GanttPeriod&gt;=90,3,1)))</f>
        <v>67</v>
      </c>
      <c r="CS5" s="125" t="n">
        <f aca="false">IF(GanttPeriod&lt;28,GanttStart+((COLUMN()-COLUMN(gantt_Origin))-1)*GanttPeriod,EDATE(DATE(YEAR(GanttStart),MONTH(GanttStart)-IF(GanttPeriod&gt;=90,MOD(MONTH(GanttStart)-1,3),0),1),((COLUMN()-COLUMN(gantt_Origin))-1)*IF(GanttPeriod&gt;=90,3,1)))</f>
        <v>68</v>
      </c>
      <c r="CT5" s="125" t="n">
        <f aca="false">IF(GanttPeriod&lt;28,GanttStart+((COLUMN()-COLUMN(gantt_Origin))-1)*GanttPeriod,EDATE(DATE(YEAR(GanttStart),MONTH(GanttStart)-IF(GanttPeriod&gt;=90,MOD(MONTH(GanttStart)-1,3),0),1),((COLUMN()-COLUMN(gantt_Origin))-1)*IF(GanttPeriod&gt;=90,3,1)))</f>
        <v>69</v>
      </c>
      <c r="CU5" s="125" t="n">
        <f aca="false">IF(GanttPeriod&lt;28,GanttStart+((COLUMN()-COLUMN(gantt_Origin))-1)*GanttPeriod,EDATE(DATE(YEAR(GanttStart),MONTH(GanttStart)-IF(GanttPeriod&gt;=90,MOD(MONTH(GanttStart)-1,3),0),1),((COLUMN()-COLUMN(gantt_Origin))-1)*IF(GanttPeriod&gt;=90,3,1)))</f>
        <v>70</v>
      </c>
      <c r="CV5" s="125" t="n">
        <f aca="false">IF(GanttPeriod&lt;28,GanttStart+((COLUMN()-COLUMN(gantt_Origin))-1)*GanttPeriod,EDATE(DATE(YEAR(GanttStart),MONTH(GanttStart)-IF(GanttPeriod&gt;=90,MOD(MONTH(GanttStart)-1,3),0),1),((COLUMN()-COLUMN(gantt_Origin))-1)*IF(GanttPeriod&gt;=90,3,1)))</f>
        <v>71</v>
      </c>
      <c r="CW5" s="125" t="n">
        <f aca="false">IF(GanttPeriod&lt;28,GanttStart+((COLUMN()-COLUMN(gantt_Origin))-1)*GanttPeriod,EDATE(DATE(YEAR(GanttStart),MONTH(GanttStart)-IF(GanttPeriod&gt;=90,MOD(MONTH(GanttStart)-1,3),0),1),((COLUMN()-COLUMN(gantt_Origin))-1)*IF(GanttPeriod&gt;=90,3,1)))</f>
        <v>72</v>
      </c>
      <c r="CX5" s="125" t="n">
        <f aca="false">IF(GanttPeriod&lt;28,GanttStart+((COLUMN()-COLUMN(gantt_Origin))-1)*GanttPeriod,EDATE(DATE(YEAR(GanttStart),MONTH(GanttStart)-IF(GanttPeriod&gt;=90,MOD(MONTH(GanttStart)-1,3),0),1),((COLUMN()-COLUMN(gantt_Origin))-1)*IF(GanttPeriod&gt;=90,3,1)))</f>
        <v>73</v>
      </c>
      <c r="CY5" s="125" t="n">
        <f aca="false">IF(GanttPeriod&lt;28,GanttStart+((COLUMN()-COLUMN(gantt_Origin))-1)*GanttPeriod,EDATE(DATE(YEAR(GanttStart),MONTH(GanttStart)-IF(GanttPeriod&gt;=90,MOD(MONTH(GanttStart)-1,3),0),1),((COLUMN()-COLUMN(gantt_Origin))-1)*IF(GanttPeriod&gt;=90,3,1)))</f>
        <v>74</v>
      </c>
      <c r="CZ5" s="125" t="n">
        <f aca="false">IF(GanttPeriod&lt;28,GanttStart+((COLUMN()-COLUMN(gantt_Origin))-1)*GanttPeriod,EDATE(DATE(YEAR(GanttStart),MONTH(GanttStart)-IF(GanttPeriod&gt;=90,MOD(MONTH(GanttStart)-1,3),0),1),((COLUMN()-COLUMN(gantt_Origin))-1)*IF(GanttPeriod&gt;=90,3,1)))</f>
        <v>75</v>
      </c>
      <c r="DA5" s="125" t="n">
        <f aca="false">IF(GanttPeriod&lt;28,GanttStart+((COLUMN()-COLUMN(gantt_Origin))-1)*GanttPeriod,EDATE(DATE(YEAR(GanttStart),MONTH(GanttStart)-IF(GanttPeriod&gt;=90,MOD(MONTH(GanttStart)-1,3),0),1),((COLUMN()-COLUMN(gantt_Origin))-1)*IF(GanttPeriod&gt;=90,3,1)))</f>
        <v>76</v>
      </c>
      <c r="DB5" s="125" t="n">
        <f aca="false">IF(GanttPeriod&lt;28,GanttStart+((COLUMN()-COLUMN(gantt_Origin))-1)*GanttPeriod,EDATE(DATE(YEAR(GanttStart),MONTH(GanttStart)-IF(GanttPeriod&gt;=90,MOD(MONTH(GanttStart)-1,3),0),1),((COLUMN()-COLUMN(gantt_Origin))-1)*IF(GanttPeriod&gt;=90,3,1)))</f>
        <v>77</v>
      </c>
      <c r="DC5" s="125" t="n">
        <f aca="false">IF(GanttPeriod&lt;28,GanttStart+((COLUMN()-COLUMN(gantt_Origin))-1)*GanttPeriod,EDATE(DATE(YEAR(GanttStart),MONTH(GanttStart)-IF(GanttPeriod&gt;=90,MOD(MONTH(GanttStart)-1,3),0),1),((COLUMN()-COLUMN(gantt_Origin))-1)*IF(GanttPeriod&gt;=90,3,1)))</f>
        <v>78</v>
      </c>
      <c r="DD5" s="125" t="n">
        <f aca="false">IF(GanttPeriod&lt;28,GanttStart+((COLUMN()-COLUMN(gantt_Origin))-1)*GanttPeriod,EDATE(DATE(YEAR(GanttStart),MONTH(GanttStart)-IF(GanttPeriod&gt;=90,MOD(MONTH(GanttStart)-1,3),0),1),((COLUMN()-COLUMN(gantt_Origin))-1)*IF(GanttPeriod&gt;=90,3,1)))</f>
        <v>79</v>
      </c>
      <c r="DE5" s="125" t="n">
        <f aca="false">IF(GanttPeriod&lt;28,GanttStart+((COLUMN()-COLUMN(gantt_Origin))-1)*GanttPeriod,EDATE(DATE(YEAR(GanttStart),MONTH(GanttStart)-IF(GanttPeriod&gt;=90,MOD(MONTH(GanttStart)-1,3),0),1),((COLUMN()-COLUMN(gantt_Origin))-1)*IF(GanttPeriod&gt;=90,3,1)))</f>
        <v>80</v>
      </c>
      <c r="DF5" s="125" t="n">
        <f aca="false">IF(GanttPeriod&lt;28,GanttStart+((COLUMN()-COLUMN(gantt_Origin))-1)*GanttPeriod,EDATE(DATE(YEAR(GanttStart),MONTH(GanttStart)-IF(GanttPeriod&gt;=90,MOD(MONTH(GanttStart)-1,3),0),1),((COLUMN()-COLUMN(gantt_Origin))-1)*IF(GanttPeriod&gt;=90,3,1)))</f>
        <v>81</v>
      </c>
      <c r="DG5" s="125" t="n">
        <f aca="false">IF(GanttPeriod&lt;28,GanttStart+((COLUMN()-COLUMN(gantt_Origin))-1)*GanttPeriod,EDATE(DATE(YEAR(GanttStart),MONTH(GanttStart)-IF(GanttPeriod&gt;=90,MOD(MONTH(GanttStart)-1,3),0),1),((COLUMN()-COLUMN(gantt_Origin))-1)*IF(GanttPeriod&gt;=90,3,1)))</f>
        <v>82</v>
      </c>
      <c r="DH5" s="125" t="n">
        <f aca="false">IF(GanttPeriod&lt;28,GanttStart+((COLUMN()-COLUMN(gantt_Origin))-1)*GanttPeriod,EDATE(DATE(YEAR(GanttStart),MONTH(GanttStart)-IF(GanttPeriod&gt;=90,MOD(MONTH(GanttStart)-1,3),0),1),((COLUMN()-COLUMN(gantt_Origin))-1)*IF(GanttPeriod&gt;=90,3,1)))</f>
        <v>83</v>
      </c>
      <c r="DI5" s="125" t="n">
        <f aca="false">IF(GanttPeriod&lt;28,GanttStart+((COLUMN()-COLUMN(gantt_Origin))-1)*GanttPeriod,EDATE(DATE(YEAR(GanttStart),MONTH(GanttStart)-IF(GanttPeriod&gt;=90,MOD(MONTH(GanttStart)-1,3),0),1),((COLUMN()-COLUMN(gantt_Origin))-1)*IF(GanttPeriod&gt;=90,3,1)))</f>
        <v>84</v>
      </c>
      <c r="DJ5" s="125" t="n">
        <f aca="false">IF(GanttPeriod&lt;28,GanttStart+((COLUMN()-COLUMN(gantt_Origin))-1)*GanttPeriod,EDATE(DATE(YEAR(GanttStart),MONTH(GanttStart)-IF(GanttPeriod&gt;=90,MOD(MONTH(GanttStart)-1,3),0),1),((COLUMN()-COLUMN(gantt_Origin))-1)*IF(GanttPeriod&gt;=90,3,1)))</f>
        <v>85</v>
      </c>
      <c r="DK5" s="125" t="n">
        <f aca="false">IF(GanttPeriod&lt;28,GanttStart+((COLUMN()-COLUMN(gantt_Origin))-1)*GanttPeriod,EDATE(DATE(YEAR(GanttStart),MONTH(GanttStart)-IF(GanttPeriod&gt;=90,MOD(MONTH(GanttStart)-1,3),0),1),((COLUMN()-COLUMN(gantt_Origin))-1)*IF(GanttPeriod&gt;=90,3,1)))</f>
        <v>86</v>
      </c>
      <c r="DL5" s="125" t="n">
        <f aca="false">IF(GanttPeriod&lt;28,GanttStart+((COLUMN()-COLUMN(gantt_Origin))-1)*GanttPeriod,EDATE(DATE(YEAR(GanttStart),MONTH(GanttStart)-IF(GanttPeriod&gt;=90,MOD(MONTH(GanttStart)-1,3),0),1),((COLUMN()-COLUMN(gantt_Origin))-1)*IF(GanttPeriod&gt;=90,3,1)))</f>
        <v>87</v>
      </c>
      <c r="DM5" s="125" t="n">
        <f aca="false">IF(GanttPeriod&lt;28,GanttStart+((COLUMN()-COLUMN(gantt_Origin))-1)*GanttPeriod,EDATE(DATE(YEAR(GanttStart),MONTH(GanttStart)-IF(GanttPeriod&gt;=90,MOD(MONTH(GanttStart)-1,3),0),1),((COLUMN()-COLUMN(gantt_Origin))-1)*IF(GanttPeriod&gt;=90,3,1)))</f>
        <v>88</v>
      </c>
      <c r="DN5" s="125" t="n">
        <f aca="false">IF(GanttPeriod&lt;28,GanttStart+((COLUMN()-COLUMN(gantt_Origin))-1)*GanttPeriod,EDATE(DATE(YEAR(GanttStart),MONTH(GanttStart)-IF(GanttPeriod&gt;=90,MOD(MONTH(GanttStart)-1,3),0),1),((COLUMN()-COLUMN(gantt_Origin))-1)*IF(GanttPeriod&gt;=90,3,1)))</f>
        <v>89</v>
      </c>
      <c r="DO5" s="125" t="n">
        <f aca="false">IF(GanttPeriod&lt;28,GanttStart+((COLUMN()-COLUMN(gantt_Origin))-1)*GanttPeriod,EDATE(DATE(YEAR(GanttStart),MONTH(GanttStart)-IF(GanttPeriod&gt;=90,MOD(MONTH(GanttStart)-1,3),0),1),((COLUMN()-COLUMN(gantt_Origin))-1)*IF(GanttPeriod&gt;=90,3,1)))</f>
        <v>90</v>
      </c>
      <c r="DP5" s="125" t="n">
        <f aca="false">IF(GanttPeriod&lt;28,GanttStart+((COLUMN()-COLUMN(gantt_Origin))-1)*GanttPeriod,EDATE(DATE(YEAR(GanttStart),MONTH(GanttStart)-IF(GanttPeriod&gt;=90,MOD(MONTH(GanttStart)-1,3),0),1),((COLUMN()-COLUMN(gantt_Origin))-1)*IF(GanttPeriod&gt;=90,3,1)))</f>
        <v>91</v>
      </c>
      <c r="DQ5" s="125" t="n">
        <f aca="false">IF(GanttPeriod&lt;28,GanttStart+((COLUMN()-COLUMN(gantt_Origin))-1)*GanttPeriod,EDATE(DATE(YEAR(GanttStart),MONTH(GanttStart)-IF(GanttPeriod&gt;=90,MOD(MONTH(GanttStart)-1,3),0),1),((COLUMN()-COLUMN(gantt_Origin))-1)*IF(GanttPeriod&gt;=90,3,1)))</f>
        <v>92</v>
      </c>
      <c r="DR5" s="125" t="n">
        <f aca="false">IF(GanttPeriod&lt;28,GanttStart+((COLUMN()-COLUMN(gantt_Origin))-1)*GanttPeriod,EDATE(DATE(YEAR(GanttStart),MONTH(GanttStart)-IF(GanttPeriod&gt;=90,MOD(MONTH(GanttStart)-1,3),0),1),((COLUMN()-COLUMN(gantt_Origin))-1)*IF(GanttPeriod&gt;=90,3,1)))</f>
        <v>93</v>
      </c>
      <c r="DS5" s="125" t="n">
        <f aca="false">IF(GanttPeriod&lt;28,GanttStart+((COLUMN()-COLUMN(gantt_Origin))-1)*GanttPeriod,EDATE(DATE(YEAR(GanttStart),MONTH(GanttStart)-IF(GanttPeriod&gt;=90,MOD(MONTH(GanttStart)-1,3),0),1),((COLUMN()-COLUMN(gantt_Origin))-1)*IF(GanttPeriod&gt;=90,3,1)))</f>
        <v>94</v>
      </c>
      <c r="DT5" s="125" t="n">
        <f aca="false">IF(GanttPeriod&lt;28,GanttStart+((COLUMN()-COLUMN(gantt_Origin))-1)*GanttPeriod,EDATE(DATE(YEAR(GanttStart),MONTH(GanttStart)-IF(GanttPeriod&gt;=90,MOD(MONTH(GanttStart)-1,3),0),1),((COLUMN()-COLUMN(gantt_Origin))-1)*IF(GanttPeriod&gt;=90,3,1)))</f>
        <v>95</v>
      </c>
      <c r="DU5" s="125" t="n">
        <f aca="false">IF(GanttPeriod&lt;28,GanttStart+((COLUMN()-COLUMN(gantt_Origin))-1)*GanttPeriod,EDATE(DATE(YEAR(GanttStart),MONTH(GanttStart)-IF(GanttPeriod&gt;=90,MOD(MONTH(GanttStart)-1,3),0),1),((COLUMN()-COLUMN(gantt_Origin))-1)*IF(GanttPeriod&gt;=90,3,1)))</f>
        <v>96</v>
      </c>
      <c r="DV5" s="125" t="n">
        <f aca="false">IF(GanttPeriod&lt;28,GanttStart+((COLUMN()-COLUMN(gantt_Origin))-1)*GanttPeriod,EDATE(DATE(YEAR(GanttStart),MONTH(GanttStart)-IF(GanttPeriod&gt;=90,MOD(MONTH(GanttStart)-1,3),0),1),((COLUMN()-COLUMN(gantt_Origin))-1)*IF(GanttPeriod&gt;=90,3,1)))</f>
        <v>97</v>
      </c>
      <c r="DW5" s="125" t="n">
        <f aca="false">IF(GanttPeriod&lt;28,GanttStart+((COLUMN()-COLUMN(gantt_Origin))-1)*GanttPeriod,EDATE(DATE(YEAR(GanttStart),MONTH(GanttStart)-IF(GanttPeriod&gt;=90,MOD(MONTH(GanttStart)-1,3),0),1),((COLUMN()-COLUMN(gantt_Origin))-1)*IF(GanttPeriod&gt;=90,3,1)))</f>
        <v>98</v>
      </c>
      <c r="DX5" s="125" t="n">
        <f aca="false">IF(GanttPeriod&lt;28,GanttStart+((COLUMN()-COLUMN(gantt_Origin))-1)*GanttPeriod,EDATE(DATE(YEAR(GanttStart),MONTH(GanttStart)-IF(GanttPeriod&gt;=90,MOD(MONTH(GanttStart)-1,3),0),1),((COLUMN()-COLUMN(gantt_Origin))-1)*IF(GanttPeriod&gt;=90,3,1)))</f>
        <v>99</v>
      </c>
      <c r="DY5" s="125" t="n">
        <f aca="false">IF(GanttPeriod&lt;28,GanttStart+((COLUMN()-COLUMN(gantt_Origin))-1)*GanttPeriod,EDATE(DATE(YEAR(GanttStart),MONTH(GanttStart)-IF(GanttPeriod&gt;=90,MOD(MONTH(GanttStart)-1,3),0),1),((COLUMN()-COLUMN(gantt_Origin))-1)*IF(GanttPeriod&gt;=90,3,1)))</f>
        <v>100</v>
      </c>
      <c r="DZ5" s="125" t="n">
        <f aca="false">IF(GanttPeriod&lt;28,GanttStart+((COLUMN()-COLUMN(gantt_Origin))-1)*GanttPeriod,EDATE(DATE(YEAR(GanttStart),MONTH(GanttStart)-IF(GanttPeriod&gt;=90,MOD(MONTH(GanttStart)-1,3),0),1),((COLUMN()-COLUMN(gantt_Origin))-1)*IF(GanttPeriod&gt;=90,3,1)))</f>
        <v>101</v>
      </c>
      <c r="EA5" s="125" t="n">
        <f aca="false">IF(GanttPeriod&lt;28,GanttStart+((COLUMN()-COLUMN(gantt_Origin))-1)*GanttPeriod,EDATE(DATE(YEAR(GanttStart),MONTH(GanttStart)-IF(GanttPeriod&gt;=90,MOD(MONTH(GanttStart)-1,3),0),1),((COLUMN()-COLUMN(gantt_Origin))-1)*IF(GanttPeriod&gt;=90,3,1)))</f>
        <v>102</v>
      </c>
      <c r="EB5" s="125" t="n">
        <f aca="false">IF(GanttPeriod&lt;28,GanttStart+((COLUMN()-COLUMN(gantt_Origin))-1)*GanttPeriod,EDATE(DATE(YEAR(GanttStart),MONTH(GanttStart)-IF(GanttPeriod&gt;=90,MOD(MONTH(GanttStart)-1,3),0),1),((COLUMN()-COLUMN(gantt_Origin))-1)*IF(GanttPeriod&gt;=90,3,1)))</f>
        <v>103</v>
      </c>
      <c r="EC5" s="125" t="n">
        <f aca="false">IF(GanttPeriod&lt;28,GanttStart+((COLUMN()-COLUMN(gantt_Origin))-1)*GanttPeriod,EDATE(DATE(YEAR(GanttStart),MONTH(GanttStart)-IF(GanttPeriod&gt;=90,MOD(MONTH(GanttStart)-1,3),0),1),((COLUMN()-COLUMN(gantt_Origin))-1)*IF(GanttPeriod&gt;=90,3,1)))</f>
        <v>104</v>
      </c>
      <c r="ED5" s="125" t="n">
        <f aca="false">IF(GanttPeriod&lt;28,GanttStart+((COLUMN()-COLUMN(gantt_Origin))-1)*GanttPeriod,EDATE(DATE(YEAR(GanttStart),MONTH(GanttStart)-IF(GanttPeriod&gt;=90,MOD(MONTH(GanttStart)-1,3),0),1),((COLUMN()-COLUMN(gantt_Origin))-1)*IF(GanttPeriod&gt;=90,3,1)))</f>
        <v>105</v>
      </c>
      <c r="EE5" s="125" t="n">
        <f aca="false">IF(GanttPeriod&lt;28,GanttStart+((COLUMN()-COLUMN(gantt_Origin))-1)*GanttPeriod,EDATE(DATE(YEAR(GanttStart),MONTH(GanttStart)-IF(GanttPeriod&gt;=90,MOD(MONTH(GanttStart)-1,3),0),1),((COLUMN()-COLUMN(gantt_Origin))-1)*IF(GanttPeriod&gt;=90,3,1)))</f>
        <v>106</v>
      </c>
      <c r="EF5" s="125" t="n">
        <f aca="false">IF(GanttPeriod&lt;28,GanttStart+((COLUMN()-COLUMN(gantt_Origin))-1)*GanttPeriod,EDATE(DATE(YEAR(GanttStart),MONTH(GanttStart)-IF(GanttPeriod&gt;=90,MOD(MONTH(GanttStart)-1,3),0),1),((COLUMN()-COLUMN(gantt_Origin))-1)*IF(GanttPeriod&gt;=90,3,1)))</f>
        <v>107</v>
      </c>
      <c r="EG5" s="125" t="n">
        <f aca="false">IF(GanttPeriod&lt;28,GanttStart+((COLUMN()-COLUMN(gantt_Origin))-1)*GanttPeriod,EDATE(DATE(YEAR(GanttStart),MONTH(GanttStart)-IF(GanttPeriod&gt;=90,MOD(MONTH(GanttStart)-1,3),0),1),((COLUMN()-COLUMN(gantt_Origin))-1)*IF(GanttPeriod&gt;=90,3,1)))</f>
        <v>108</v>
      </c>
      <c r="EH5" s="125" t="n">
        <f aca="false">IF(GanttPeriod&lt;28,GanttStart+((COLUMN()-COLUMN(gantt_Origin))-1)*GanttPeriod,EDATE(DATE(YEAR(GanttStart),MONTH(GanttStart)-IF(GanttPeriod&gt;=90,MOD(MONTH(GanttStart)-1,3),0),1),((COLUMN()-COLUMN(gantt_Origin))-1)*IF(GanttPeriod&gt;=90,3,1)))</f>
        <v>109</v>
      </c>
      <c r="EI5" s="125" t="n">
        <f aca="false">IF(GanttPeriod&lt;28,GanttStart+((COLUMN()-COLUMN(gantt_Origin))-1)*GanttPeriod,EDATE(DATE(YEAR(GanttStart),MONTH(GanttStart)-IF(GanttPeriod&gt;=90,MOD(MONTH(GanttStart)-1,3),0),1),((COLUMN()-COLUMN(gantt_Origin))-1)*IF(GanttPeriod&gt;=90,3,1)))</f>
        <v>110</v>
      </c>
      <c r="EJ5" s="125" t="n">
        <f aca="false">IF(GanttPeriod&lt;28,GanttStart+((COLUMN()-COLUMN(gantt_Origin))-1)*GanttPeriod,EDATE(DATE(YEAR(GanttStart),MONTH(GanttStart)-IF(GanttPeriod&gt;=90,MOD(MONTH(GanttStart)-1,3),0),1),((COLUMN()-COLUMN(gantt_Origin))-1)*IF(GanttPeriod&gt;=90,3,1)))</f>
        <v>111</v>
      </c>
      <c r="EK5" s="125" t="n">
        <f aca="false">IF(GanttPeriod&lt;28,GanttStart+((COLUMN()-COLUMN(gantt_Origin))-1)*GanttPeriod,EDATE(DATE(YEAR(GanttStart),MONTH(GanttStart)-IF(GanttPeriod&gt;=90,MOD(MONTH(GanttStart)-1,3),0),1),((COLUMN()-COLUMN(gantt_Origin))-1)*IF(GanttPeriod&gt;=90,3,1)))</f>
        <v>112</v>
      </c>
      <c r="EL5" s="125" t="n">
        <f aca="false">IF(GanttPeriod&lt;28,GanttStart+((COLUMN()-COLUMN(gantt_Origin))-1)*GanttPeriod,EDATE(DATE(YEAR(GanttStart),MONTH(GanttStart)-IF(GanttPeriod&gt;=90,MOD(MONTH(GanttStart)-1,3),0),1),((COLUMN()-COLUMN(gantt_Origin))-1)*IF(GanttPeriod&gt;=90,3,1)))</f>
        <v>113</v>
      </c>
      <c r="EM5" s="125" t="n">
        <f aca="false">IF(GanttPeriod&lt;28,GanttStart+((COLUMN()-COLUMN(gantt_Origin))-1)*GanttPeriod,EDATE(DATE(YEAR(GanttStart),MONTH(GanttStart)-IF(GanttPeriod&gt;=90,MOD(MONTH(GanttStart)-1,3),0),1),((COLUMN()-COLUMN(gantt_Origin))-1)*IF(GanttPeriod&gt;=90,3,1)))</f>
        <v>114</v>
      </c>
      <c r="EN5" s="125" t="n">
        <f aca="false">IF(GanttPeriod&lt;28,GanttStart+((COLUMN()-COLUMN(gantt_Origin))-1)*GanttPeriod,EDATE(DATE(YEAR(GanttStart),MONTH(GanttStart)-IF(GanttPeriod&gt;=90,MOD(MONTH(GanttStart)-1,3),0),1),((COLUMN()-COLUMN(gantt_Origin))-1)*IF(GanttPeriod&gt;=90,3,1)))</f>
        <v>115</v>
      </c>
      <c r="EO5" s="125" t="n">
        <f aca="false">IF(GanttPeriod&lt;28,GanttStart+((COLUMN()-COLUMN(gantt_Origin))-1)*GanttPeriod,EDATE(DATE(YEAR(GanttStart),MONTH(GanttStart)-IF(GanttPeriod&gt;=90,MOD(MONTH(GanttStart)-1,3),0),1),((COLUMN()-COLUMN(gantt_Origin))-1)*IF(GanttPeriod&gt;=90,3,1)))</f>
        <v>116</v>
      </c>
      <c r="EP5" s="125" t="n">
        <f aca="false">IF(GanttPeriod&lt;28,GanttStart+((COLUMN()-COLUMN(gantt_Origin))-1)*GanttPeriod,EDATE(DATE(YEAR(GanttStart),MONTH(GanttStart)-IF(GanttPeriod&gt;=90,MOD(MONTH(GanttStart)-1,3),0),1),((COLUMN()-COLUMN(gantt_Origin))-1)*IF(GanttPeriod&gt;=90,3,1)))</f>
        <v>117</v>
      </c>
      <c r="EQ5" s="125" t="n">
        <f aca="false">IF(GanttPeriod&lt;28,GanttStart+((COLUMN()-COLUMN(gantt_Origin))-1)*GanttPeriod,EDATE(DATE(YEAR(GanttStart),MONTH(GanttStart)-IF(GanttPeriod&gt;=90,MOD(MONTH(GanttStart)-1,3),0),1),((COLUMN()-COLUMN(gantt_Origin))-1)*IF(GanttPeriod&gt;=90,3,1)))</f>
        <v>118</v>
      </c>
      <c r="ER5" s="125" t="n">
        <f aca="false">IF(GanttPeriod&lt;28,GanttStart+((COLUMN()-COLUMN(gantt_Origin))-1)*GanttPeriod,EDATE(DATE(YEAR(GanttStart),MONTH(GanttStart)-IF(GanttPeriod&gt;=90,MOD(MONTH(GanttStart)-1,3),0),1),((COLUMN()-COLUMN(gantt_Origin))-1)*IF(GanttPeriod&gt;=90,3,1)))</f>
        <v>119</v>
      </c>
      <c r="ES5" s="125" t="n">
        <f aca="false">IF(GanttPeriod&lt;28,GanttStart+((COLUMN()-COLUMN(gantt_Origin))-1)*GanttPeriod,EDATE(DATE(YEAR(GanttStart),MONTH(GanttStart)-IF(GanttPeriod&gt;=90,MOD(MONTH(GanttStart)-1,3),0),1),((COLUMN()-COLUMN(gantt_Origin))-1)*IF(GanttPeriod&gt;=90,3,1)))</f>
        <v>120</v>
      </c>
      <c r="ET5" s="125" t="n">
        <f aca="false">IF(GanttPeriod&lt;28,GanttStart+((COLUMN()-COLUMN(gantt_Origin))-1)*GanttPeriod,EDATE(DATE(YEAR(GanttStart),MONTH(GanttStart)-IF(GanttPeriod&gt;=90,MOD(MONTH(GanttStart)-1,3),0),1),((COLUMN()-COLUMN(gantt_Origin))-1)*IF(GanttPeriod&gt;=90,3,1)))</f>
        <v>121</v>
      </c>
      <c r="EU5" s="125" t="n">
        <f aca="false">IF(GanttPeriod&lt;28,GanttStart+((COLUMN()-COLUMN(gantt_Origin))-1)*GanttPeriod,EDATE(DATE(YEAR(GanttStart),MONTH(GanttStart)-IF(GanttPeriod&gt;=90,MOD(MONTH(GanttStart)-1,3),0),1),((COLUMN()-COLUMN(gantt_Origin))-1)*IF(GanttPeriod&gt;=90,3,1)))</f>
        <v>122</v>
      </c>
      <c r="EV5" s="125" t="n">
        <f aca="false">IF(GanttPeriod&lt;28,GanttStart+((COLUMN()-COLUMN(gantt_Origin))-1)*GanttPeriod,EDATE(DATE(YEAR(GanttStart),MONTH(GanttStart)-IF(GanttPeriod&gt;=90,MOD(MONTH(GanttStart)-1,3),0),1),((COLUMN()-COLUMN(gantt_Origin))-1)*IF(GanttPeriod&gt;=90,3,1)))</f>
        <v>123</v>
      </c>
      <c r="EW5" s="125" t="n">
        <f aca="false">IF(GanttPeriod&lt;28,GanttStart+((COLUMN()-COLUMN(gantt_Origin))-1)*GanttPeriod,EDATE(DATE(YEAR(GanttStart),MONTH(GanttStart)-IF(GanttPeriod&gt;=90,MOD(MONTH(GanttStart)-1,3),0),1),((COLUMN()-COLUMN(gantt_Origin))-1)*IF(GanttPeriod&gt;=90,3,1)))</f>
        <v>124</v>
      </c>
      <c r="EX5" s="125" t="n">
        <f aca="false">IF(GanttPeriod&lt;28,GanttStart+((COLUMN()-COLUMN(gantt_Origin))-1)*GanttPeriod,EDATE(DATE(YEAR(GanttStart),MONTH(GanttStart)-IF(GanttPeriod&gt;=90,MOD(MONTH(GanttStart)-1,3),0),1),((COLUMN()-COLUMN(gantt_Origin))-1)*IF(GanttPeriod&gt;=90,3,1)))</f>
        <v>125</v>
      </c>
      <c r="EY5" s="125" t="n">
        <f aca="false">IF(GanttPeriod&lt;28,GanttStart+((COLUMN()-COLUMN(gantt_Origin))-1)*GanttPeriod,EDATE(DATE(YEAR(GanttStart),MONTH(GanttStart)-IF(GanttPeriod&gt;=90,MOD(MONTH(GanttStart)-1,3),0),1),((COLUMN()-COLUMN(gantt_Origin))-1)*IF(GanttPeriod&gt;=90,3,1)))</f>
        <v>126</v>
      </c>
      <c r="EZ5" s="125" t="n">
        <f aca="false">IF(GanttPeriod&lt;28,GanttStart+((COLUMN()-COLUMN(gantt_Origin))-1)*GanttPeriod,EDATE(DATE(YEAR(GanttStart),MONTH(GanttStart)-IF(GanttPeriod&gt;=90,MOD(MONTH(GanttStart)-1,3),0),1),((COLUMN()-COLUMN(gantt_Origin))-1)*IF(GanttPeriod&gt;=90,3,1)))</f>
        <v>127</v>
      </c>
      <c r="FA5" s="125" t="n">
        <f aca="false">IF(GanttPeriod&lt;28,GanttStart+((COLUMN()-COLUMN(gantt_Origin))-1)*GanttPeriod,EDATE(DATE(YEAR(GanttStart),MONTH(GanttStart)-IF(GanttPeriod&gt;=90,MOD(MONTH(GanttStart)-1,3),0),1),((COLUMN()-COLUMN(gantt_Origin))-1)*IF(GanttPeriod&gt;=90,3,1)))</f>
        <v>128</v>
      </c>
      <c r="FB5" s="125" t="n">
        <f aca="false">IF(GanttPeriod&lt;28,GanttStart+((COLUMN()-COLUMN(gantt_Origin))-1)*GanttPeriod,EDATE(DATE(YEAR(GanttStart),MONTH(GanttStart)-IF(GanttPeriod&gt;=90,MOD(MONTH(GanttStart)-1,3),0),1),((COLUMN()-COLUMN(gantt_Origin))-1)*IF(GanttPeriod&gt;=90,3,1)))</f>
        <v>129</v>
      </c>
      <c r="FC5" s="125" t="n">
        <f aca="false">IF(GanttPeriod&lt;28,GanttStart+((COLUMN()-COLUMN(gantt_Origin))-1)*GanttPeriod,EDATE(DATE(YEAR(GanttStart),MONTH(GanttStart)-IF(GanttPeriod&gt;=90,MOD(MONTH(GanttStart)-1,3),0),1),((COLUMN()-COLUMN(gantt_Origin))-1)*IF(GanttPeriod&gt;=90,3,1)))</f>
        <v>130</v>
      </c>
      <c r="FD5" s="125" t="n">
        <f aca="false">IF(GanttPeriod&lt;28,GanttStart+((COLUMN()-COLUMN(gantt_Origin))-1)*GanttPeriod,EDATE(DATE(YEAR(GanttStart),MONTH(GanttStart)-IF(GanttPeriod&gt;=90,MOD(MONTH(GanttStart)-1,3),0),1),((COLUMN()-COLUMN(gantt_Origin))-1)*IF(GanttPeriod&gt;=90,3,1)))</f>
        <v>131</v>
      </c>
      <c r="FE5" s="125" t="n">
        <f aca="false">IF(GanttPeriod&lt;28,GanttStart+((COLUMN()-COLUMN(gantt_Origin))-1)*GanttPeriod,EDATE(DATE(YEAR(GanttStart),MONTH(GanttStart)-IF(GanttPeriod&gt;=90,MOD(MONTH(GanttStart)-1,3),0),1),((COLUMN()-COLUMN(gantt_Origin))-1)*IF(GanttPeriod&gt;=90,3,1)))</f>
        <v>132</v>
      </c>
      <c r="FF5" s="125" t="n">
        <f aca="false">IF(GanttPeriod&lt;28,GanttStart+((COLUMN()-COLUMN(gantt_Origin))-1)*GanttPeriod,EDATE(DATE(YEAR(GanttStart),MONTH(GanttStart)-IF(GanttPeriod&gt;=90,MOD(MONTH(GanttStart)-1,3),0),1),((COLUMN()-COLUMN(gantt_Origin))-1)*IF(GanttPeriod&gt;=90,3,1)))</f>
        <v>133</v>
      </c>
      <c r="FG5" s="125" t="n">
        <f aca="false">IF(GanttPeriod&lt;28,GanttStart+((COLUMN()-COLUMN(gantt_Origin))-1)*GanttPeriod,EDATE(DATE(YEAR(GanttStart),MONTH(GanttStart)-IF(GanttPeriod&gt;=90,MOD(MONTH(GanttStart)-1,3),0),1),((COLUMN()-COLUMN(gantt_Origin))-1)*IF(GanttPeriod&gt;=90,3,1)))</f>
        <v>134</v>
      </c>
      <c r="FH5" s="125" t="n">
        <f aca="false">IF(GanttPeriod&lt;28,GanttStart+((COLUMN()-COLUMN(gantt_Origin))-1)*GanttPeriod,EDATE(DATE(YEAR(GanttStart),MONTH(GanttStart)-IF(GanttPeriod&gt;=90,MOD(MONTH(GanttStart)-1,3),0),1),((COLUMN()-COLUMN(gantt_Origin))-1)*IF(GanttPeriod&gt;=90,3,1)))</f>
        <v>135</v>
      </c>
      <c r="FI5" s="125" t="n">
        <f aca="false">IF(GanttPeriod&lt;28,GanttStart+((COLUMN()-COLUMN(gantt_Origin))-1)*GanttPeriod,EDATE(DATE(YEAR(GanttStart),MONTH(GanttStart)-IF(GanttPeriod&gt;=90,MOD(MONTH(GanttStart)-1,3),0),1),((COLUMN()-COLUMN(gantt_Origin))-1)*IF(GanttPeriod&gt;=90,3,1)))</f>
        <v>136</v>
      </c>
      <c r="FJ5" s="125" t="n">
        <f aca="false">IF(GanttPeriod&lt;28,GanttStart+((COLUMN()-COLUMN(gantt_Origin))-1)*GanttPeriod,EDATE(DATE(YEAR(GanttStart),MONTH(GanttStart)-IF(GanttPeriod&gt;=90,MOD(MONTH(GanttStart)-1,3),0),1),((COLUMN()-COLUMN(gantt_Origin))-1)*IF(GanttPeriod&gt;=90,3,1)))</f>
        <v>137</v>
      </c>
      <c r="FK5" s="125" t="n">
        <f aca="false">IF(GanttPeriod&lt;28,GanttStart+((COLUMN()-COLUMN(gantt_Origin))-1)*GanttPeriod,EDATE(DATE(YEAR(GanttStart),MONTH(GanttStart)-IF(GanttPeriod&gt;=90,MOD(MONTH(GanttStart)-1,3),0),1),((COLUMN()-COLUMN(gantt_Origin))-1)*IF(GanttPeriod&gt;=90,3,1)))</f>
        <v>138</v>
      </c>
      <c r="FL5" s="125" t="n">
        <f aca="false">IF(GanttPeriod&lt;28,GanttStart+((COLUMN()-COLUMN(gantt_Origin))-1)*GanttPeriod,EDATE(DATE(YEAR(GanttStart),MONTH(GanttStart)-IF(GanttPeriod&gt;=90,MOD(MONTH(GanttStart)-1,3),0),1),((COLUMN()-COLUMN(gantt_Origin))-1)*IF(GanttPeriod&gt;=90,3,1)))</f>
        <v>139</v>
      </c>
      <c r="FM5" s="125" t="n">
        <f aca="false">IF(GanttPeriod&lt;28,GanttStart+((COLUMN()-COLUMN(gantt_Origin))-1)*GanttPeriod,EDATE(DATE(YEAR(GanttStart),MONTH(GanttStart)-IF(GanttPeriod&gt;=90,MOD(MONTH(GanttStart)-1,3),0),1),((COLUMN()-COLUMN(gantt_Origin))-1)*IF(GanttPeriod&gt;=90,3,1)))</f>
        <v>140</v>
      </c>
      <c r="FN5" s="125" t="n">
        <f aca="false">IF(GanttPeriod&lt;28,GanttStart+((COLUMN()-COLUMN(gantt_Origin))-1)*GanttPeriod,EDATE(DATE(YEAR(GanttStart),MONTH(GanttStart)-IF(GanttPeriod&gt;=90,MOD(MONTH(GanttStart)-1,3),0),1),((COLUMN()-COLUMN(gantt_Origin))-1)*IF(GanttPeriod&gt;=90,3,1)))</f>
        <v>141</v>
      </c>
      <c r="FO5" s="125" t="n">
        <f aca="false">IF(GanttPeriod&lt;28,GanttStart+((COLUMN()-COLUMN(gantt_Origin))-1)*GanttPeriod,EDATE(DATE(YEAR(GanttStart),MONTH(GanttStart)-IF(GanttPeriod&gt;=90,MOD(MONTH(GanttStart)-1,3),0),1),((COLUMN()-COLUMN(gantt_Origin))-1)*IF(GanttPeriod&gt;=90,3,1)))</f>
        <v>142</v>
      </c>
      <c r="FP5" s="125" t="n">
        <f aca="false">IF(GanttPeriod&lt;28,GanttStart+((COLUMN()-COLUMN(gantt_Origin))-1)*GanttPeriod,EDATE(DATE(YEAR(GanttStart),MONTH(GanttStart)-IF(GanttPeriod&gt;=90,MOD(MONTH(GanttStart)-1,3),0),1),((COLUMN()-COLUMN(gantt_Origin))-1)*IF(GanttPeriod&gt;=90,3,1)))</f>
        <v>143</v>
      </c>
      <c r="FQ5" s="125" t="n">
        <f aca="false">IF(GanttPeriod&lt;28,GanttStart+((COLUMN()-COLUMN(gantt_Origin))-1)*GanttPeriod,EDATE(DATE(YEAR(GanttStart),MONTH(GanttStart)-IF(GanttPeriod&gt;=90,MOD(MONTH(GanttStart)-1,3),0),1),((COLUMN()-COLUMN(gantt_Origin))-1)*IF(GanttPeriod&gt;=90,3,1)))</f>
        <v>144</v>
      </c>
    </row>
    <row r="6" customFormat="false" ht="15" hidden="false" customHeight="false" outlineLevel="0" collapsed="false">
      <c r="A6" s="126" t="str">
        <f aca="false">IF(IFERROR(INDEX(tsk_Name,GanttView[[#This Row],[_Row]])="",TRUE()),"",INDEX(tsk_ID,GanttView[[#This Row],[_Row]]))</f>
        <v/>
      </c>
      <c r="B6" s="126" t="str">
        <f aca="false">IF(IFERROR(INDEX(tsk_Name,GanttView[[#This Row],[_Row]])="",TRUE()),"",INDEX(tsk_WBS,GanttView[[#This Row],[_Row]]))</f>
        <v/>
      </c>
      <c r="C6" s="127" t="str">
        <f aca="false">IF(IFERROR(INDEX(tsk_Name,GanttView[[#This Row],[_Row]])="",TRUE()),"",REPT("    ",INDEX(tsk_Level,GanttView[[#This Row],[_Row]])-1)&amp;INDEX(tsk_Name,GanttView[[#This Row],[_Row]]))</f>
        <v/>
      </c>
      <c r="D6" s="126" t="str">
        <f aca="false">IF(IFERROR(INDEX(tsk_Name,GanttView[[#This Row],[_Row]])="",TRUE()),"",IF(INDEX(tsk_IsSummary,GanttView[[#This Row],[_Row]]),NETWORKDAYS.INTL(INDEX(tsk_FcStart,GanttView[[#This Row],[_Row]]),INDEX(tsk_FcFinish,GanttView[[#This Row],[_Row]]),WorkWeek,Holidays),N(INDEX(tsk_Duration,GanttView[[#This Row],[_Row]]))))</f>
        <v/>
      </c>
      <c r="E6" s="128" t="str">
        <f aca="false">IF(IFERROR(INDEX(tsk_Name,GanttView[[#This Row],[_Row]])="",TRUE()),"",INDEX(tsk_PlanStart,GanttView[[#This Row],[_Row]]))</f>
        <v/>
      </c>
      <c r="F6" s="128" t="str">
        <f aca="false">IF(IFERROR(INDEX(tsk_Name,GanttView[[#This Row],[_Row]])="",TRUE()),"",INDEX(tsk_PlanFinish,GanttView[[#This Row],[_Row]]))</f>
        <v/>
      </c>
      <c r="G6" s="128" t="str">
        <f aca="false">IF(IFERROR(INDEX(tsk_Name,GanttView[[#This Row],[_Row]])="",TRUE()),"",INDEX(tsk_FcStart,GanttView[[#This Row],[_Row]]))</f>
        <v/>
      </c>
      <c r="H6" s="128" t="str">
        <f aca="false">IF(IFERROR(INDEX(tsk_Name,GanttView[[#This Row],[_Row]])="",TRUE()),"",INDEX(tsk_FcFinish,GanttView[[#This Row],[_Row]]))</f>
        <v/>
      </c>
      <c r="I6" s="129" t="str">
        <f aca="false">IF(IFERROR(INDEX(tsk_Name,GanttView[[#This Row],[_Row]])="",TRUE()),"",INDEX(tsk_Progress,GanttView[[#This Row],[_Row]]))</f>
        <v/>
      </c>
      <c r="J6" s="127" t="str">
        <f aca="false">IF(IFERROR(INDEX(tsk_Name,GanttView[[#This Row],[_Row]])="",TRUE()),"",INDEX(tsk_ResourceNames,GanttView[[#This Row],[_Row]])&amp;"")</f>
        <v/>
      </c>
      <c r="K6" s="126" t="str">
        <f aca="false">IF(IFERROR(INDEX(tsk_Name,GanttView[[#This Row],[_Row]])="",TRUE()),"",INDEX(tsk_Status,GanttView[[#This Row],[_Row]]))</f>
        <v/>
      </c>
      <c r="L6" s="126" t="str">
        <f aca="false">IF(IFERROR(INDEX(tsk_Name,GanttView[[#This Row],[_Row]])="",TRUE()),"",INDEX(tsk_Show,GanttView[[#This Row],[_Row]])&amp;"")</f>
        <v/>
      </c>
      <c r="M6" s="130" t="n">
        <f aca="false">ROW()-ROW(GanttView[[#Headers],[ID]])</f>
        <v>1</v>
      </c>
      <c r="N6" s="131" t="b">
        <f aca="false">IF(IFERROR(INDEX(tsk_Name,GanttView[[#This Row],[_Row]])="",TRUE()),FALSE(),INDEX(tsk_IsSummary,GanttView[[#This Row],[_Row]]))</f>
        <v>0</v>
      </c>
      <c r="O6" s="131" t="b">
        <f aca="false">IF(IFERROR(INDEX(tsk_Name,GanttView[[#This Row],[_Row]])="",TRUE()),FALSE(),AND(INDEX(tsk_IsLeaf,GanttView[[#This Row],[_Row]])=1,N(INDEX(tsk_Duration,GanttView[[#This Row],[_Row]]))=0))</f>
        <v>0</v>
      </c>
      <c r="P6" s="132" t="n">
        <f aca="false">IF(IFERROR(INDEX(tsk_Name,GanttView[[#This Row],[_Row]])="",TRUE()),0,IF(AND(INDEX(tsk_IsLeaf,GanttView[[#This Row],[_Row]])=1,NOT(GanttView[[#This Row],[_IsMilestone]]),N(GanttView[[#This Row],[%]])&gt;0),GanttView[[#This Row],[Forecast Start]],0))</f>
        <v>0</v>
      </c>
      <c r="Q6" s="132" t="n">
        <f aca="false">IF(GanttView[[#This Row],[_DoneFrom]]=0,0,IF(GanttView[[#This Row],[%]]&gt;=1,GanttView[[#This Row],[Forecast Finish]],MAX(GanttView[[#This Row],[_DoneFrom]],GanttView[[#This Row],[Forecast Start]]+ROUND((GanttView[[#This Row],[Forecast Finish]]-GanttView[[#This Row],[Forecast Start]]+1)*GanttView[[#This Row],[%]],0)-1)))</f>
        <v>0</v>
      </c>
      <c r="R6" s="132" t="n">
        <f aca="false">IF(IFERROR(INDEX(tsk_Name,GanttView[[#This Row],[_Row]])="",TRUE()),0,IF(OR(INDEX(tsk_IsLeaf,GanttView[[#This Row],[_Row]])&lt;&gt;1,GanttView[[#This Row],[_IsMilestone]],N(GanttView[[#This Row],[%]])&gt;=1),0,IF(GanttView[[#This Row],[_DoneTo]]&gt;0,GanttView[[#This Row],[_DoneTo]]+1,GanttView[[#This Row],[Forecast Start]])))</f>
        <v>0</v>
      </c>
      <c r="S6" s="132" t="n">
        <f aca="false">IF(GanttView[[#This Row],[_RemFrom]]=0,0,GanttView[[#This Row],[Forecast Finish]])</f>
        <v>0</v>
      </c>
      <c r="T6" s="131" t="b">
        <f aca="false">IF(IFERROR(INDEX(tsk_Name,GanttView[[#This Row],[_Row]])="",TRUE()),FALSE(),N(INDEX(tsk_Variance,GanttView[[#This Row],[_Row]]))&gt;0)</f>
        <v>0</v>
      </c>
      <c r="U6" s="132" t="n">
        <f aca="false">IF(IFERROR(INDEX(tsk_Name,GanttView[[#This Row],[_Row]])="",TRUE()),0,N(INDEX(tsk_Deadline,GanttView[[#This Row],[_Row]])))</f>
        <v>0</v>
      </c>
      <c r="V6" s="131" t="b">
        <f aca="false">IF(IFERROR(INDEX(tsk_Name,GanttView[[#This Row],[_Row]])="",TRUE()),FALSE(),INDEX(tsk_Critical,GanttView[[#This Row],[_Row]])="Yes")</f>
        <v>0</v>
      </c>
    </row>
    <row r="7" customFormat="false" ht="15" hidden="false" customHeight="false" outlineLevel="0" collapsed="false">
      <c r="A7" s="126" t="str">
        <f aca="false">IF(IFERROR(INDEX(tsk_Name,GanttView[[#This Row],[_Row]])="",TRUE()),"",INDEX(tsk_ID,GanttView[[#This Row],[_Row]]))</f>
        <v/>
      </c>
      <c r="B7" s="126" t="str">
        <f aca="false">IF(IFERROR(INDEX(tsk_Name,GanttView[[#This Row],[_Row]])="",TRUE()),"",INDEX(tsk_WBS,GanttView[[#This Row],[_Row]]))</f>
        <v/>
      </c>
      <c r="C7" s="127" t="str">
        <f aca="false">IF(IFERROR(INDEX(tsk_Name,GanttView[[#This Row],[_Row]])="",TRUE()),"",REPT("    ",INDEX(tsk_Level,GanttView[[#This Row],[_Row]])-1)&amp;INDEX(tsk_Name,GanttView[[#This Row],[_Row]]))</f>
        <v/>
      </c>
      <c r="D7" s="126" t="str">
        <f aca="false">IF(IFERROR(INDEX(tsk_Name,GanttView[[#This Row],[_Row]])="",TRUE()),"",IF(INDEX(tsk_IsSummary,GanttView[[#This Row],[_Row]]),NETWORKDAYS.INTL(INDEX(tsk_FcStart,GanttView[[#This Row],[_Row]]),INDEX(tsk_FcFinish,GanttView[[#This Row],[_Row]]),WorkWeek,Holidays),N(INDEX(tsk_Duration,GanttView[[#This Row],[_Row]]))))</f>
        <v/>
      </c>
      <c r="E7" s="128" t="str">
        <f aca="false">IF(IFERROR(INDEX(tsk_Name,GanttView[[#This Row],[_Row]])="",TRUE()),"",INDEX(tsk_PlanStart,GanttView[[#This Row],[_Row]]))</f>
        <v/>
      </c>
      <c r="F7" s="128" t="str">
        <f aca="false">IF(IFERROR(INDEX(tsk_Name,GanttView[[#This Row],[_Row]])="",TRUE()),"",INDEX(tsk_PlanFinish,GanttView[[#This Row],[_Row]]))</f>
        <v/>
      </c>
      <c r="G7" s="128" t="str">
        <f aca="false">IF(IFERROR(INDEX(tsk_Name,GanttView[[#This Row],[_Row]])="",TRUE()),"",INDEX(tsk_FcStart,GanttView[[#This Row],[_Row]]))</f>
        <v/>
      </c>
      <c r="H7" s="128" t="str">
        <f aca="false">IF(IFERROR(INDEX(tsk_Name,GanttView[[#This Row],[_Row]])="",TRUE()),"",INDEX(tsk_FcFinish,GanttView[[#This Row],[_Row]]))</f>
        <v/>
      </c>
      <c r="I7" s="129" t="str">
        <f aca="false">IF(IFERROR(INDEX(tsk_Name,GanttView[[#This Row],[_Row]])="",TRUE()),"",INDEX(tsk_Progress,GanttView[[#This Row],[_Row]]))</f>
        <v/>
      </c>
      <c r="J7" s="127" t="str">
        <f aca="false">IF(IFERROR(INDEX(tsk_Name,GanttView[[#This Row],[_Row]])="",TRUE()),"",INDEX(tsk_ResourceNames,GanttView[[#This Row],[_Row]])&amp;"")</f>
        <v/>
      </c>
      <c r="K7" s="126" t="str">
        <f aca="false">IF(IFERROR(INDEX(tsk_Name,GanttView[[#This Row],[_Row]])="",TRUE()),"",INDEX(tsk_Status,GanttView[[#This Row],[_Row]]))</f>
        <v/>
      </c>
      <c r="L7" s="126" t="str">
        <f aca="false">IF(IFERROR(INDEX(tsk_Name,GanttView[[#This Row],[_Row]])="",TRUE()),"",INDEX(tsk_Show,GanttView[[#This Row],[_Row]])&amp;"")</f>
        <v/>
      </c>
      <c r="M7" s="130" t="n">
        <f aca="false">ROW()-ROW(GanttView[[#Headers],[ID]])</f>
        <v>2</v>
      </c>
      <c r="N7" s="131" t="b">
        <f aca="false">IF(IFERROR(INDEX(tsk_Name,GanttView[[#This Row],[_Row]])="",TRUE()),FALSE(),INDEX(tsk_IsSummary,GanttView[[#This Row],[_Row]]))</f>
        <v>0</v>
      </c>
      <c r="O7" s="131" t="b">
        <f aca="false">IF(IFERROR(INDEX(tsk_Name,GanttView[[#This Row],[_Row]])="",TRUE()),FALSE(),AND(INDEX(tsk_IsLeaf,GanttView[[#This Row],[_Row]])=1,N(INDEX(tsk_Duration,GanttView[[#This Row],[_Row]]))=0))</f>
        <v>0</v>
      </c>
      <c r="P7" s="132" t="n">
        <f aca="false">IF(IFERROR(INDEX(tsk_Name,GanttView[[#This Row],[_Row]])="",TRUE()),0,IF(AND(INDEX(tsk_IsLeaf,GanttView[[#This Row],[_Row]])=1,NOT(GanttView[[#This Row],[_IsMilestone]]),N(GanttView[[#This Row],[%]])&gt;0),GanttView[[#This Row],[Forecast Start]],0))</f>
        <v>0</v>
      </c>
      <c r="Q7" s="132" t="n">
        <f aca="false">IF(GanttView[[#This Row],[_DoneFrom]]=0,0,IF(GanttView[[#This Row],[%]]&gt;=1,GanttView[[#This Row],[Forecast Finish]],MAX(GanttView[[#This Row],[_DoneFrom]],GanttView[[#This Row],[Forecast Start]]+ROUND((GanttView[[#This Row],[Forecast Finish]]-GanttView[[#This Row],[Forecast Start]]+1)*GanttView[[#This Row],[%]],0)-1)))</f>
        <v>0</v>
      </c>
      <c r="R7" s="132" t="n">
        <f aca="false">IF(IFERROR(INDEX(tsk_Name,GanttView[[#This Row],[_Row]])="",TRUE()),0,IF(OR(INDEX(tsk_IsLeaf,GanttView[[#This Row],[_Row]])&lt;&gt;1,GanttView[[#This Row],[_IsMilestone]],N(GanttView[[#This Row],[%]])&gt;=1),0,IF(GanttView[[#This Row],[_DoneTo]]&gt;0,GanttView[[#This Row],[_DoneTo]]+1,GanttView[[#This Row],[Forecast Start]])))</f>
        <v>0</v>
      </c>
      <c r="S7" s="132" t="n">
        <f aca="false">IF(GanttView[[#This Row],[_RemFrom]]=0,0,GanttView[[#This Row],[Forecast Finish]])</f>
        <v>0</v>
      </c>
      <c r="T7" s="131" t="b">
        <f aca="false">IF(IFERROR(INDEX(tsk_Name,GanttView[[#This Row],[_Row]])="",TRUE()),FALSE(),N(INDEX(tsk_Variance,GanttView[[#This Row],[_Row]]))&gt;0)</f>
        <v>0</v>
      </c>
      <c r="U7" s="132" t="n">
        <f aca="false">IF(IFERROR(INDEX(tsk_Name,GanttView[[#This Row],[_Row]])="",TRUE()),0,N(INDEX(tsk_Deadline,GanttView[[#This Row],[_Row]])))</f>
        <v>0</v>
      </c>
      <c r="V7" s="131" t="b">
        <f aca="false">IF(IFERROR(INDEX(tsk_Name,GanttView[[#This Row],[_Row]])="",TRUE()),FALSE(),INDEX(tsk_Critical,GanttView[[#This Row],[_Row]])="Yes")</f>
        <v>0</v>
      </c>
    </row>
    <row r="8" customFormat="false" ht="15" hidden="false" customHeight="false" outlineLevel="0" collapsed="false">
      <c r="A8" s="126" t="str">
        <f aca="false">IF(IFERROR(INDEX(tsk_Name,GanttView[[#This Row],[_Row]])="",TRUE()),"",INDEX(tsk_ID,GanttView[[#This Row],[_Row]]))</f>
        <v/>
      </c>
      <c r="B8" s="126" t="str">
        <f aca="false">IF(IFERROR(INDEX(tsk_Name,GanttView[[#This Row],[_Row]])="",TRUE()),"",INDEX(tsk_WBS,GanttView[[#This Row],[_Row]]))</f>
        <v/>
      </c>
      <c r="C8" s="127" t="str">
        <f aca="false">IF(IFERROR(INDEX(tsk_Name,GanttView[[#This Row],[_Row]])="",TRUE()),"",REPT("    ",INDEX(tsk_Level,GanttView[[#This Row],[_Row]])-1)&amp;INDEX(tsk_Name,GanttView[[#This Row],[_Row]]))</f>
        <v/>
      </c>
      <c r="D8" s="126" t="str">
        <f aca="false">IF(IFERROR(INDEX(tsk_Name,GanttView[[#This Row],[_Row]])="",TRUE()),"",IF(INDEX(tsk_IsSummary,GanttView[[#This Row],[_Row]]),NETWORKDAYS.INTL(INDEX(tsk_FcStart,GanttView[[#This Row],[_Row]]),INDEX(tsk_FcFinish,GanttView[[#This Row],[_Row]]),WorkWeek,Holidays),N(INDEX(tsk_Duration,GanttView[[#This Row],[_Row]]))))</f>
        <v/>
      </c>
      <c r="E8" s="128" t="str">
        <f aca="false">IF(IFERROR(INDEX(tsk_Name,GanttView[[#This Row],[_Row]])="",TRUE()),"",INDEX(tsk_PlanStart,GanttView[[#This Row],[_Row]]))</f>
        <v/>
      </c>
      <c r="F8" s="128" t="str">
        <f aca="false">IF(IFERROR(INDEX(tsk_Name,GanttView[[#This Row],[_Row]])="",TRUE()),"",INDEX(tsk_PlanFinish,GanttView[[#This Row],[_Row]]))</f>
        <v/>
      </c>
      <c r="G8" s="128" t="str">
        <f aca="false">IF(IFERROR(INDEX(tsk_Name,GanttView[[#This Row],[_Row]])="",TRUE()),"",INDEX(tsk_FcStart,GanttView[[#This Row],[_Row]]))</f>
        <v/>
      </c>
      <c r="H8" s="128" t="str">
        <f aca="false">IF(IFERROR(INDEX(tsk_Name,GanttView[[#This Row],[_Row]])="",TRUE()),"",INDEX(tsk_FcFinish,GanttView[[#This Row],[_Row]]))</f>
        <v/>
      </c>
      <c r="I8" s="129" t="str">
        <f aca="false">IF(IFERROR(INDEX(tsk_Name,GanttView[[#This Row],[_Row]])="",TRUE()),"",INDEX(tsk_Progress,GanttView[[#This Row],[_Row]]))</f>
        <v/>
      </c>
      <c r="J8" s="127" t="str">
        <f aca="false">IF(IFERROR(INDEX(tsk_Name,GanttView[[#This Row],[_Row]])="",TRUE()),"",INDEX(tsk_ResourceNames,GanttView[[#This Row],[_Row]])&amp;"")</f>
        <v/>
      </c>
      <c r="K8" s="126" t="str">
        <f aca="false">IF(IFERROR(INDEX(tsk_Name,GanttView[[#This Row],[_Row]])="",TRUE()),"",INDEX(tsk_Status,GanttView[[#This Row],[_Row]]))</f>
        <v/>
      </c>
      <c r="L8" s="126" t="str">
        <f aca="false">IF(IFERROR(INDEX(tsk_Name,GanttView[[#This Row],[_Row]])="",TRUE()),"",INDEX(tsk_Show,GanttView[[#This Row],[_Row]])&amp;"")</f>
        <v/>
      </c>
      <c r="M8" s="130" t="n">
        <f aca="false">ROW()-ROW(GanttView[[#Headers],[ID]])</f>
        <v>3</v>
      </c>
      <c r="N8" s="131" t="b">
        <f aca="false">IF(IFERROR(INDEX(tsk_Name,GanttView[[#This Row],[_Row]])="",TRUE()),FALSE(),INDEX(tsk_IsSummary,GanttView[[#This Row],[_Row]]))</f>
        <v>0</v>
      </c>
      <c r="O8" s="131" t="b">
        <f aca="false">IF(IFERROR(INDEX(tsk_Name,GanttView[[#This Row],[_Row]])="",TRUE()),FALSE(),AND(INDEX(tsk_IsLeaf,GanttView[[#This Row],[_Row]])=1,N(INDEX(tsk_Duration,GanttView[[#This Row],[_Row]]))=0))</f>
        <v>0</v>
      </c>
      <c r="P8" s="132" t="n">
        <f aca="false">IF(IFERROR(INDEX(tsk_Name,GanttView[[#This Row],[_Row]])="",TRUE()),0,IF(AND(INDEX(tsk_IsLeaf,GanttView[[#This Row],[_Row]])=1,NOT(GanttView[[#This Row],[_IsMilestone]]),N(GanttView[[#This Row],[%]])&gt;0),GanttView[[#This Row],[Forecast Start]],0))</f>
        <v>0</v>
      </c>
      <c r="Q8" s="132" t="n">
        <f aca="false">IF(GanttView[[#This Row],[_DoneFrom]]=0,0,IF(GanttView[[#This Row],[%]]&gt;=1,GanttView[[#This Row],[Forecast Finish]],MAX(GanttView[[#This Row],[_DoneFrom]],GanttView[[#This Row],[Forecast Start]]+ROUND((GanttView[[#This Row],[Forecast Finish]]-GanttView[[#This Row],[Forecast Start]]+1)*GanttView[[#This Row],[%]],0)-1)))</f>
        <v>0</v>
      </c>
      <c r="R8" s="132" t="n">
        <f aca="false">IF(IFERROR(INDEX(tsk_Name,GanttView[[#This Row],[_Row]])="",TRUE()),0,IF(OR(INDEX(tsk_IsLeaf,GanttView[[#This Row],[_Row]])&lt;&gt;1,GanttView[[#This Row],[_IsMilestone]],N(GanttView[[#This Row],[%]])&gt;=1),0,IF(GanttView[[#This Row],[_DoneTo]]&gt;0,GanttView[[#This Row],[_DoneTo]]+1,GanttView[[#This Row],[Forecast Start]])))</f>
        <v>0</v>
      </c>
      <c r="S8" s="132" t="n">
        <f aca="false">IF(GanttView[[#This Row],[_RemFrom]]=0,0,GanttView[[#This Row],[Forecast Finish]])</f>
        <v>0</v>
      </c>
      <c r="T8" s="131" t="b">
        <f aca="false">IF(IFERROR(INDEX(tsk_Name,GanttView[[#This Row],[_Row]])="",TRUE()),FALSE(),N(INDEX(tsk_Variance,GanttView[[#This Row],[_Row]]))&gt;0)</f>
        <v>0</v>
      </c>
      <c r="U8" s="132" t="n">
        <f aca="false">IF(IFERROR(INDEX(tsk_Name,GanttView[[#This Row],[_Row]])="",TRUE()),0,N(INDEX(tsk_Deadline,GanttView[[#This Row],[_Row]])))</f>
        <v>0</v>
      </c>
      <c r="V8" s="131" t="b">
        <f aca="false">IF(IFERROR(INDEX(tsk_Name,GanttView[[#This Row],[_Row]])="",TRUE()),FALSE(),INDEX(tsk_Critical,GanttView[[#This Row],[_Row]])="Yes")</f>
        <v>0</v>
      </c>
    </row>
    <row r="9" customFormat="false" ht="15" hidden="false" customHeight="false" outlineLevel="0" collapsed="false">
      <c r="A9" s="126" t="str">
        <f aca="false">IF(IFERROR(INDEX(tsk_Name,GanttView[[#This Row],[_Row]])="",TRUE()),"",INDEX(tsk_ID,GanttView[[#This Row],[_Row]]))</f>
        <v/>
      </c>
      <c r="B9" s="126" t="str">
        <f aca="false">IF(IFERROR(INDEX(tsk_Name,GanttView[[#This Row],[_Row]])="",TRUE()),"",INDEX(tsk_WBS,GanttView[[#This Row],[_Row]]))</f>
        <v/>
      </c>
      <c r="C9" s="127" t="str">
        <f aca="false">IF(IFERROR(INDEX(tsk_Name,GanttView[[#This Row],[_Row]])="",TRUE()),"",REPT("    ",INDEX(tsk_Level,GanttView[[#This Row],[_Row]])-1)&amp;INDEX(tsk_Name,GanttView[[#This Row],[_Row]]))</f>
        <v/>
      </c>
      <c r="D9" s="126" t="str">
        <f aca="false">IF(IFERROR(INDEX(tsk_Name,GanttView[[#This Row],[_Row]])="",TRUE()),"",IF(INDEX(tsk_IsSummary,GanttView[[#This Row],[_Row]]),NETWORKDAYS.INTL(INDEX(tsk_FcStart,GanttView[[#This Row],[_Row]]),INDEX(tsk_FcFinish,GanttView[[#This Row],[_Row]]),WorkWeek,Holidays),N(INDEX(tsk_Duration,GanttView[[#This Row],[_Row]]))))</f>
        <v/>
      </c>
      <c r="E9" s="128" t="str">
        <f aca="false">IF(IFERROR(INDEX(tsk_Name,GanttView[[#This Row],[_Row]])="",TRUE()),"",INDEX(tsk_PlanStart,GanttView[[#This Row],[_Row]]))</f>
        <v/>
      </c>
      <c r="F9" s="128" t="str">
        <f aca="false">IF(IFERROR(INDEX(tsk_Name,GanttView[[#This Row],[_Row]])="",TRUE()),"",INDEX(tsk_PlanFinish,GanttView[[#This Row],[_Row]]))</f>
        <v/>
      </c>
      <c r="G9" s="128" t="str">
        <f aca="false">IF(IFERROR(INDEX(tsk_Name,GanttView[[#This Row],[_Row]])="",TRUE()),"",INDEX(tsk_FcStart,GanttView[[#This Row],[_Row]]))</f>
        <v/>
      </c>
      <c r="H9" s="128" t="str">
        <f aca="false">IF(IFERROR(INDEX(tsk_Name,GanttView[[#This Row],[_Row]])="",TRUE()),"",INDEX(tsk_FcFinish,GanttView[[#This Row],[_Row]]))</f>
        <v/>
      </c>
      <c r="I9" s="129" t="str">
        <f aca="false">IF(IFERROR(INDEX(tsk_Name,GanttView[[#This Row],[_Row]])="",TRUE()),"",INDEX(tsk_Progress,GanttView[[#This Row],[_Row]]))</f>
        <v/>
      </c>
      <c r="J9" s="127" t="str">
        <f aca="false">IF(IFERROR(INDEX(tsk_Name,GanttView[[#This Row],[_Row]])="",TRUE()),"",INDEX(tsk_ResourceNames,GanttView[[#This Row],[_Row]])&amp;"")</f>
        <v/>
      </c>
      <c r="K9" s="126" t="str">
        <f aca="false">IF(IFERROR(INDEX(tsk_Name,GanttView[[#This Row],[_Row]])="",TRUE()),"",INDEX(tsk_Status,GanttView[[#This Row],[_Row]]))</f>
        <v/>
      </c>
      <c r="L9" s="126" t="str">
        <f aca="false">IF(IFERROR(INDEX(tsk_Name,GanttView[[#This Row],[_Row]])="",TRUE()),"",INDEX(tsk_Show,GanttView[[#This Row],[_Row]])&amp;"")</f>
        <v/>
      </c>
      <c r="M9" s="130" t="n">
        <f aca="false">ROW()-ROW(GanttView[[#Headers],[ID]])</f>
        <v>4</v>
      </c>
      <c r="N9" s="131" t="b">
        <f aca="false">IF(IFERROR(INDEX(tsk_Name,GanttView[[#This Row],[_Row]])="",TRUE()),FALSE(),INDEX(tsk_IsSummary,GanttView[[#This Row],[_Row]]))</f>
        <v>0</v>
      </c>
      <c r="O9" s="131" t="b">
        <f aca="false">IF(IFERROR(INDEX(tsk_Name,GanttView[[#This Row],[_Row]])="",TRUE()),FALSE(),AND(INDEX(tsk_IsLeaf,GanttView[[#This Row],[_Row]])=1,N(INDEX(tsk_Duration,GanttView[[#This Row],[_Row]]))=0))</f>
        <v>0</v>
      </c>
      <c r="P9" s="132" t="n">
        <f aca="false">IF(IFERROR(INDEX(tsk_Name,GanttView[[#This Row],[_Row]])="",TRUE()),0,IF(AND(INDEX(tsk_IsLeaf,GanttView[[#This Row],[_Row]])=1,NOT(GanttView[[#This Row],[_IsMilestone]]),N(GanttView[[#This Row],[%]])&gt;0),GanttView[[#This Row],[Forecast Start]],0))</f>
        <v>0</v>
      </c>
      <c r="Q9" s="132" t="n">
        <f aca="false">IF(GanttView[[#This Row],[_DoneFrom]]=0,0,IF(GanttView[[#This Row],[%]]&gt;=1,GanttView[[#This Row],[Forecast Finish]],MAX(GanttView[[#This Row],[_DoneFrom]],GanttView[[#This Row],[Forecast Start]]+ROUND((GanttView[[#This Row],[Forecast Finish]]-GanttView[[#This Row],[Forecast Start]]+1)*GanttView[[#This Row],[%]],0)-1)))</f>
        <v>0</v>
      </c>
      <c r="R9" s="132" t="n">
        <f aca="false">IF(IFERROR(INDEX(tsk_Name,GanttView[[#This Row],[_Row]])="",TRUE()),0,IF(OR(INDEX(tsk_IsLeaf,GanttView[[#This Row],[_Row]])&lt;&gt;1,GanttView[[#This Row],[_IsMilestone]],N(GanttView[[#This Row],[%]])&gt;=1),0,IF(GanttView[[#This Row],[_DoneTo]]&gt;0,GanttView[[#This Row],[_DoneTo]]+1,GanttView[[#This Row],[Forecast Start]])))</f>
        <v>0</v>
      </c>
      <c r="S9" s="132" t="n">
        <f aca="false">IF(GanttView[[#This Row],[_RemFrom]]=0,0,GanttView[[#This Row],[Forecast Finish]])</f>
        <v>0</v>
      </c>
      <c r="T9" s="131" t="b">
        <f aca="false">IF(IFERROR(INDEX(tsk_Name,GanttView[[#This Row],[_Row]])="",TRUE()),FALSE(),N(INDEX(tsk_Variance,GanttView[[#This Row],[_Row]]))&gt;0)</f>
        <v>0</v>
      </c>
      <c r="U9" s="132" t="n">
        <f aca="false">IF(IFERROR(INDEX(tsk_Name,GanttView[[#This Row],[_Row]])="",TRUE()),0,N(INDEX(tsk_Deadline,GanttView[[#This Row],[_Row]])))</f>
        <v>0</v>
      </c>
      <c r="V9" s="131" t="b">
        <f aca="false">IF(IFERROR(INDEX(tsk_Name,GanttView[[#This Row],[_Row]])="",TRUE()),FALSE(),INDEX(tsk_Critical,GanttView[[#This Row],[_Row]])="Yes")</f>
        <v>0</v>
      </c>
    </row>
    <row r="10" customFormat="false" ht="15" hidden="false" customHeight="false" outlineLevel="0" collapsed="false">
      <c r="A10" s="126" t="str">
        <f aca="false">IF(IFERROR(INDEX(tsk_Name,GanttView[[#This Row],[_Row]])="",TRUE()),"",INDEX(tsk_ID,GanttView[[#This Row],[_Row]]))</f>
        <v/>
      </c>
      <c r="B10" s="126" t="str">
        <f aca="false">IF(IFERROR(INDEX(tsk_Name,GanttView[[#This Row],[_Row]])="",TRUE()),"",INDEX(tsk_WBS,GanttView[[#This Row],[_Row]]))</f>
        <v/>
      </c>
      <c r="C10" s="127" t="str">
        <f aca="false">IF(IFERROR(INDEX(tsk_Name,GanttView[[#This Row],[_Row]])="",TRUE()),"",REPT("    ",INDEX(tsk_Level,GanttView[[#This Row],[_Row]])-1)&amp;INDEX(tsk_Name,GanttView[[#This Row],[_Row]]))</f>
        <v/>
      </c>
      <c r="D10" s="126" t="str">
        <f aca="false">IF(IFERROR(INDEX(tsk_Name,GanttView[[#This Row],[_Row]])="",TRUE()),"",IF(INDEX(tsk_IsSummary,GanttView[[#This Row],[_Row]]),NETWORKDAYS.INTL(INDEX(tsk_FcStart,GanttView[[#This Row],[_Row]]),INDEX(tsk_FcFinish,GanttView[[#This Row],[_Row]]),WorkWeek,Holidays),N(INDEX(tsk_Duration,GanttView[[#This Row],[_Row]]))))</f>
        <v/>
      </c>
      <c r="E10" s="128" t="str">
        <f aca="false">IF(IFERROR(INDEX(tsk_Name,GanttView[[#This Row],[_Row]])="",TRUE()),"",INDEX(tsk_PlanStart,GanttView[[#This Row],[_Row]]))</f>
        <v/>
      </c>
      <c r="F10" s="128" t="str">
        <f aca="false">IF(IFERROR(INDEX(tsk_Name,GanttView[[#This Row],[_Row]])="",TRUE()),"",INDEX(tsk_PlanFinish,GanttView[[#This Row],[_Row]]))</f>
        <v/>
      </c>
      <c r="G10" s="128" t="str">
        <f aca="false">IF(IFERROR(INDEX(tsk_Name,GanttView[[#This Row],[_Row]])="",TRUE()),"",INDEX(tsk_FcStart,GanttView[[#This Row],[_Row]]))</f>
        <v/>
      </c>
      <c r="H10" s="128" t="str">
        <f aca="false">IF(IFERROR(INDEX(tsk_Name,GanttView[[#This Row],[_Row]])="",TRUE()),"",INDEX(tsk_FcFinish,GanttView[[#This Row],[_Row]]))</f>
        <v/>
      </c>
      <c r="I10" s="129" t="str">
        <f aca="false">IF(IFERROR(INDEX(tsk_Name,GanttView[[#This Row],[_Row]])="",TRUE()),"",INDEX(tsk_Progress,GanttView[[#This Row],[_Row]]))</f>
        <v/>
      </c>
      <c r="J10" s="127" t="str">
        <f aca="false">IF(IFERROR(INDEX(tsk_Name,GanttView[[#This Row],[_Row]])="",TRUE()),"",INDEX(tsk_ResourceNames,GanttView[[#This Row],[_Row]])&amp;"")</f>
        <v/>
      </c>
      <c r="K10" s="126" t="str">
        <f aca="false">IF(IFERROR(INDEX(tsk_Name,GanttView[[#This Row],[_Row]])="",TRUE()),"",INDEX(tsk_Status,GanttView[[#This Row],[_Row]]))</f>
        <v/>
      </c>
      <c r="L10" s="126" t="str">
        <f aca="false">IF(IFERROR(INDEX(tsk_Name,GanttView[[#This Row],[_Row]])="",TRUE()),"",INDEX(tsk_Show,GanttView[[#This Row],[_Row]])&amp;"")</f>
        <v/>
      </c>
      <c r="M10" s="130" t="n">
        <f aca="false">ROW()-ROW(GanttView[[#Headers],[ID]])</f>
        <v>5</v>
      </c>
      <c r="N10" s="131" t="b">
        <f aca="false">IF(IFERROR(INDEX(tsk_Name,GanttView[[#This Row],[_Row]])="",TRUE()),FALSE(),INDEX(tsk_IsSummary,GanttView[[#This Row],[_Row]]))</f>
        <v>0</v>
      </c>
      <c r="O10" s="131" t="b">
        <f aca="false">IF(IFERROR(INDEX(tsk_Name,GanttView[[#This Row],[_Row]])="",TRUE()),FALSE(),AND(INDEX(tsk_IsLeaf,GanttView[[#This Row],[_Row]])=1,N(INDEX(tsk_Duration,GanttView[[#This Row],[_Row]]))=0))</f>
        <v>0</v>
      </c>
      <c r="P10" s="132" t="n">
        <f aca="false">IF(IFERROR(INDEX(tsk_Name,GanttView[[#This Row],[_Row]])="",TRUE()),0,IF(AND(INDEX(tsk_IsLeaf,GanttView[[#This Row],[_Row]])=1,NOT(GanttView[[#This Row],[_IsMilestone]]),N(GanttView[[#This Row],[%]])&gt;0),GanttView[[#This Row],[Forecast Start]],0))</f>
        <v>0</v>
      </c>
      <c r="Q10" s="132" t="n">
        <f aca="false">IF(GanttView[[#This Row],[_DoneFrom]]=0,0,IF(GanttView[[#This Row],[%]]&gt;=1,GanttView[[#This Row],[Forecast Finish]],MAX(GanttView[[#This Row],[_DoneFrom]],GanttView[[#This Row],[Forecast Start]]+ROUND((GanttView[[#This Row],[Forecast Finish]]-GanttView[[#This Row],[Forecast Start]]+1)*GanttView[[#This Row],[%]],0)-1)))</f>
        <v>0</v>
      </c>
      <c r="R10" s="132" t="n">
        <f aca="false">IF(IFERROR(INDEX(tsk_Name,GanttView[[#This Row],[_Row]])="",TRUE()),0,IF(OR(INDEX(tsk_IsLeaf,GanttView[[#This Row],[_Row]])&lt;&gt;1,GanttView[[#This Row],[_IsMilestone]],N(GanttView[[#This Row],[%]])&gt;=1),0,IF(GanttView[[#This Row],[_DoneTo]]&gt;0,GanttView[[#This Row],[_DoneTo]]+1,GanttView[[#This Row],[Forecast Start]])))</f>
        <v>0</v>
      </c>
      <c r="S10" s="132" t="n">
        <f aca="false">IF(GanttView[[#This Row],[_RemFrom]]=0,0,GanttView[[#This Row],[Forecast Finish]])</f>
        <v>0</v>
      </c>
      <c r="T10" s="131" t="b">
        <f aca="false">IF(IFERROR(INDEX(tsk_Name,GanttView[[#This Row],[_Row]])="",TRUE()),FALSE(),N(INDEX(tsk_Variance,GanttView[[#This Row],[_Row]]))&gt;0)</f>
        <v>0</v>
      </c>
      <c r="U10" s="132" t="n">
        <f aca="false">IF(IFERROR(INDEX(tsk_Name,GanttView[[#This Row],[_Row]])="",TRUE()),0,N(INDEX(tsk_Deadline,GanttView[[#This Row],[_Row]])))</f>
        <v>0</v>
      </c>
      <c r="V10" s="131" t="b">
        <f aca="false">IF(IFERROR(INDEX(tsk_Name,GanttView[[#This Row],[_Row]])="",TRUE()),FALSE(),INDEX(tsk_Critical,GanttView[[#This Row],[_Row]])="Yes")</f>
        <v>0</v>
      </c>
    </row>
    <row r="11" customFormat="false" ht="15" hidden="false" customHeight="false" outlineLevel="0" collapsed="false">
      <c r="A11" s="126" t="str">
        <f aca="false">IF(IFERROR(INDEX(tsk_Name,GanttView[[#This Row],[_Row]])="",TRUE()),"",INDEX(tsk_ID,GanttView[[#This Row],[_Row]]))</f>
        <v/>
      </c>
      <c r="B11" s="126" t="str">
        <f aca="false">IF(IFERROR(INDEX(tsk_Name,GanttView[[#This Row],[_Row]])="",TRUE()),"",INDEX(tsk_WBS,GanttView[[#This Row],[_Row]]))</f>
        <v/>
      </c>
      <c r="C11" s="127" t="str">
        <f aca="false">IF(IFERROR(INDEX(tsk_Name,GanttView[[#This Row],[_Row]])="",TRUE()),"",REPT("    ",INDEX(tsk_Level,GanttView[[#This Row],[_Row]])-1)&amp;INDEX(tsk_Name,GanttView[[#This Row],[_Row]]))</f>
        <v/>
      </c>
      <c r="D11" s="126" t="str">
        <f aca="false">IF(IFERROR(INDEX(tsk_Name,GanttView[[#This Row],[_Row]])="",TRUE()),"",IF(INDEX(tsk_IsSummary,GanttView[[#This Row],[_Row]]),NETWORKDAYS.INTL(INDEX(tsk_FcStart,GanttView[[#This Row],[_Row]]),INDEX(tsk_FcFinish,GanttView[[#This Row],[_Row]]),WorkWeek,Holidays),N(INDEX(tsk_Duration,GanttView[[#This Row],[_Row]]))))</f>
        <v/>
      </c>
      <c r="E11" s="128" t="str">
        <f aca="false">IF(IFERROR(INDEX(tsk_Name,GanttView[[#This Row],[_Row]])="",TRUE()),"",INDEX(tsk_PlanStart,GanttView[[#This Row],[_Row]]))</f>
        <v/>
      </c>
      <c r="F11" s="128" t="str">
        <f aca="false">IF(IFERROR(INDEX(tsk_Name,GanttView[[#This Row],[_Row]])="",TRUE()),"",INDEX(tsk_PlanFinish,GanttView[[#This Row],[_Row]]))</f>
        <v/>
      </c>
      <c r="G11" s="128" t="str">
        <f aca="false">IF(IFERROR(INDEX(tsk_Name,GanttView[[#This Row],[_Row]])="",TRUE()),"",INDEX(tsk_FcStart,GanttView[[#This Row],[_Row]]))</f>
        <v/>
      </c>
      <c r="H11" s="128" t="str">
        <f aca="false">IF(IFERROR(INDEX(tsk_Name,GanttView[[#This Row],[_Row]])="",TRUE()),"",INDEX(tsk_FcFinish,GanttView[[#This Row],[_Row]]))</f>
        <v/>
      </c>
      <c r="I11" s="129" t="str">
        <f aca="false">IF(IFERROR(INDEX(tsk_Name,GanttView[[#This Row],[_Row]])="",TRUE()),"",INDEX(tsk_Progress,GanttView[[#This Row],[_Row]]))</f>
        <v/>
      </c>
      <c r="J11" s="127" t="str">
        <f aca="false">IF(IFERROR(INDEX(tsk_Name,GanttView[[#This Row],[_Row]])="",TRUE()),"",INDEX(tsk_ResourceNames,GanttView[[#This Row],[_Row]])&amp;"")</f>
        <v/>
      </c>
      <c r="K11" s="126" t="str">
        <f aca="false">IF(IFERROR(INDEX(tsk_Name,GanttView[[#This Row],[_Row]])="",TRUE()),"",INDEX(tsk_Status,GanttView[[#This Row],[_Row]]))</f>
        <v/>
      </c>
      <c r="L11" s="126" t="str">
        <f aca="false">IF(IFERROR(INDEX(tsk_Name,GanttView[[#This Row],[_Row]])="",TRUE()),"",INDEX(tsk_Show,GanttView[[#This Row],[_Row]])&amp;"")</f>
        <v/>
      </c>
      <c r="M11" s="130" t="n">
        <f aca="false">ROW()-ROW(GanttView[[#Headers],[ID]])</f>
        <v>6</v>
      </c>
      <c r="N11" s="131" t="b">
        <f aca="false">IF(IFERROR(INDEX(tsk_Name,GanttView[[#This Row],[_Row]])="",TRUE()),FALSE(),INDEX(tsk_IsSummary,GanttView[[#This Row],[_Row]]))</f>
        <v>0</v>
      </c>
      <c r="O11" s="131" t="b">
        <f aca="false">IF(IFERROR(INDEX(tsk_Name,GanttView[[#This Row],[_Row]])="",TRUE()),FALSE(),AND(INDEX(tsk_IsLeaf,GanttView[[#This Row],[_Row]])=1,N(INDEX(tsk_Duration,GanttView[[#This Row],[_Row]]))=0))</f>
        <v>0</v>
      </c>
      <c r="P11" s="132" t="n">
        <f aca="false">IF(IFERROR(INDEX(tsk_Name,GanttView[[#This Row],[_Row]])="",TRUE()),0,IF(AND(INDEX(tsk_IsLeaf,GanttView[[#This Row],[_Row]])=1,NOT(GanttView[[#This Row],[_IsMilestone]]),N(GanttView[[#This Row],[%]])&gt;0),GanttView[[#This Row],[Forecast Start]],0))</f>
        <v>0</v>
      </c>
      <c r="Q11" s="132" t="n">
        <f aca="false">IF(GanttView[[#This Row],[_DoneFrom]]=0,0,IF(GanttView[[#This Row],[%]]&gt;=1,GanttView[[#This Row],[Forecast Finish]],MAX(GanttView[[#This Row],[_DoneFrom]],GanttView[[#This Row],[Forecast Start]]+ROUND((GanttView[[#This Row],[Forecast Finish]]-GanttView[[#This Row],[Forecast Start]]+1)*GanttView[[#This Row],[%]],0)-1)))</f>
        <v>0</v>
      </c>
      <c r="R11" s="132" t="n">
        <f aca="false">IF(IFERROR(INDEX(tsk_Name,GanttView[[#This Row],[_Row]])="",TRUE()),0,IF(OR(INDEX(tsk_IsLeaf,GanttView[[#This Row],[_Row]])&lt;&gt;1,GanttView[[#This Row],[_IsMilestone]],N(GanttView[[#This Row],[%]])&gt;=1),0,IF(GanttView[[#This Row],[_DoneTo]]&gt;0,GanttView[[#This Row],[_DoneTo]]+1,GanttView[[#This Row],[Forecast Start]])))</f>
        <v>0</v>
      </c>
      <c r="S11" s="132" t="n">
        <f aca="false">IF(GanttView[[#This Row],[_RemFrom]]=0,0,GanttView[[#This Row],[Forecast Finish]])</f>
        <v>0</v>
      </c>
      <c r="T11" s="131" t="b">
        <f aca="false">IF(IFERROR(INDEX(tsk_Name,GanttView[[#This Row],[_Row]])="",TRUE()),FALSE(),N(INDEX(tsk_Variance,GanttView[[#This Row],[_Row]]))&gt;0)</f>
        <v>0</v>
      </c>
      <c r="U11" s="132" t="n">
        <f aca="false">IF(IFERROR(INDEX(tsk_Name,GanttView[[#This Row],[_Row]])="",TRUE()),0,N(INDEX(tsk_Deadline,GanttView[[#This Row],[_Row]])))</f>
        <v>0</v>
      </c>
      <c r="V11" s="131" t="b">
        <f aca="false">IF(IFERROR(INDEX(tsk_Name,GanttView[[#This Row],[_Row]])="",TRUE()),FALSE(),INDEX(tsk_Critical,GanttView[[#This Row],[_Row]])="Yes")</f>
        <v>0</v>
      </c>
    </row>
    <row r="12" customFormat="false" ht="15" hidden="false" customHeight="false" outlineLevel="0" collapsed="false">
      <c r="A12" s="126" t="str">
        <f aca="false">IF(IFERROR(INDEX(tsk_Name,GanttView[[#This Row],[_Row]])="",TRUE()),"",INDEX(tsk_ID,GanttView[[#This Row],[_Row]]))</f>
        <v/>
      </c>
      <c r="B12" s="126" t="str">
        <f aca="false">IF(IFERROR(INDEX(tsk_Name,GanttView[[#This Row],[_Row]])="",TRUE()),"",INDEX(tsk_WBS,GanttView[[#This Row],[_Row]]))</f>
        <v/>
      </c>
      <c r="C12" s="127" t="str">
        <f aca="false">IF(IFERROR(INDEX(tsk_Name,GanttView[[#This Row],[_Row]])="",TRUE()),"",REPT("    ",INDEX(tsk_Level,GanttView[[#This Row],[_Row]])-1)&amp;INDEX(tsk_Name,GanttView[[#This Row],[_Row]]))</f>
        <v/>
      </c>
      <c r="D12" s="126" t="str">
        <f aca="false">IF(IFERROR(INDEX(tsk_Name,GanttView[[#This Row],[_Row]])="",TRUE()),"",IF(INDEX(tsk_IsSummary,GanttView[[#This Row],[_Row]]),NETWORKDAYS.INTL(INDEX(tsk_FcStart,GanttView[[#This Row],[_Row]]),INDEX(tsk_FcFinish,GanttView[[#This Row],[_Row]]),WorkWeek,Holidays),N(INDEX(tsk_Duration,GanttView[[#This Row],[_Row]]))))</f>
        <v/>
      </c>
      <c r="E12" s="128" t="str">
        <f aca="false">IF(IFERROR(INDEX(tsk_Name,GanttView[[#This Row],[_Row]])="",TRUE()),"",INDEX(tsk_PlanStart,GanttView[[#This Row],[_Row]]))</f>
        <v/>
      </c>
      <c r="F12" s="128" t="str">
        <f aca="false">IF(IFERROR(INDEX(tsk_Name,GanttView[[#This Row],[_Row]])="",TRUE()),"",INDEX(tsk_PlanFinish,GanttView[[#This Row],[_Row]]))</f>
        <v/>
      </c>
      <c r="G12" s="128" t="str">
        <f aca="false">IF(IFERROR(INDEX(tsk_Name,GanttView[[#This Row],[_Row]])="",TRUE()),"",INDEX(tsk_FcStart,GanttView[[#This Row],[_Row]]))</f>
        <v/>
      </c>
      <c r="H12" s="128" t="str">
        <f aca="false">IF(IFERROR(INDEX(tsk_Name,GanttView[[#This Row],[_Row]])="",TRUE()),"",INDEX(tsk_FcFinish,GanttView[[#This Row],[_Row]]))</f>
        <v/>
      </c>
      <c r="I12" s="129" t="str">
        <f aca="false">IF(IFERROR(INDEX(tsk_Name,GanttView[[#This Row],[_Row]])="",TRUE()),"",INDEX(tsk_Progress,GanttView[[#This Row],[_Row]]))</f>
        <v/>
      </c>
      <c r="J12" s="127" t="str">
        <f aca="false">IF(IFERROR(INDEX(tsk_Name,GanttView[[#This Row],[_Row]])="",TRUE()),"",INDEX(tsk_ResourceNames,GanttView[[#This Row],[_Row]])&amp;"")</f>
        <v/>
      </c>
      <c r="K12" s="126" t="str">
        <f aca="false">IF(IFERROR(INDEX(tsk_Name,GanttView[[#This Row],[_Row]])="",TRUE()),"",INDEX(tsk_Status,GanttView[[#This Row],[_Row]]))</f>
        <v/>
      </c>
      <c r="L12" s="126" t="str">
        <f aca="false">IF(IFERROR(INDEX(tsk_Name,GanttView[[#This Row],[_Row]])="",TRUE()),"",INDEX(tsk_Show,GanttView[[#This Row],[_Row]])&amp;"")</f>
        <v/>
      </c>
      <c r="M12" s="130" t="n">
        <f aca="false">ROW()-ROW(GanttView[[#Headers],[ID]])</f>
        <v>7</v>
      </c>
      <c r="N12" s="131" t="b">
        <f aca="false">IF(IFERROR(INDEX(tsk_Name,GanttView[[#This Row],[_Row]])="",TRUE()),FALSE(),INDEX(tsk_IsSummary,GanttView[[#This Row],[_Row]]))</f>
        <v>0</v>
      </c>
      <c r="O12" s="131" t="b">
        <f aca="false">IF(IFERROR(INDEX(tsk_Name,GanttView[[#This Row],[_Row]])="",TRUE()),FALSE(),AND(INDEX(tsk_IsLeaf,GanttView[[#This Row],[_Row]])=1,N(INDEX(tsk_Duration,GanttView[[#This Row],[_Row]]))=0))</f>
        <v>0</v>
      </c>
      <c r="P12" s="132" t="n">
        <f aca="false">IF(IFERROR(INDEX(tsk_Name,GanttView[[#This Row],[_Row]])="",TRUE()),0,IF(AND(INDEX(tsk_IsLeaf,GanttView[[#This Row],[_Row]])=1,NOT(GanttView[[#This Row],[_IsMilestone]]),N(GanttView[[#This Row],[%]])&gt;0),GanttView[[#This Row],[Forecast Start]],0))</f>
        <v>0</v>
      </c>
      <c r="Q12" s="132" t="n">
        <f aca="false">IF(GanttView[[#This Row],[_DoneFrom]]=0,0,IF(GanttView[[#This Row],[%]]&gt;=1,GanttView[[#This Row],[Forecast Finish]],MAX(GanttView[[#This Row],[_DoneFrom]],GanttView[[#This Row],[Forecast Start]]+ROUND((GanttView[[#This Row],[Forecast Finish]]-GanttView[[#This Row],[Forecast Start]]+1)*GanttView[[#This Row],[%]],0)-1)))</f>
        <v>0</v>
      </c>
      <c r="R12" s="132" t="n">
        <f aca="false">IF(IFERROR(INDEX(tsk_Name,GanttView[[#This Row],[_Row]])="",TRUE()),0,IF(OR(INDEX(tsk_IsLeaf,GanttView[[#This Row],[_Row]])&lt;&gt;1,GanttView[[#This Row],[_IsMilestone]],N(GanttView[[#This Row],[%]])&gt;=1),0,IF(GanttView[[#This Row],[_DoneTo]]&gt;0,GanttView[[#This Row],[_DoneTo]]+1,GanttView[[#This Row],[Forecast Start]])))</f>
        <v>0</v>
      </c>
      <c r="S12" s="132" t="n">
        <f aca="false">IF(GanttView[[#This Row],[_RemFrom]]=0,0,GanttView[[#This Row],[Forecast Finish]])</f>
        <v>0</v>
      </c>
      <c r="T12" s="131" t="b">
        <f aca="false">IF(IFERROR(INDEX(tsk_Name,GanttView[[#This Row],[_Row]])="",TRUE()),FALSE(),N(INDEX(tsk_Variance,GanttView[[#This Row],[_Row]]))&gt;0)</f>
        <v>0</v>
      </c>
      <c r="U12" s="132" t="n">
        <f aca="false">IF(IFERROR(INDEX(tsk_Name,GanttView[[#This Row],[_Row]])="",TRUE()),0,N(INDEX(tsk_Deadline,GanttView[[#This Row],[_Row]])))</f>
        <v>0</v>
      </c>
      <c r="V12" s="131" t="b">
        <f aca="false">IF(IFERROR(INDEX(tsk_Name,GanttView[[#This Row],[_Row]])="",TRUE()),FALSE(),INDEX(tsk_Critical,GanttView[[#This Row],[_Row]])="Yes")</f>
        <v>0</v>
      </c>
    </row>
    <row r="13" customFormat="false" ht="15" hidden="false" customHeight="false" outlineLevel="0" collapsed="false">
      <c r="A13" s="126" t="str">
        <f aca="false">IF(IFERROR(INDEX(tsk_Name,GanttView[[#This Row],[_Row]])="",TRUE()),"",INDEX(tsk_ID,GanttView[[#This Row],[_Row]]))</f>
        <v/>
      </c>
      <c r="B13" s="126" t="str">
        <f aca="false">IF(IFERROR(INDEX(tsk_Name,GanttView[[#This Row],[_Row]])="",TRUE()),"",INDEX(tsk_WBS,GanttView[[#This Row],[_Row]]))</f>
        <v/>
      </c>
      <c r="C13" s="127" t="str">
        <f aca="false">IF(IFERROR(INDEX(tsk_Name,GanttView[[#This Row],[_Row]])="",TRUE()),"",REPT("    ",INDEX(tsk_Level,GanttView[[#This Row],[_Row]])-1)&amp;INDEX(tsk_Name,GanttView[[#This Row],[_Row]]))</f>
        <v/>
      </c>
      <c r="D13" s="126" t="str">
        <f aca="false">IF(IFERROR(INDEX(tsk_Name,GanttView[[#This Row],[_Row]])="",TRUE()),"",IF(INDEX(tsk_IsSummary,GanttView[[#This Row],[_Row]]),NETWORKDAYS.INTL(INDEX(tsk_FcStart,GanttView[[#This Row],[_Row]]),INDEX(tsk_FcFinish,GanttView[[#This Row],[_Row]]),WorkWeek,Holidays),N(INDEX(tsk_Duration,GanttView[[#This Row],[_Row]]))))</f>
        <v/>
      </c>
      <c r="E13" s="128" t="str">
        <f aca="false">IF(IFERROR(INDEX(tsk_Name,GanttView[[#This Row],[_Row]])="",TRUE()),"",INDEX(tsk_PlanStart,GanttView[[#This Row],[_Row]]))</f>
        <v/>
      </c>
      <c r="F13" s="128" t="str">
        <f aca="false">IF(IFERROR(INDEX(tsk_Name,GanttView[[#This Row],[_Row]])="",TRUE()),"",INDEX(tsk_PlanFinish,GanttView[[#This Row],[_Row]]))</f>
        <v/>
      </c>
      <c r="G13" s="128" t="str">
        <f aca="false">IF(IFERROR(INDEX(tsk_Name,GanttView[[#This Row],[_Row]])="",TRUE()),"",INDEX(tsk_FcStart,GanttView[[#This Row],[_Row]]))</f>
        <v/>
      </c>
      <c r="H13" s="128" t="str">
        <f aca="false">IF(IFERROR(INDEX(tsk_Name,GanttView[[#This Row],[_Row]])="",TRUE()),"",INDEX(tsk_FcFinish,GanttView[[#This Row],[_Row]]))</f>
        <v/>
      </c>
      <c r="I13" s="129" t="str">
        <f aca="false">IF(IFERROR(INDEX(tsk_Name,GanttView[[#This Row],[_Row]])="",TRUE()),"",INDEX(tsk_Progress,GanttView[[#This Row],[_Row]]))</f>
        <v/>
      </c>
      <c r="J13" s="127" t="str">
        <f aca="false">IF(IFERROR(INDEX(tsk_Name,GanttView[[#This Row],[_Row]])="",TRUE()),"",INDEX(tsk_ResourceNames,GanttView[[#This Row],[_Row]])&amp;"")</f>
        <v/>
      </c>
      <c r="K13" s="126" t="str">
        <f aca="false">IF(IFERROR(INDEX(tsk_Name,GanttView[[#This Row],[_Row]])="",TRUE()),"",INDEX(tsk_Status,GanttView[[#This Row],[_Row]]))</f>
        <v/>
      </c>
      <c r="L13" s="126" t="str">
        <f aca="false">IF(IFERROR(INDEX(tsk_Name,GanttView[[#This Row],[_Row]])="",TRUE()),"",INDEX(tsk_Show,GanttView[[#This Row],[_Row]])&amp;"")</f>
        <v/>
      </c>
      <c r="M13" s="130" t="n">
        <f aca="false">ROW()-ROW(GanttView[[#Headers],[ID]])</f>
        <v>8</v>
      </c>
      <c r="N13" s="131" t="b">
        <f aca="false">IF(IFERROR(INDEX(tsk_Name,GanttView[[#This Row],[_Row]])="",TRUE()),FALSE(),INDEX(tsk_IsSummary,GanttView[[#This Row],[_Row]]))</f>
        <v>0</v>
      </c>
      <c r="O13" s="131" t="b">
        <f aca="false">IF(IFERROR(INDEX(tsk_Name,GanttView[[#This Row],[_Row]])="",TRUE()),FALSE(),AND(INDEX(tsk_IsLeaf,GanttView[[#This Row],[_Row]])=1,N(INDEX(tsk_Duration,GanttView[[#This Row],[_Row]]))=0))</f>
        <v>0</v>
      </c>
      <c r="P13" s="132" t="n">
        <f aca="false">IF(IFERROR(INDEX(tsk_Name,GanttView[[#This Row],[_Row]])="",TRUE()),0,IF(AND(INDEX(tsk_IsLeaf,GanttView[[#This Row],[_Row]])=1,NOT(GanttView[[#This Row],[_IsMilestone]]),N(GanttView[[#This Row],[%]])&gt;0),GanttView[[#This Row],[Forecast Start]],0))</f>
        <v>0</v>
      </c>
      <c r="Q13" s="132" t="n">
        <f aca="false">IF(GanttView[[#This Row],[_DoneFrom]]=0,0,IF(GanttView[[#This Row],[%]]&gt;=1,GanttView[[#This Row],[Forecast Finish]],MAX(GanttView[[#This Row],[_DoneFrom]],GanttView[[#This Row],[Forecast Start]]+ROUND((GanttView[[#This Row],[Forecast Finish]]-GanttView[[#This Row],[Forecast Start]]+1)*GanttView[[#This Row],[%]],0)-1)))</f>
        <v>0</v>
      </c>
      <c r="R13" s="132" t="n">
        <f aca="false">IF(IFERROR(INDEX(tsk_Name,GanttView[[#This Row],[_Row]])="",TRUE()),0,IF(OR(INDEX(tsk_IsLeaf,GanttView[[#This Row],[_Row]])&lt;&gt;1,GanttView[[#This Row],[_IsMilestone]],N(GanttView[[#This Row],[%]])&gt;=1),0,IF(GanttView[[#This Row],[_DoneTo]]&gt;0,GanttView[[#This Row],[_DoneTo]]+1,GanttView[[#This Row],[Forecast Start]])))</f>
        <v>0</v>
      </c>
      <c r="S13" s="132" t="n">
        <f aca="false">IF(GanttView[[#This Row],[_RemFrom]]=0,0,GanttView[[#This Row],[Forecast Finish]])</f>
        <v>0</v>
      </c>
      <c r="T13" s="131" t="b">
        <f aca="false">IF(IFERROR(INDEX(tsk_Name,GanttView[[#This Row],[_Row]])="",TRUE()),FALSE(),N(INDEX(tsk_Variance,GanttView[[#This Row],[_Row]]))&gt;0)</f>
        <v>0</v>
      </c>
      <c r="U13" s="132" t="n">
        <f aca="false">IF(IFERROR(INDEX(tsk_Name,GanttView[[#This Row],[_Row]])="",TRUE()),0,N(INDEX(tsk_Deadline,GanttView[[#This Row],[_Row]])))</f>
        <v>0</v>
      </c>
      <c r="V13" s="131" t="b">
        <f aca="false">IF(IFERROR(INDEX(tsk_Name,GanttView[[#This Row],[_Row]])="",TRUE()),FALSE(),INDEX(tsk_Critical,GanttView[[#This Row],[_Row]])="Yes")</f>
        <v>0</v>
      </c>
    </row>
    <row r="14" customFormat="false" ht="15" hidden="false" customHeight="false" outlineLevel="0" collapsed="false">
      <c r="A14" s="126" t="str">
        <f aca="false">IF(IFERROR(INDEX(tsk_Name,GanttView[[#This Row],[_Row]])="",TRUE()),"",INDEX(tsk_ID,GanttView[[#This Row],[_Row]]))</f>
        <v/>
      </c>
      <c r="B14" s="126" t="str">
        <f aca="false">IF(IFERROR(INDEX(tsk_Name,GanttView[[#This Row],[_Row]])="",TRUE()),"",INDEX(tsk_WBS,GanttView[[#This Row],[_Row]]))</f>
        <v/>
      </c>
      <c r="C14" s="127" t="str">
        <f aca="false">IF(IFERROR(INDEX(tsk_Name,GanttView[[#This Row],[_Row]])="",TRUE()),"",REPT("    ",INDEX(tsk_Level,GanttView[[#This Row],[_Row]])-1)&amp;INDEX(tsk_Name,GanttView[[#This Row],[_Row]]))</f>
        <v/>
      </c>
      <c r="D14" s="126" t="str">
        <f aca="false">IF(IFERROR(INDEX(tsk_Name,GanttView[[#This Row],[_Row]])="",TRUE()),"",IF(INDEX(tsk_IsSummary,GanttView[[#This Row],[_Row]]),NETWORKDAYS.INTL(INDEX(tsk_FcStart,GanttView[[#This Row],[_Row]]),INDEX(tsk_FcFinish,GanttView[[#This Row],[_Row]]),WorkWeek,Holidays),N(INDEX(tsk_Duration,GanttView[[#This Row],[_Row]]))))</f>
        <v/>
      </c>
      <c r="E14" s="128" t="str">
        <f aca="false">IF(IFERROR(INDEX(tsk_Name,GanttView[[#This Row],[_Row]])="",TRUE()),"",INDEX(tsk_PlanStart,GanttView[[#This Row],[_Row]]))</f>
        <v/>
      </c>
      <c r="F14" s="128" t="str">
        <f aca="false">IF(IFERROR(INDEX(tsk_Name,GanttView[[#This Row],[_Row]])="",TRUE()),"",INDEX(tsk_PlanFinish,GanttView[[#This Row],[_Row]]))</f>
        <v/>
      </c>
      <c r="G14" s="128" t="str">
        <f aca="false">IF(IFERROR(INDEX(tsk_Name,GanttView[[#This Row],[_Row]])="",TRUE()),"",INDEX(tsk_FcStart,GanttView[[#This Row],[_Row]]))</f>
        <v/>
      </c>
      <c r="H14" s="128" t="str">
        <f aca="false">IF(IFERROR(INDEX(tsk_Name,GanttView[[#This Row],[_Row]])="",TRUE()),"",INDEX(tsk_FcFinish,GanttView[[#This Row],[_Row]]))</f>
        <v/>
      </c>
      <c r="I14" s="129" t="str">
        <f aca="false">IF(IFERROR(INDEX(tsk_Name,GanttView[[#This Row],[_Row]])="",TRUE()),"",INDEX(tsk_Progress,GanttView[[#This Row],[_Row]]))</f>
        <v/>
      </c>
      <c r="J14" s="127" t="str">
        <f aca="false">IF(IFERROR(INDEX(tsk_Name,GanttView[[#This Row],[_Row]])="",TRUE()),"",INDEX(tsk_ResourceNames,GanttView[[#This Row],[_Row]])&amp;"")</f>
        <v/>
      </c>
      <c r="K14" s="126" t="str">
        <f aca="false">IF(IFERROR(INDEX(tsk_Name,GanttView[[#This Row],[_Row]])="",TRUE()),"",INDEX(tsk_Status,GanttView[[#This Row],[_Row]]))</f>
        <v/>
      </c>
      <c r="L14" s="126" t="str">
        <f aca="false">IF(IFERROR(INDEX(tsk_Name,GanttView[[#This Row],[_Row]])="",TRUE()),"",INDEX(tsk_Show,GanttView[[#This Row],[_Row]])&amp;"")</f>
        <v/>
      </c>
      <c r="M14" s="130" t="n">
        <f aca="false">ROW()-ROW(GanttView[[#Headers],[ID]])</f>
        <v>9</v>
      </c>
      <c r="N14" s="131" t="b">
        <f aca="false">IF(IFERROR(INDEX(tsk_Name,GanttView[[#This Row],[_Row]])="",TRUE()),FALSE(),INDEX(tsk_IsSummary,GanttView[[#This Row],[_Row]]))</f>
        <v>0</v>
      </c>
      <c r="O14" s="131" t="b">
        <f aca="false">IF(IFERROR(INDEX(tsk_Name,GanttView[[#This Row],[_Row]])="",TRUE()),FALSE(),AND(INDEX(tsk_IsLeaf,GanttView[[#This Row],[_Row]])=1,N(INDEX(tsk_Duration,GanttView[[#This Row],[_Row]]))=0))</f>
        <v>0</v>
      </c>
      <c r="P14" s="132" t="n">
        <f aca="false">IF(IFERROR(INDEX(tsk_Name,GanttView[[#This Row],[_Row]])="",TRUE()),0,IF(AND(INDEX(tsk_IsLeaf,GanttView[[#This Row],[_Row]])=1,NOT(GanttView[[#This Row],[_IsMilestone]]),N(GanttView[[#This Row],[%]])&gt;0),GanttView[[#This Row],[Forecast Start]],0))</f>
        <v>0</v>
      </c>
      <c r="Q14" s="132" t="n">
        <f aca="false">IF(GanttView[[#This Row],[_DoneFrom]]=0,0,IF(GanttView[[#This Row],[%]]&gt;=1,GanttView[[#This Row],[Forecast Finish]],MAX(GanttView[[#This Row],[_DoneFrom]],GanttView[[#This Row],[Forecast Start]]+ROUND((GanttView[[#This Row],[Forecast Finish]]-GanttView[[#This Row],[Forecast Start]]+1)*GanttView[[#This Row],[%]],0)-1)))</f>
        <v>0</v>
      </c>
      <c r="R14" s="132" t="n">
        <f aca="false">IF(IFERROR(INDEX(tsk_Name,GanttView[[#This Row],[_Row]])="",TRUE()),0,IF(OR(INDEX(tsk_IsLeaf,GanttView[[#This Row],[_Row]])&lt;&gt;1,GanttView[[#This Row],[_IsMilestone]],N(GanttView[[#This Row],[%]])&gt;=1),0,IF(GanttView[[#This Row],[_DoneTo]]&gt;0,GanttView[[#This Row],[_DoneTo]]+1,GanttView[[#This Row],[Forecast Start]])))</f>
        <v>0</v>
      </c>
      <c r="S14" s="132" t="n">
        <f aca="false">IF(GanttView[[#This Row],[_RemFrom]]=0,0,GanttView[[#This Row],[Forecast Finish]])</f>
        <v>0</v>
      </c>
      <c r="T14" s="131" t="b">
        <f aca="false">IF(IFERROR(INDEX(tsk_Name,GanttView[[#This Row],[_Row]])="",TRUE()),FALSE(),N(INDEX(tsk_Variance,GanttView[[#This Row],[_Row]]))&gt;0)</f>
        <v>0</v>
      </c>
      <c r="U14" s="132" t="n">
        <f aca="false">IF(IFERROR(INDEX(tsk_Name,GanttView[[#This Row],[_Row]])="",TRUE()),0,N(INDEX(tsk_Deadline,GanttView[[#This Row],[_Row]])))</f>
        <v>0</v>
      </c>
      <c r="V14" s="131" t="b">
        <f aca="false">IF(IFERROR(INDEX(tsk_Name,GanttView[[#This Row],[_Row]])="",TRUE()),FALSE(),INDEX(tsk_Critical,GanttView[[#This Row],[_Row]])="Yes")</f>
        <v>0</v>
      </c>
    </row>
    <row r="15" customFormat="false" ht="15" hidden="false" customHeight="false" outlineLevel="0" collapsed="false">
      <c r="A15" s="126" t="str">
        <f aca="false">IF(IFERROR(INDEX(tsk_Name,GanttView[[#This Row],[_Row]])="",TRUE()),"",INDEX(tsk_ID,GanttView[[#This Row],[_Row]]))</f>
        <v/>
      </c>
      <c r="B15" s="126" t="str">
        <f aca="false">IF(IFERROR(INDEX(tsk_Name,GanttView[[#This Row],[_Row]])="",TRUE()),"",INDEX(tsk_WBS,GanttView[[#This Row],[_Row]]))</f>
        <v/>
      </c>
      <c r="C15" s="127" t="str">
        <f aca="false">IF(IFERROR(INDEX(tsk_Name,GanttView[[#This Row],[_Row]])="",TRUE()),"",REPT("    ",INDEX(tsk_Level,GanttView[[#This Row],[_Row]])-1)&amp;INDEX(tsk_Name,GanttView[[#This Row],[_Row]]))</f>
        <v/>
      </c>
      <c r="D15" s="126" t="str">
        <f aca="false">IF(IFERROR(INDEX(tsk_Name,GanttView[[#This Row],[_Row]])="",TRUE()),"",IF(INDEX(tsk_IsSummary,GanttView[[#This Row],[_Row]]),NETWORKDAYS.INTL(INDEX(tsk_FcStart,GanttView[[#This Row],[_Row]]),INDEX(tsk_FcFinish,GanttView[[#This Row],[_Row]]),WorkWeek,Holidays),N(INDEX(tsk_Duration,GanttView[[#This Row],[_Row]]))))</f>
        <v/>
      </c>
      <c r="E15" s="128" t="str">
        <f aca="false">IF(IFERROR(INDEX(tsk_Name,GanttView[[#This Row],[_Row]])="",TRUE()),"",INDEX(tsk_PlanStart,GanttView[[#This Row],[_Row]]))</f>
        <v/>
      </c>
      <c r="F15" s="128" t="str">
        <f aca="false">IF(IFERROR(INDEX(tsk_Name,GanttView[[#This Row],[_Row]])="",TRUE()),"",INDEX(tsk_PlanFinish,GanttView[[#This Row],[_Row]]))</f>
        <v/>
      </c>
      <c r="G15" s="128" t="str">
        <f aca="false">IF(IFERROR(INDEX(tsk_Name,GanttView[[#This Row],[_Row]])="",TRUE()),"",INDEX(tsk_FcStart,GanttView[[#This Row],[_Row]]))</f>
        <v/>
      </c>
      <c r="H15" s="128" t="str">
        <f aca="false">IF(IFERROR(INDEX(tsk_Name,GanttView[[#This Row],[_Row]])="",TRUE()),"",INDEX(tsk_FcFinish,GanttView[[#This Row],[_Row]]))</f>
        <v/>
      </c>
      <c r="I15" s="129" t="str">
        <f aca="false">IF(IFERROR(INDEX(tsk_Name,GanttView[[#This Row],[_Row]])="",TRUE()),"",INDEX(tsk_Progress,GanttView[[#This Row],[_Row]]))</f>
        <v/>
      </c>
      <c r="J15" s="127" t="str">
        <f aca="false">IF(IFERROR(INDEX(tsk_Name,GanttView[[#This Row],[_Row]])="",TRUE()),"",INDEX(tsk_ResourceNames,GanttView[[#This Row],[_Row]])&amp;"")</f>
        <v/>
      </c>
      <c r="K15" s="126" t="str">
        <f aca="false">IF(IFERROR(INDEX(tsk_Name,GanttView[[#This Row],[_Row]])="",TRUE()),"",INDEX(tsk_Status,GanttView[[#This Row],[_Row]]))</f>
        <v/>
      </c>
      <c r="L15" s="126" t="str">
        <f aca="false">IF(IFERROR(INDEX(tsk_Name,GanttView[[#This Row],[_Row]])="",TRUE()),"",INDEX(tsk_Show,GanttView[[#This Row],[_Row]])&amp;"")</f>
        <v/>
      </c>
      <c r="M15" s="130" t="n">
        <f aca="false">ROW()-ROW(GanttView[[#Headers],[ID]])</f>
        <v>10</v>
      </c>
      <c r="N15" s="131" t="b">
        <f aca="false">IF(IFERROR(INDEX(tsk_Name,GanttView[[#This Row],[_Row]])="",TRUE()),FALSE(),INDEX(tsk_IsSummary,GanttView[[#This Row],[_Row]]))</f>
        <v>0</v>
      </c>
      <c r="O15" s="131" t="b">
        <f aca="false">IF(IFERROR(INDEX(tsk_Name,GanttView[[#This Row],[_Row]])="",TRUE()),FALSE(),AND(INDEX(tsk_IsLeaf,GanttView[[#This Row],[_Row]])=1,N(INDEX(tsk_Duration,GanttView[[#This Row],[_Row]]))=0))</f>
        <v>0</v>
      </c>
      <c r="P15" s="132" t="n">
        <f aca="false">IF(IFERROR(INDEX(tsk_Name,GanttView[[#This Row],[_Row]])="",TRUE()),0,IF(AND(INDEX(tsk_IsLeaf,GanttView[[#This Row],[_Row]])=1,NOT(GanttView[[#This Row],[_IsMilestone]]),N(GanttView[[#This Row],[%]])&gt;0),GanttView[[#This Row],[Forecast Start]],0))</f>
        <v>0</v>
      </c>
      <c r="Q15" s="132" t="n">
        <f aca="false">IF(GanttView[[#This Row],[_DoneFrom]]=0,0,IF(GanttView[[#This Row],[%]]&gt;=1,GanttView[[#This Row],[Forecast Finish]],MAX(GanttView[[#This Row],[_DoneFrom]],GanttView[[#This Row],[Forecast Start]]+ROUND((GanttView[[#This Row],[Forecast Finish]]-GanttView[[#This Row],[Forecast Start]]+1)*GanttView[[#This Row],[%]],0)-1)))</f>
        <v>0</v>
      </c>
      <c r="R15" s="132" t="n">
        <f aca="false">IF(IFERROR(INDEX(tsk_Name,GanttView[[#This Row],[_Row]])="",TRUE()),0,IF(OR(INDEX(tsk_IsLeaf,GanttView[[#This Row],[_Row]])&lt;&gt;1,GanttView[[#This Row],[_IsMilestone]],N(GanttView[[#This Row],[%]])&gt;=1),0,IF(GanttView[[#This Row],[_DoneTo]]&gt;0,GanttView[[#This Row],[_DoneTo]]+1,GanttView[[#This Row],[Forecast Start]])))</f>
        <v>0</v>
      </c>
      <c r="S15" s="132" t="n">
        <f aca="false">IF(GanttView[[#This Row],[_RemFrom]]=0,0,GanttView[[#This Row],[Forecast Finish]])</f>
        <v>0</v>
      </c>
      <c r="T15" s="131" t="b">
        <f aca="false">IF(IFERROR(INDEX(tsk_Name,GanttView[[#This Row],[_Row]])="",TRUE()),FALSE(),N(INDEX(tsk_Variance,GanttView[[#This Row],[_Row]]))&gt;0)</f>
        <v>0</v>
      </c>
      <c r="U15" s="132" t="n">
        <f aca="false">IF(IFERROR(INDEX(tsk_Name,GanttView[[#This Row],[_Row]])="",TRUE()),0,N(INDEX(tsk_Deadline,GanttView[[#This Row],[_Row]])))</f>
        <v>0</v>
      </c>
      <c r="V15" s="131" t="b">
        <f aca="false">IF(IFERROR(INDEX(tsk_Name,GanttView[[#This Row],[_Row]])="",TRUE()),FALSE(),INDEX(tsk_Critical,GanttView[[#This Row],[_Row]])="Yes")</f>
        <v>0</v>
      </c>
    </row>
    <row r="16" customFormat="false" ht="15" hidden="false" customHeight="false" outlineLevel="0" collapsed="false">
      <c r="A16" s="126" t="str">
        <f aca="false">IF(IFERROR(INDEX(tsk_Name,GanttView[[#This Row],[_Row]])="",TRUE()),"",INDEX(tsk_ID,GanttView[[#This Row],[_Row]]))</f>
        <v/>
      </c>
      <c r="B16" s="126" t="str">
        <f aca="false">IF(IFERROR(INDEX(tsk_Name,GanttView[[#This Row],[_Row]])="",TRUE()),"",INDEX(tsk_WBS,GanttView[[#This Row],[_Row]]))</f>
        <v/>
      </c>
      <c r="C16" s="127" t="str">
        <f aca="false">IF(IFERROR(INDEX(tsk_Name,GanttView[[#This Row],[_Row]])="",TRUE()),"",REPT("    ",INDEX(tsk_Level,GanttView[[#This Row],[_Row]])-1)&amp;INDEX(tsk_Name,GanttView[[#This Row],[_Row]]))</f>
        <v/>
      </c>
      <c r="D16" s="126" t="str">
        <f aca="false">IF(IFERROR(INDEX(tsk_Name,GanttView[[#This Row],[_Row]])="",TRUE()),"",IF(INDEX(tsk_IsSummary,GanttView[[#This Row],[_Row]]),NETWORKDAYS.INTL(INDEX(tsk_FcStart,GanttView[[#This Row],[_Row]]),INDEX(tsk_FcFinish,GanttView[[#This Row],[_Row]]),WorkWeek,Holidays),N(INDEX(tsk_Duration,GanttView[[#This Row],[_Row]]))))</f>
        <v/>
      </c>
      <c r="E16" s="128" t="str">
        <f aca="false">IF(IFERROR(INDEX(tsk_Name,GanttView[[#This Row],[_Row]])="",TRUE()),"",INDEX(tsk_PlanStart,GanttView[[#This Row],[_Row]]))</f>
        <v/>
      </c>
      <c r="F16" s="128" t="str">
        <f aca="false">IF(IFERROR(INDEX(tsk_Name,GanttView[[#This Row],[_Row]])="",TRUE()),"",INDEX(tsk_PlanFinish,GanttView[[#This Row],[_Row]]))</f>
        <v/>
      </c>
      <c r="G16" s="128" t="str">
        <f aca="false">IF(IFERROR(INDEX(tsk_Name,GanttView[[#This Row],[_Row]])="",TRUE()),"",INDEX(tsk_FcStart,GanttView[[#This Row],[_Row]]))</f>
        <v/>
      </c>
      <c r="H16" s="128" t="str">
        <f aca="false">IF(IFERROR(INDEX(tsk_Name,GanttView[[#This Row],[_Row]])="",TRUE()),"",INDEX(tsk_FcFinish,GanttView[[#This Row],[_Row]]))</f>
        <v/>
      </c>
      <c r="I16" s="129" t="str">
        <f aca="false">IF(IFERROR(INDEX(tsk_Name,GanttView[[#This Row],[_Row]])="",TRUE()),"",INDEX(tsk_Progress,GanttView[[#This Row],[_Row]]))</f>
        <v/>
      </c>
      <c r="J16" s="127" t="str">
        <f aca="false">IF(IFERROR(INDEX(tsk_Name,GanttView[[#This Row],[_Row]])="",TRUE()),"",INDEX(tsk_ResourceNames,GanttView[[#This Row],[_Row]])&amp;"")</f>
        <v/>
      </c>
      <c r="K16" s="126" t="str">
        <f aca="false">IF(IFERROR(INDEX(tsk_Name,GanttView[[#This Row],[_Row]])="",TRUE()),"",INDEX(tsk_Status,GanttView[[#This Row],[_Row]]))</f>
        <v/>
      </c>
      <c r="L16" s="126" t="str">
        <f aca="false">IF(IFERROR(INDEX(tsk_Name,GanttView[[#This Row],[_Row]])="",TRUE()),"",INDEX(tsk_Show,GanttView[[#This Row],[_Row]])&amp;"")</f>
        <v/>
      </c>
      <c r="M16" s="130" t="n">
        <f aca="false">ROW()-ROW(GanttView[[#Headers],[ID]])</f>
        <v>11</v>
      </c>
      <c r="N16" s="131" t="b">
        <f aca="false">IF(IFERROR(INDEX(tsk_Name,GanttView[[#This Row],[_Row]])="",TRUE()),FALSE(),INDEX(tsk_IsSummary,GanttView[[#This Row],[_Row]]))</f>
        <v>0</v>
      </c>
      <c r="O16" s="131" t="b">
        <f aca="false">IF(IFERROR(INDEX(tsk_Name,GanttView[[#This Row],[_Row]])="",TRUE()),FALSE(),AND(INDEX(tsk_IsLeaf,GanttView[[#This Row],[_Row]])=1,N(INDEX(tsk_Duration,GanttView[[#This Row],[_Row]]))=0))</f>
        <v>0</v>
      </c>
      <c r="P16" s="132" t="n">
        <f aca="false">IF(IFERROR(INDEX(tsk_Name,GanttView[[#This Row],[_Row]])="",TRUE()),0,IF(AND(INDEX(tsk_IsLeaf,GanttView[[#This Row],[_Row]])=1,NOT(GanttView[[#This Row],[_IsMilestone]]),N(GanttView[[#This Row],[%]])&gt;0),GanttView[[#This Row],[Forecast Start]],0))</f>
        <v>0</v>
      </c>
      <c r="Q16" s="132" t="n">
        <f aca="false">IF(GanttView[[#This Row],[_DoneFrom]]=0,0,IF(GanttView[[#This Row],[%]]&gt;=1,GanttView[[#This Row],[Forecast Finish]],MAX(GanttView[[#This Row],[_DoneFrom]],GanttView[[#This Row],[Forecast Start]]+ROUND((GanttView[[#This Row],[Forecast Finish]]-GanttView[[#This Row],[Forecast Start]]+1)*GanttView[[#This Row],[%]],0)-1)))</f>
        <v>0</v>
      </c>
      <c r="R16" s="132" t="n">
        <f aca="false">IF(IFERROR(INDEX(tsk_Name,GanttView[[#This Row],[_Row]])="",TRUE()),0,IF(OR(INDEX(tsk_IsLeaf,GanttView[[#This Row],[_Row]])&lt;&gt;1,GanttView[[#This Row],[_IsMilestone]],N(GanttView[[#This Row],[%]])&gt;=1),0,IF(GanttView[[#This Row],[_DoneTo]]&gt;0,GanttView[[#This Row],[_DoneTo]]+1,GanttView[[#This Row],[Forecast Start]])))</f>
        <v>0</v>
      </c>
      <c r="S16" s="132" t="n">
        <f aca="false">IF(GanttView[[#This Row],[_RemFrom]]=0,0,GanttView[[#This Row],[Forecast Finish]])</f>
        <v>0</v>
      </c>
      <c r="T16" s="131" t="b">
        <f aca="false">IF(IFERROR(INDEX(tsk_Name,GanttView[[#This Row],[_Row]])="",TRUE()),FALSE(),N(INDEX(tsk_Variance,GanttView[[#This Row],[_Row]]))&gt;0)</f>
        <v>0</v>
      </c>
      <c r="U16" s="132" t="n">
        <f aca="false">IF(IFERROR(INDEX(tsk_Name,GanttView[[#This Row],[_Row]])="",TRUE()),0,N(INDEX(tsk_Deadline,GanttView[[#This Row],[_Row]])))</f>
        <v>0</v>
      </c>
      <c r="V16" s="131" t="b">
        <f aca="false">IF(IFERROR(INDEX(tsk_Name,GanttView[[#This Row],[_Row]])="",TRUE()),FALSE(),INDEX(tsk_Critical,GanttView[[#This Row],[_Row]])="Yes")</f>
        <v>0</v>
      </c>
    </row>
    <row r="17" customFormat="false" ht="15" hidden="false" customHeight="false" outlineLevel="0" collapsed="false">
      <c r="A17" s="126" t="str">
        <f aca="false">IF(IFERROR(INDEX(tsk_Name,GanttView[[#This Row],[_Row]])="",TRUE()),"",INDEX(tsk_ID,GanttView[[#This Row],[_Row]]))</f>
        <v/>
      </c>
      <c r="B17" s="126" t="str">
        <f aca="false">IF(IFERROR(INDEX(tsk_Name,GanttView[[#This Row],[_Row]])="",TRUE()),"",INDEX(tsk_WBS,GanttView[[#This Row],[_Row]]))</f>
        <v/>
      </c>
      <c r="C17" s="127" t="str">
        <f aca="false">IF(IFERROR(INDEX(tsk_Name,GanttView[[#This Row],[_Row]])="",TRUE()),"",REPT("    ",INDEX(tsk_Level,GanttView[[#This Row],[_Row]])-1)&amp;INDEX(tsk_Name,GanttView[[#This Row],[_Row]]))</f>
        <v/>
      </c>
      <c r="D17" s="126" t="str">
        <f aca="false">IF(IFERROR(INDEX(tsk_Name,GanttView[[#This Row],[_Row]])="",TRUE()),"",IF(INDEX(tsk_IsSummary,GanttView[[#This Row],[_Row]]),NETWORKDAYS.INTL(INDEX(tsk_FcStart,GanttView[[#This Row],[_Row]]),INDEX(tsk_FcFinish,GanttView[[#This Row],[_Row]]),WorkWeek,Holidays),N(INDEX(tsk_Duration,GanttView[[#This Row],[_Row]]))))</f>
        <v/>
      </c>
      <c r="E17" s="128" t="str">
        <f aca="false">IF(IFERROR(INDEX(tsk_Name,GanttView[[#This Row],[_Row]])="",TRUE()),"",INDEX(tsk_PlanStart,GanttView[[#This Row],[_Row]]))</f>
        <v/>
      </c>
      <c r="F17" s="128" t="str">
        <f aca="false">IF(IFERROR(INDEX(tsk_Name,GanttView[[#This Row],[_Row]])="",TRUE()),"",INDEX(tsk_PlanFinish,GanttView[[#This Row],[_Row]]))</f>
        <v/>
      </c>
      <c r="G17" s="128" t="str">
        <f aca="false">IF(IFERROR(INDEX(tsk_Name,GanttView[[#This Row],[_Row]])="",TRUE()),"",INDEX(tsk_FcStart,GanttView[[#This Row],[_Row]]))</f>
        <v/>
      </c>
      <c r="H17" s="128" t="str">
        <f aca="false">IF(IFERROR(INDEX(tsk_Name,GanttView[[#This Row],[_Row]])="",TRUE()),"",INDEX(tsk_FcFinish,GanttView[[#This Row],[_Row]]))</f>
        <v/>
      </c>
      <c r="I17" s="129" t="str">
        <f aca="false">IF(IFERROR(INDEX(tsk_Name,GanttView[[#This Row],[_Row]])="",TRUE()),"",INDEX(tsk_Progress,GanttView[[#This Row],[_Row]]))</f>
        <v/>
      </c>
      <c r="J17" s="127" t="str">
        <f aca="false">IF(IFERROR(INDEX(tsk_Name,GanttView[[#This Row],[_Row]])="",TRUE()),"",INDEX(tsk_ResourceNames,GanttView[[#This Row],[_Row]])&amp;"")</f>
        <v/>
      </c>
      <c r="K17" s="126" t="str">
        <f aca="false">IF(IFERROR(INDEX(tsk_Name,GanttView[[#This Row],[_Row]])="",TRUE()),"",INDEX(tsk_Status,GanttView[[#This Row],[_Row]]))</f>
        <v/>
      </c>
      <c r="L17" s="126" t="str">
        <f aca="false">IF(IFERROR(INDEX(tsk_Name,GanttView[[#This Row],[_Row]])="",TRUE()),"",INDEX(tsk_Show,GanttView[[#This Row],[_Row]])&amp;"")</f>
        <v/>
      </c>
      <c r="M17" s="130" t="n">
        <f aca="false">ROW()-ROW(GanttView[[#Headers],[ID]])</f>
        <v>12</v>
      </c>
      <c r="N17" s="131" t="b">
        <f aca="false">IF(IFERROR(INDEX(tsk_Name,GanttView[[#This Row],[_Row]])="",TRUE()),FALSE(),INDEX(tsk_IsSummary,GanttView[[#This Row],[_Row]]))</f>
        <v>0</v>
      </c>
      <c r="O17" s="131" t="b">
        <f aca="false">IF(IFERROR(INDEX(tsk_Name,GanttView[[#This Row],[_Row]])="",TRUE()),FALSE(),AND(INDEX(tsk_IsLeaf,GanttView[[#This Row],[_Row]])=1,N(INDEX(tsk_Duration,GanttView[[#This Row],[_Row]]))=0))</f>
        <v>0</v>
      </c>
      <c r="P17" s="132" t="n">
        <f aca="false">IF(IFERROR(INDEX(tsk_Name,GanttView[[#This Row],[_Row]])="",TRUE()),0,IF(AND(INDEX(tsk_IsLeaf,GanttView[[#This Row],[_Row]])=1,NOT(GanttView[[#This Row],[_IsMilestone]]),N(GanttView[[#This Row],[%]])&gt;0),GanttView[[#This Row],[Forecast Start]],0))</f>
        <v>0</v>
      </c>
      <c r="Q17" s="132" t="n">
        <f aca="false">IF(GanttView[[#This Row],[_DoneFrom]]=0,0,IF(GanttView[[#This Row],[%]]&gt;=1,GanttView[[#This Row],[Forecast Finish]],MAX(GanttView[[#This Row],[_DoneFrom]],GanttView[[#This Row],[Forecast Start]]+ROUND((GanttView[[#This Row],[Forecast Finish]]-GanttView[[#This Row],[Forecast Start]]+1)*GanttView[[#This Row],[%]],0)-1)))</f>
        <v>0</v>
      </c>
      <c r="R17" s="132" t="n">
        <f aca="false">IF(IFERROR(INDEX(tsk_Name,GanttView[[#This Row],[_Row]])="",TRUE()),0,IF(OR(INDEX(tsk_IsLeaf,GanttView[[#This Row],[_Row]])&lt;&gt;1,GanttView[[#This Row],[_IsMilestone]],N(GanttView[[#This Row],[%]])&gt;=1),0,IF(GanttView[[#This Row],[_DoneTo]]&gt;0,GanttView[[#This Row],[_DoneTo]]+1,GanttView[[#This Row],[Forecast Start]])))</f>
        <v>0</v>
      </c>
      <c r="S17" s="132" t="n">
        <f aca="false">IF(GanttView[[#This Row],[_RemFrom]]=0,0,GanttView[[#This Row],[Forecast Finish]])</f>
        <v>0</v>
      </c>
      <c r="T17" s="131" t="b">
        <f aca="false">IF(IFERROR(INDEX(tsk_Name,GanttView[[#This Row],[_Row]])="",TRUE()),FALSE(),N(INDEX(tsk_Variance,GanttView[[#This Row],[_Row]]))&gt;0)</f>
        <v>0</v>
      </c>
      <c r="U17" s="132" t="n">
        <f aca="false">IF(IFERROR(INDEX(tsk_Name,GanttView[[#This Row],[_Row]])="",TRUE()),0,N(INDEX(tsk_Deadline,GanttView[[#This Row],[_Row]])))</f>
        <v>0</v>
      </c>
      <c r="V17" s="131" t="b">
        <f aca="false">IF(IFERROR(INDEX(tsk_Name,GanttView[[#This Row],[_Row]])="",TRUE()),FALSE(),INDEX(tsk_Critical,GanttView[[#This Row],[_Row]])="Yes")</f>
        <v>0</v>
      </c>
    </row>
    <row r="18" customFormat="false" ht="15" hidden="false" customHeight="false" outlineLevel="0" collapsed="false">
      <c r="A18" s="126" t="str">
        <f aca="false">IF(IFERROR(INDEX(tsk_Name,GanttView[[#This Row],[_Row]])="",TRUE()),"",INDEX(tsk_ID,GanttView[[#This Row],[_Row]]))</f>
        <v/>
      </c>
      <c r="B18" s="126" t="str">
        <f aca="false">IF(IFERROR(INDEX(tsk_Name,GanttView[[#This Row],[_Row]])="",TRUE()),"",INDEX(tsk_WBS,GanttView[[#This Row],[_Row]]))</f>
        <v/>
      </c>
      <c r="C18" s="127" t="str">
        <f aca="false">IF(IFERROR(INDEX(tsk_Name,GanttView[[#This Row],[_Row]])="",TRUE()),"",REPT("    ",INDEX(tsk_Level,GanttView[[#This Row],[_Row]])-1)&amp;INDEX(tsk_Name,GanttView[[#This Row],[_Row]]))</f>
        <v/>
      </c>
      <c r="D18" s="126" t="str">
        <f aca="false">IF(IFERROR(INDEX(tsk_Name,GanttView[[#This Row],[_Row]])="",TRUE()),"",IF(INDEX(tsk_IsSummary,GanttView[[#This Row],[_Row]]),NETWORKDAYS.INTL(INDEX(tsk_FcStart,GanttView[[#This Row],[_Row]]),INDEX(tsk_FcFinish,GanttView[[#This Row],[_Row]]),WorkWeek,Holidays),N(INDEX(tsk_Duration,GanttView[[#This Row],[_Row]]))))</f>
        <v/>
      </c>
      <c r="E18" s="128" t="str">
        <f aca="false">IF(IFERROR(INDEX(tsk_Name,GanttView[[#This Row],[_Row]])="",TRUE()),"",INDEX(tsk_PlanStart,GanttView[[#This Row],[_Row]]))</f>
        <v/>
      </c>
      <c r="F18" s="128" t="str">
        <f aca="false">IF(IFERROR(INDEX(tsk_Name,GanttView[[#This Row],[_Row]])="",TRUE()),"",INDEX(tsk_PlanFinish,GanttView[[#This Row],[_Row]]))</f>
        <v/>
      </c>
      <c r="G18" s="128" t="str">
        <f aca="false">IF(IFERROR(INDEX(tsk_Name,GanttView[[#This Row],[_Row]])="",TRUE()),"",INDEX(tsk_FcStart,GanttView[[#This Row],[_Row]]))</f>
        <v/>
      </c>
      <c r="H18" s="128" t="str">
        <f aca="false">IF(IFERROR(INDEX(tsk_Name,GanttView[[#This Row],[_Row]])="",TRUE()),"",INDEX(tsk_FcFinish,GanttView[[#This Row],[_Row]]))</f>
        <v/>
      </c>
      <c r="I18" s="129" t="str">
        <f aca="false">IF(IFERROR(INDEX(tsk_Name,GanttView[[#This Row],[_Row]])="",TRUE()),"",INDEX(tsk_Progress,GanttView[[#This Row],[_Row]]))</f>
        <v/>
      </c>
      <c r="J18" s="127" t="str">
        <f aca="false">IF(IFERROR(INDEX(tsk_Name,GanttView[[#This Row],[_Row]])="",TRUE()),"",INDEX(tsk_ResourceNames,GanttView[[#This Row],[_Row]])&amp;"")</f>
        <v/>
      </c>
      <c r="K18" s="126" t="str">
        <f aca="false">IF(IFERROR(INDEX(tsk_Name,GanttView[[#This Row],[_Row]])="",TRUE()),"",INDEX(tsk_Status,GanttView[[#This Row],[_Row]]))</f>
        <v/>
      </c>
      <c r="L18" s="126" t="str">
        <f aca="false">IF(IFERROR(INDEX(tsk_Name,GanttView[[#This Row],[_Row]])="",TRUE()),"",INDEX(tsk_Show,GanttView[[#This Row],[_Row]])&amp;"")</f>
        <v/>
      </c>
      <c r="M18" s="130" t="n">
        <f aca="false">ROW()-ROW(GanttView[[#Headers],[ID]])</f>
        <v>13</v>
      </c>
      <c r="N18" s="131" t="b">
        <f aca="false">IF(IFERROR(INDEX(tsk_Name,GanttView[[#This Row],[_Row]])="",TRUE()),FALSE(),INDEX(tsk_IsSummary,GanttView[[#This Row],[_Row]]))</f>
        <v>0</v>
      </c>
      <c r="O18" s="131" t="b">
        <f aca="false">IF(IFERROR(INDEX(tsk_Name,GanttView[[#This Row],[_Row]])="",TRUE()),FALSE(),AND(INDEX(tsk_IsLeaf,GanttView[[#This Row],[_Row]])=1,N(INDEX(tsk_Duration,GanttView[[#This Row],[_Row]]))=0))</f>
        <v>0</v>
      </c>
      <c r="P18" s="132" t="n">
        <f aca="false">IF(IFERROR(INDEX(tsk_Name,GanttView[[#This Row],[_Row]])="",TRUE()),0,IF(AND(INDEX(tsk_IsLeaf,GanttView[[#This Row],[_Row]])=1,NOT(GanttView[[#This Row],[_IsMilestone]]),N(GanttView[[#This Row],[%]])&gt;0),GanttView[[#This Row],[Forecast Start]],0))</f>
        <v>0</v>
      </c>
      <c r="Q18" s="132" t="n">
        <f aca="false">IF(GanttView[[#This Row],[_DoneFrom]]=0,0,IF(GanttView[[#This Row],[%]]&gt;=1,GanttView[[#This Row],[Forecast Finish]],MAX(GanttView[[#This Row],[_DoneFrom]],GanttView[[#This Row],[Forecast Start]]+ROUND((GanttView[[#This Row],[Forecast Finish]]-GanttView[[#This Row],[Forecast Start]]+1)*GanttView[[#This Row],[%]],0)-1)))</f>
        <v>0</v>
      </c>
      <c r="R18" s="132" t="n">
        <f aca="false">IF(IFERROR(INDEX(tsk_Name,GanttView[[#This Row],[_Row]])="",TRUE()),0,IF(OR(INDEX(tsk_IsLeaf,GanttView[[#This Row],[_Row]])&lt;&gt;1,GanttView[[#This Row],[_IsMilestone]],N(GanttView[[#This Row],[%]])&gt;=1),0,IF(GanttView[[#This Row],[_DoneTo]]&gt;0,GanttView[[#This Row],[_DoneTo]]+1,GanttView[[#This Row],[Forecast Start]])))</f>
        <v>0</v>
      </c>
      <c r="S18" s="132" t="n">
        <f aca="false">IF(GanttView[[#This Row],[_RemFrom]]=0,0,GanttView[[#This Row],[Forecast Finish]])</f>
        <v>0</v>
      </c>
      <c r="T18" s="131" t="b">
        <f aca="false">IF(IFERROR(INDEX(tsk_Name,GanttView[[#This Row],[_Row]])="",TRUE()),FALSE(),N(INDEX(tsk_Variance,GanttView[[#This Row],[_Row]]))&gt;0)</f>
        <v>0</v>
      </c>
      <c r="U18" s="132" t="n">
        <f aca="false">IF(IFERROR(INDEX(tsk_Name,GanttView[[#This Row],[_Row]])="",TRUE()),0,N(INDEX(tsk_Deadline,GanttView[[#This Row],[_Row]])))</f>
        <v>0</v>
      </c>
      <c r="V18" s="131" t="b">
        <f aca="false">IF(IFERROR(INDEX(tsk_Name,GanttView[[#This Row],[_Row]])="",TRUE()),FALSE(),INDEX(tsk_Critical,GanttView[[#This Row],[_Row]])="Yes")</f>
        <v>0</v>
      </c>
    </row>
    <row r="19" customFormat="false" ht="15" hidden="false" customHeight="false" outlineLevel="0" collapsed="false">
      <c r="A19" s="126" t="str">
        <f aca="false">IF(IFERROR(INDEX(tsk_Name,GanttView[[#This Row],[_Row]])="",TRUE()),"",INDEX(tsk_ID,GanttView[[#This Row],[_Row]]))</f>
        <v/>
      </c>
      <c r="B19" s="126" t="str">
        <f aca="false">IF(IFERROR(INDEX(tsk_Name,GanttView[[#This Row],[_Row]])="",TRUE()),"",INDEX(tsk_WBS,GanttView[[#This Row],[_Row]]))</f>
        <v/>
      </c>
      <c r="C19" s="127" t="str">
        <f aca="false">IF(IFERROR(INDEX(tsk_Name,GanttView[[#This Row],[_Row]])="",TRUE()),"",REPT("    ",INDEX(tsk_Level,GanttView[[#This Row],[_Row]])-1)&amp;INDEX(tsk_Name,GanttView[[#This Row],[_Row]]))</f>
        <v/>
      </c>
      <c r="D19" s="126" t="str">
        <f aca="false">IF(IFERROR(INDEX(tsk_Name,GanttView[[#This Row],[_Row]])="",TRUE()),"",IF(INDEX(tsk_IsSummary,GanttView[[#This Row],[_Row]]),NETWORKDAYS.INTL(INDEX(tsk_FcStart,GanttView[[#This Row],[_Row]]),INDEX(tsk_FcFinish,GanttView[[#This Row],[_Row]]),WorkWeek,Holidays),N(INDEX(tsk_Duration,GanttView[[#This Row],[_Row]]))))</f>
        <v/>
      </c>
      <c r="E19" s="128" t="str">
        <f aca="false">IF(IFERROR(INDEX(tsk_Name,GanttView[[#This Row],[_Row]])="",TRUE()),"",INDEX(tsk_PlanStart,GanttView[[#This Row],[_Row]]))</f>
        <v/>
      </c>
      <c r="F19" s="128" t="str">
        <f aca="false">IF(IFERROR(INDEX(tsk_Name,GanttView[[#This Row],[_Row]])="",TRUE()),"",INDEX(tsk_PlanFinish,GanttView[[#This Row],[_Row]]))</f>
        <v/>
      </c>
      <c r="G19" s="128" t="str">
        <f aca="false">IF(IFERROR(INDEX(tsk_Name,GanttView[[#This Row],[_Row]])="",TRUE()),"",INDEX(tsk_FcStart,GanttView[[#This Row],[_Row]]))</f>
        <v/>
      </c>
      <c r="H19" s="128" t="str">
        <f aca="false">IF(IFERROR(INDEX(tsk_Name,GanttView[[#This Row],[_Row]])="",TRUE()),"",INDEX(tsk_FcFinish,GanttView[[#This Row],[_Row]]))</f>
        <v/>
      </c>
      <c r="I19" s="129" t="str">
        <f aca="false">IF(IFERROR(INDEX(tsk_Name,GanttView[[#This Row],[_Row]])="",TRUE()),"",INDEX(tsk_Progress,GanttView[[#This Row],[_Row]]))</f>
        <v/>
      </c>
      <c r="J19" s="127" t="str">
        <f aca="false">IF(IFERROR(INDEX(tsk_Name,GanttView[[#This Row],[_Row]])="",TRUE()),"",INDEX(tsk_ResourceNames,GanttView[[#This Row],[_Row]])&amp;"")</f>
        <v/>
      </c>
      <c r="K19" s="126" t="str">
        <f aca="false">IF(IFERROR(INDEX(tsk_Name,GanttView[[#This Row],[_Row]])="",TRUE()),"",INDEX(tsk_Status,GanttView[[#This Row],[_Row]]))</f>
        <v/>
      </c>
      <c r="L19" s="126" t="str">
        <f aca="false">IF(IFERROR(INDEX(tsk_Name,GanttView[[#This Row],[_Row]])="",TRUE()),"",INDEX(tsk_Show,GanttView[[#This Row],[_Row]])&amp;"")</f>
        <v/>
      </c>
      <c r="M19" s="130" t="n">
        <f aca="false">ROW()-ROW(GanttView[[#Headers],[ID]])</f>
        <v>14</v>
      </c>
      <c r="N19" s="131" t="b">
        <f aca="false">IF(IFERROR(INDEX(tsk_Name,GanttView[[#This Row],[_Row]])="",TRUE()),FALSE(),INDEX(tsk_IsSummary,GanttView[[#This Row],[_Row]]))</f>
        <v>0</v>
      </c>
      <c r="O19" s="131" t="b">
        <f aca="false">IF(IFERROR(INDEX(tsk_Name,GanttView[[#This Row],[_Row]])="",TRUE()),FALSE(),AND(INDEX(tsk_IsLeaf,GanttView[[#This Row],[_Row]])=1,N(INDEX(tsk_Duration,GanttView[[#This Row],[_Row]]))=0))</f>
        <v>0</v>
      </c>
      <c r="P19" s="132" t="n">
        <f aca="false">IF(IFERROR(INDEX(tsk_Name,GanttView[[#This Row],[_Row]])="",TRUE()),0,IF(AND(INDEX(tsk_IsLeaf,GanttView[[#This Row],[_Row]])=1,NOT(GanttView[[#This Row],[_IsMilestone]]),N(GanttView[[#This Row],[%]])&gt;0),GanttView[[#This Row],[Forecast Start]],0))</f>
        <v>0</v>
      </c>
      <c r="Q19" s="132" t="n">
        <f aca="false">IF(GanttView[[#This Row],[_DoneFrom]]=0,0,IF(GanttView[[#This Row],[%]]&gt;=1,GanttView[[#This Row],[Forecast Finish]],MAX(GanttView[[#This Row],[_DoneFrom]],GanttView[[#This Row],[Forecast Start]]+ROUND((GanttView[[#This Row],[Forecast Finish]]-GanttView[[#This Row],[Forecast Start]]+1)*GanttView[[#This Row],[%]],0)-1)))</f>
        <v>0</v>
      </c>
      <c r="R19" s="132" t="n">
        <f aca="false">IF(IFERROR(INDEX(tsk_Name,GanttView[[#This Row],[_Row]])="",TRUE()),0,IF(OR(INDEX(tsk_IsLeaf,GanttView[[#This Row],[_Row]])&lt;&gt;1,GanttView[[#This Row],[_IsMilestone]],N(GanttView[[#This Row],[%]])&gt;=1),0,IF(GanttView[[#This Row],[_DoneTo]]&gt;0,GanttView[[#This Row],[_DoneTo]]+1,GanttView[[#This Row],[Forecast Start]])))</f>
        <v>0</v>
      </c>
      <c r="S19" s="132" t="n">
        <f aca="false">IF(GanttView[[#This Row],[_RemFrom]]=0,0,GanttView[[#This Row],[Forecast Finish]])</f>
        <v>0</v>
      </c>
      <c r="T19" s="131" t="b">
        <f aca="false">IF(IFERROR(INDEX(tsk_Name,GanttView[[#This Row],[_Row]])="",TRUE()),FALSE(),N(INDEX(tsk_Variance,GanttView[[#This Row],[_Row]]))&gt;0)</f>
        <v>0</v>
      </c>
      <c r="U19" s="132" t="n">
        <f aca="false">IF(IFERROR(INDEX(tsk_Name,GanttView[[#This Row],[_Row]])="",TRUE()),0,N(INDEX(tsk_Deadline,GanttView[[#This Row],[_Row]])))</f>
        <v>0</v>
      </c>
      <c r="V19" s="131" t="b">
        <f aca="false">IF(IFERROR(INDEX(tsk_Name,GanttView[[#This Row],[_Row]])="",TRUE()),FALSE(),INDEX(tsk_Critical,GanttView[[#This Row],[_Row]])="Yes")</f>
        <v>0</v>
      </c>
    </row>
    <row r="20" customFormat="false" ht="15" hidden="false" customHeight="false" outlineLevel="0" collapsed="false">
      <c r="A20" s="126" t="str">
        <f aca="false">IF(IFERROR(INDEX(tsk_Name,GanttView[[#This Row],[_Row]])="",TRUE()),"",INDEX(tsk_ID,GanttView[[#This Row],[_Row]]))</f>
        <v/>
      </c>
      <c r="B20" s="126" t="str">
        <f aca="false">IF(IFERROR(INDEX(tsk_Name,GanttView[[#This Row],[_Row]])="",TRUE()),"",INDEX(tsk_WBS,GanttView[[#This Row],[_Row]]))</f>
        <v/>
      </c>
      <c r="C20" s="127" t="str">
        <f aca="false">IF(IFERROR(INDEX(tsk_Name,GanttView[[#This Row],[_Row]])="",TRUE()),"",REPT("    ",INDEX(tsk_Level,GanttView[[#This Row],[_Row]])-1)&amp;INDEX(tsk_Name,GanttView[[#This Row],[_Row]]))</f>
        <v/>
      </c>
      <c r="D20" s="126" t="str">
        <f aca="false">IF(IFERROR(INDEX(tsk_Name,GanttView[[#This Row],[_Row]])="",TRUE()),"",IF(INDEX(tsk_IsSummary,GanttView[[#This Row],[_Row]]),NETWORKDAYS.INTL(INDEX(tsk_FcStart,GanttView[[#This Row],[_Row]]),INDEX(tsk_FcFinish,GanttView[[#This Row],[_Row]]),WorkWeek,Holidays),N(INDEX(tsk_Duration,GanttView[[#This Row],[_Row]]))))</f>
        <v/>
      </c>
      <c r="E20" s="128" t="str">
        <f aca="false">IF(IFERROR(INDEX(tsk_Name,GanttView[[#This Row],[_Row]])="",TRUE()),"",INDEX(tsk_PlanStart,GanttView[[#This Row],[_Row]]))</f>
        <v/>
      </c>
      <c r="F20" s="128" t="str">
        <f aca="false">IF(IFERROR(INDEX(tsk_Name,GanttView[[#This Row],[_Row]])="",TRUE()),"",INDEX(tsk_PlanFinish,GanttView[[#This Row],[_Row]]))</f>
        <v/>
      </c>
      <c r="G20" s="128" t="str">
        <f aca="false">IF(IFERROR(INDEX(tsk_Name,GanttView[[#This Row],[_Row]])="",TRUE()),"",INDEX(tsk_FcStart,GanttView[[#This Row],[_Row]]))</f>
        <v/>
      </c>
      <c r="H20" s="128" t="str">
        <f aca="false">IF(IFERROR(INDEX(tsk_Name,GanttView[[#This Row],[_Row]])="",TRUE()),"",INDEX(tsk_FcFinish,GanttView[[#This Row],[_Row]]))</f>
        <v/>
      </c>
      <c r="I20" s="129" t="str">
        <f aca="false">IF(IFERROR(INDEX(tsk_Name,GanttView[[#This Row],[_Row]])="",TRUE()),"",INDEX(tsk_Progress,GanttView[[#This Row],[_Row]]))</f>
        <v/>
      </c>
      <c r="J20" s="127" t="str">
        <f aca="false">IF(IFERROR(INDEX(tsk_Name,GanttView[[#This Row],[_Row]])="",TRUE()),"",INDEX(tsk_ResourceNames,GanttView[[#This Row],[_Row]])&amp;"")</f>
        <v/>
      </c>
      <c r="K20" s="126" t="str">
        <f aca="false">IF(IFERROR(INDEX(tsk_Name,GanttView[[#This Row],[_Row]])="",TRUE()),"",INDEX(tsk_Status,GanttView[[#This Row],[_Row]]))</f>
        <v/>
      </c>
      <c r="L20" s="126" t="str">
        <f aca="false">IF(IFERROR(INDEX(tsk_Name,GanttView[[#This Row],[_Row]])="",TRUE()),"",INDEX(tsk_Show,GanttView[[#This Row],[_Row]])&amp;"")</f>
        <v/>
      </c>
      <c r="M20" s="130" t="n">
        <f aca="false">ROW()-ROW(GanttView[[#Headers],[ID]])</f>
        <v>15</v>
      </c>
      <c r="N20" s="131" t="b">
        <f aca="false">IF(IFERROR(INDEX(tsk_Name,GanttView[[#This Row],[_Row]])="",TRUE()),FALSE(),INDEX(tsk_IsSummary,GanttView[[#This Row],[_Row]]))</f>
        <v>0</v>
      </c>
      <c r="O20" s="131" t="b">
        <f aca="false">IF(IFERROR(INDEX(tsk_Name,GanttView[[#This Row],[_Row]])="",TRUE()),FALSE(),AND(INDEX(tsk_IsLeaf,GanttView[[#This Row],[_Row]])=1,N(INDEX(tsk_Duration,GanttView[[#This Row],[_Row]]))=0))</f>
        <v>0</v>
      </c>
      <c r="P20" s="132" t="n">
        <f aca="false">IF(IFERROR(INDEX(tsk_Name,GanttView[[#This Row],[_Row]])="",TRUE()),0,IF(AND(INDEX(tsk_IsLeaf,GanttView[[#This Row],[_Row]])=1,NOT(GanttView[[#This Row],[_IsMilestone]]),N(GanttView[[#This Row],[%]])&gt;0),GanttView[[#This Row],[Forecast Start]],0))</f>
        <v>0</v>
      </c>
      <c r="Q20" s="132" t="n">
        <f aca="false">IF(GanttView[[#This Row],[_DoneFrom]]=0,0,IF(GanttView[[#This Row],[%]]&gt;=1,GanttView[[#This Row],[Forecast Finish]],MAX(GanttView[[#This Row],[_DoneFrom]],GanttView[[#This Row],[Forecast Start]]+ROUND((GanttView[[#This Row],[Forecast Finish]]-GanttView[[#This Row],[Forecast Start]]+1)*GanttView[[#This Row],[%]],0)-1)))</f>
        <v>0</v>
      </c>
      <c r="R20" s="132" t="n">
        <f aca="false">IF(IFERROR(INDEX(tsk_Name,GanttView[[#This Row],[_Row]])="",TRUE()),0,IF(OR(INDEX(tsk_IsLeaf,GanttView[[#This Row],[_Row]])&lt;&gt;1,GanttView[[#This Row],[_IsMilestone]],N(GanttView[[#This Row],[%]])&gt;=1),0,IF(GanttView[[#This Row],[_DoneTo]]&gt;0,GanttView[[#This Row],[_DoneTo]]+1,GanttView[[#This Row],[Forecast Start]])))</f>
        <v>0</v>
      </c>
      <c r="S20" s="132" t="n">
        <f aca="false">IF(GanttView[[#This Row],[_RemFrom]]=0,0,GanttView[[#This Row],[Forecast Finish]])</f>
        <v>0</v>
      </c>
      <c r="T20" s="131" t="b">
        <f aca="false">IF(IFERROR(INDEX(tsk_Name,GanttView[[#This Row],[_Row]])="",TRUE()),FALSE(),N(INDEX(tsk_Variance,GanttView[[#This Row],[_Row]]))&gt;0)</f>
        <v>0</v>
      </c>
      <c r="U20" s="132" t="n">
        <f aca="false">IF(IFERROR(INDEX(tsk_Name,GanttView[[#This Row],[_Row]])="",TRUE()),0,N(INDEX(tsk_Deadline,GanttView[[#This Row],[_Row]])))</f>
        <v>0</v>
      </c>
      <c r="V20" s="131" t="b">
        <f aca="false">IF(IFERROR(INDEX(tsk_Name,GanttView[[#This Row],[_Row]])="",TRUE()),FALSE(),INDEX(tsk_Critical,GanttView[[#This Row],[_Row]])="Yes")</f>
        <v>0</v>
      </c>
    </row>
    <row r="21" customFormat="false" ht="15" hidden="false" customHeight="false" outlineLevel="0" collapsed="false">
      <c r="A21" s="126" t="str">
        <f aca="false">IF(IFERROR(INDEX(tsk_Name,GanttView[[#This Row],[_Row]])="",TRUE()),"",INDEX(tsk_ID,GanttView[[#This Row],[_Row]]))</f>
        <v/>
      </c>
      <c r="B21" s="126" t="str">
        <f aca="false">IF(IFERROR(INDEX(tsk_Name,GanttView[[#This Row],[_Row]])="",TRUE()),"",INDEX(tsk_WBS,GanttView[[#This Row],[_Row]]))</f>
        <v/>
      </c>
      <c r="C21" s="127" t="str">
        <f aca="false">IF(IFERROR(INDEX(tsk_Name,GanttView[[#This Row],[_Row]])="",TRUE()),"",REPT("    ",INDEX(tsk_Level,GanttView[[#This Row],[_Row]])-1)&amp;INDEX(tsk_Name,GanttView[[#This Row],[_Row]]))</f>
        <v/>
      </c>
      <c r="D21" s="126" t="str">
        <f aca="false">IF(IFERROR(INDEX(tsk_Name,GanttView[[#This Row],[_Row]])="",TRUE()),"",IF(INDEX(tsk_IsSummary,GanttView[[#This Row],[_Row]]),NETWORKDAYS.INTL(INDEX(tsk_FcStart,GanttView[[#This Row],[_Row]]),INDEX(tsk_FcFinish,GanttView[[#This Row],[_Row]]),WorkWeek,Holidays),N(INDEX(tsk_Duration,GanttView[[#This Row],[_Row]]))))</f>
        <v/>
      </c>
      <c r="E21" s="128" t="str">
        <f aca="false">IF(IFERROR(INDEX(tsk_Name,GanttView[[#This Row],[_Row]])="",TRUE()),"",INDEX(tsk_PlanStart,GanttView[[#This Row],[_Row]]))</f>
        <v/>
      </c>
      <c r="F21" s="128" t="str">
        <f aca="false">IF(IFERROR(INDEX(tsk_Name,GanttView[[#This Row],[_Row]])="",TRUE()),"",INDEX(tsk_PlanFinish,GanttView[[#This Row],[_Row]]))</f>
        <v/>
      </c>
      <c r="G21" s="128" t="str">
        <f aca="false">IF(IFERROR(INDEX(tsk_Name,GanttView[[#This Row],[_Row]])="",TRUE()),"",INDEX(tsk_FcStart,GanttView[[#This Row],[_Row]]))</f>
        <v/>
      </c>
      <c r="H21" s="128" t="str">
        <f aca="false">IF(IFERROR(INDEX(tsk_Name,GanttView[[#This Row],[_Row]])="",TRUE()),"",INDEX(tsk_FcFinish,GanttView[[#This Row],[_Row]]))</f>
        <v/>
      </c>
      <c r="I21" s="129" t="str">
        <f aca="false">IF(IFERROR(INDEX(tsk_Name,GanttView[[#This Row],[_Row]])="",TRUE()),"",INDEX(tsk_Progress,GanttView[[#This Row],[_Row]]))</f>
        <v/>
      </c>
      <c r="J21" s="127" t="str">
        <f aca="false">IF(IFERROR(INDEX(tsk_Name,GanttView[[#This Row],[_Row]])="",TRUE()),"",INDEX(tsk_ResourceNames,GanttView[[#This Row],[_Row]])&amp;"")</f>
        <v/>
      </c>
      <c r="K21" s="126" t="str">
        <f aca="false">IF(IFERROR(INDEX(tsk_Name,GanttView[[#This Row],[_Row]])="",TRUE()),"",INDEX(tsk_Status,GanttView[[#This Row],[_Row]]))</f>
        <v/>
      </c>
      <c r="L21" s="126" t="str">
        <f aca="false">IF(IFERROR(INDEX(tsk_Name,GanttView[[#This Row],[_Row]])="",TRUE()),"",INDEX(tsk_Show,GanttView[[#This Row],[_Row]])&amp;"")</f>
        <v/>
      </c>
      <c r="M21" s="130" t="n">
        <f aca="false">ROW()-ROW(GanttView[[#Headers],[ID]])</f>
        <v>16</v>
      </c>
      <c r="N21" s="131" t="b">
        <f aca="false">IF(IFERROR(INDEX(tsk_Name,GanttView[[#This Row],[_Row]])="",TRUE()),FALSE(),INDEX(tsk_IsSummary,GanttView[[#This Row],[_Row]]))</f>
        <v>0</v>
      </c>
      <c r="O21" s="131" t="b">
        <f aca="false">IF(IFERROR(INDEX(tsk_Name,GanttView[[#This Row],[_Row]])="",TRUE()),FALSE(),AND(INDEX(tsk_IsLeaf,GanttView[[#This Row],[_Row]])=1,N(INDEX(tsk_Duration,GanttView[[#This Row],[_Row]]))=0))</f>
        <v>0</v>
      </c>
      <c r="P21" s="132" t="n">
        <f aca="false">IF(IFERROR(INDEX(tsk_Name,GanttView[[#This Row],[_Row]])="",TRUE()),0,IF(AND(INDEX(tsk_IsLeaf,GanttView[[#This Row],[_Row]])=1,NOT(GanttView[[#This Row],[_IsMilestone]]),N(GanttView[[#This Row],[%]])&gt;0),GanttView[[#This Row],[Forecast Start]],0))</f>
        <v>0</v>
      </c>
      <c r="Q21" s="132" t="n">
        <f aca="false">IF(GanttView[[#This Row],[_DoneFrom]]=0,0,IF(GanttView[[#This Row],[%]]&gt;=1,GanttView[[#This Row],[Forecast Finish]],MAX(GanttView[[#This Row],[_DoneFrom]],GanttView[[#This Row],[Forecast Start]]+ROUND((GanttView[[#This Row],[Forecast Finish]]-GanttView[[#This Row],[Forecast Start]]+1)*GanttView[[#This Row],[%]],0)-1)))</f>
        <v>0</v>
      </c>
      <c r="R21" s="132" t="n">
        <f aca="false">IF(IFERROR(INDEX(tsk_Name,GanttView[[#This Row],[_Row]])="",TRUE()),0,IF(OR(INDEX(tsk_IsLeaf,GanttView[[#This Row],[_Row]])&lt;&gt;1,GanttView[[#This Row],[_IsMilestone]],N(GanttView[[#This Row],[%]])&gt;=1),0,IF(GanttView[[#This Row],[_DoneTo]]&gt;0,GanttView[[#This Row],[_DoneTo]]+1,GanttView[[#This Row],[Forecast Start]])))</f>
        <v>0</v>
      </c>
      <c r="S21" s="132" t="n">
        <f aca="false">IF(GanttView[[#This Row],[_RemFrom]]=0,0,GanttView[[#This Row],[Forecast Finish]])</f>
        <v>0</v>
      </c>
      <c r="T21" s="131" t="b">
        <f aca="false">IF(IFERROR(INDEX(tsk_Name,GanttView[[#This Row],[_Row]])="",TRUE()),FALSE(),N(INDEX(tsk_Variance,GanttView[[#This Row],[_Row]]))&gt;0)</f>
        <v>0</v>
      </c>
      <c r="U21" s="132" t="n">
        <f aca="false">IF(IFERROR(INDEX(tsk_Name,GanttView[[#This Row],[_Row]])="",TRUE()),0,N(INDEX(tsk_Deadline,GanttView[[#This Row],[_Row]])))</f>
        <v>0</v>
      </c>
      <c r="V21" s="131" t="b">
        <f aca="false">IF(IFERROR(INDEX(tsk_Name,GanttView[[#This Row],[_Row]])="",TRUE()),FALSE(),INDEX(tsk_Critical,GanttView[[#This Row],[_Row]])="Yes")</f>
        <v>0</v>
      </c>
    </row>
    <row r="22" customFormat="false" ht="15" hidden="false" customHeight="false" outlineLevel="0" collapsed="false">
      <c r="A22" s="126" t="str">
        <f aca="false">IF(IFERROR(INDEX(tsk_Name,GanttView[[#This Row],[_Row]])="",TRUE()),"",INDEX(tsk_ID,GanttView[[#This Row],[_Row]]))</f>
        <v/>
      </c>
      <c r="B22" s="126" t="str">
        <f aca="false">IF(IFERROR(INDEX(tsk_Name,GanttView[[#This Row],[_Row]])="",TRUE()),"",INDEX(tsk_WBS,GanttView[[#This Row],[_Row]]))</f>
        <v/>
      </c>
      <c r="C22" s="127" t="str">
        <f aca="false">IF(IFERROR(INDEX(tsk_Name,GanttView[[#This Row],[_Row]])="",TRUE()),"",REPT("    ",INDEX(tsk_Level,GanttView[[#This Row],[_Row]])-1)&amp;INDEX(tsk_Name,GanttView[[#This Row],[_Row]]))</f>
        <v/>
      </c>
      <c r="D22" s="126" t="str">
        <f aca="false">IF(IFERROR(INDEX(tsk_Name,GanttView[[#This Row],[_Row]])="",TRUE()),"",IF(INDEX(tsk_IsSummary,GanttView[[#This Row],[_Row]]),NETWORKDAYS.INTL(INDEX(tsk_FcStart,GanttView[[#This Row],[_Row]]),INDEX(tsk_FcFinish,GanttView[[#This Row],[_Row]]),WorkWeek,Holidays),N(INDEX(tsk_Duration,GanttView[[#This Row],[_Row]]))))</f>
        <v/>
      </c>
      <c r="E22" s="128" t="str">
        <f aca="false">IF(IFERROR(INDEX(tsk_Name,GanttView[[#This Row],[_Row]])="",TRUE()),"",INDEX(tsk_PlanStart,GanttView[[#This Row],[_Row]]))</f>
        <v/>
      </c>
      <c r="F22" s="128" t="str">
        <f aca="false">IF(IFERROR(INDEX(tsk_Name,GanttView[[#This Row],[_Row]])="",TRUE()),"",INDEX(tsk_PlanFinish,GanttView[[#This Row],[_Row]]))</f>
        <v/>
      </c>
      <c r="G22" s="128" t="str">
        <f aca="false">IF(IFERROR(INDEX(tsk_Name,GanttView[[#This Row],[_Row]])="",TRUE()),"",INDEX(tsk_FcStart,GanttView[[#This Row],[_Row]]))</f>
        <v/>
      </c>
      <c r="H22" s="128" t="str">
        <f aca="false">IF(IFERROR(INDEX(tsk_Name,GanttView[[#This Row],[_Row]])="",TRUE()),"",INDEX(tsk_FcFinish,GanttView[[#This Row],[_Row]]))</f>
        <v/>
      </c>
      <c r="I22" s="129" t="str">
        <f aca="false">IF(IFERROR(INDEX(tsk_Name,GanttView[[#This Row],[_Row]])="",TRUE()),"",INDEX(tsk_Progress,GanttView[[#This Row],[_Row]]))</f>
        <v/>
      </c>
      <c r="J22" s="127" t="str">
        <f aca="false">IF(IFERROR(INDEX(tsk_Name,GanttView[[#This Row],[_Row]])="",TRUE()),"",INDEX(tsk_ResourceNames,GanttView[[#This Row],[_Row]])&amp;"")</f>
        <v/>
      </c>
      <c r="K22" s="126" t="str">
        <f aca="false">IF(IFERROR(INDEX(tsk_Name,GanttView[[#This Row],[_Row]])="",TRUE()),"",INDEX(tsk_Status,GanttView[[#This Row],[_Row]]))</f>
        <v/>
      </c>
      <c r="L22" s="126" t="str">
        <f aca="false">IF(IFERROR(INDEX(tsk_Name,GanttView[[#This Row],[_Row]])="",TRUE()),"",INDEX(tsk_Show,GanttView[[#This Row],[_Row]])&amp;"")</f>
        <v/>
      </c>
      <c r="M22" s="130" t="n">
        <f aca="false">ROW()-ROW(GanttView[[#Headers],[ID]])</f>
        <v>17</v>
      </c>
      <c r="N22" s="131" t="b">
        <f aca="false">IF(IFERROR(INDEX(tsk_Name,GanttView[[#This Row],[_Row]])="",TRUE()),FALSE(),INDEX(tsk_IsSummary,GanttView[[#This Row],[_Row]]))</f>
        <v>0</v>
      </c>
      <c r="O22" s="131" t="b">
        <f aca="false">IF(IFERROR(INDEX(tsk_Name,GanttView[[#This Row],[_Row]])="",TRUE()),FALSE(),AND(INDEX(tsk_IsLeaf,GanttView[[#This Row],[_Row]])=1,N(INDEX(tsk_Duration,GanttView[[#This Row],[_Row]]))=0))</f>
        <v>0</v>
      </c>
      <c r="P22" s="132" t="n">
        <f aca="false">IF(IFERROR(INDEX(tsk_Name,GanttView[[#This Row],[_Row]])="",TRUE()),0,IF(AND(INDEX(tsk_IsLeaf,GanttView[[#This Row],[_Row]])=1,NOT(GanttView[[#This Row],[_IsMilestone]]),N(GanttView[[#This Row],[%]])&gt;0),GanttView[[#This Row],[Forecast Start]],0))</f>
        <v>0</v>
      </c>
      <c r="Q22" s="132" t="n">
        <f aca="false">IF(GanttView[[#This Row],[_DoneFrom]]=0,0,IF(GanttView[[#This Row],[%]]&gt;=1,GanttView[[#This Row],[Forecast Finish]],MAX(GanttView[[#This Row],[_DoneFrom]],GanttView[[#This Row],[Forecast Start]]+ROUND((GanttView[[#This Row],[Forecast Finish]]-GanttView[[#This Row],[Forecast Start]]+1)*GanttView[[#This Row],[%]],0)-1)))</f>
        <v>0</v>
      </c>
      <c r="R22" s="132" t="n">
        <f aca="false">IF(IFERROR(INDEX(tsk_Name,GanttView[[#This Row],[_Row]])="",TRUE()),0,IF(OR(INDEX(tsk_IsLeaf,GanttView[[#This Row],[_Row]])&lt;&gt;1,GanttView[[#This Row],[_IsMilestone]],N(GanttView[[#This Row],[%]])&gt;=1),0,IF(GanttView[[#This Row],[_DoneTo]]&gt;0,GanttView[[#This Row],[_DoneTo]]+1,GanttView[[#This Row],[Forecast Start]])))</f>
        <v>0</v>
      </c>
      <c r="S22" s="132" t="n">
        <f aca="false">IF(GanttView[[#This Row],[_RemFrom]]=0,0,GanttView[[#This Row],[Forecast Finish]])</f>
        <v>0</v>
      </c>
      <c r="T22" s="131" t="b">
        <f aca="false">IF(IFERROR(INDEX(tsk_Name,GanttView[[#This Row],[_Row]])="",TRUE()),FALSE(),N(INDEX(tsk_Variance,GanttView[[#This Row],[_Row]]))&gt;0)</f>
        <v>0</v>
      </c>
      <c r="U22" s="132" t="n">
        <f aca="false">IF(IFERROR(INDEX(tsk_Name,GanttView[[#This Row],[_Row]])="",TRUE()),0,N(INDEX(tsk_Deadline,GanttView[[#This Row],[_Row]])))</f>
        <v>0</v>
      </c>
      <c r="V22" s="131" t="b">
        <f aca="false">IF(IFERROR(INDEX(tsk_Name,GanttView[[#This Row],[_Row]])="",TRUE()),FALSE(),INDEX(tsk_Critical,GanttView[[#This Row],[_Row]])="Yes")</f>
        <v>0</v>
      </c>
    </row>
    <row r="23" customFormat="false" ht="15" hidden="false" customHeight="false" outlineLevel="0" collapsed="false">
      <c r="A23" s="126" t="str">
        <f aca="false">IF(IFERROR(INDEX(tsk_Name,GanttView[[#This Row],[_Row]])="",TRUE()),"",INDEX(tsk_ID,GanttView[[#This Row],[_Row]]))</f>
        <v/>
      </c>
      <c r="B23" s="126" t="str">
        <f aca="false">IF(IFERROR(INDEX(tsk_Name,GanttView[[#This Row],[_Row]])="",TRUE()),"",INDEX(tsk_WBS,GanttView[[#This Row],[_Row]]))</f>
        <v/>
      </c>
      <c r="C23" s="127" t="str">
        <f aca="false">IF(IFERROR(INDEX(tsk_Name,GanttView[[#This Row],[_Row]])="",TRUE()),"",REPT("    ",INDEX(tsk_Level,GanttView[[#This Row],[_Row]])-1)&amp;INDEX(tsk_Name,GanttView[[#This Row],[_Row]]))</f>
        <v/>
      </c>
      <c r="D23" s="126" t="str">
        <f aca="false">IF(IFERROR(INDEX(tsk_Name,GanttView[[#This Row],[_Row]])="",TRUE()),"",IF(INDEX(tsk_IsSummary,GanttView[[#This Row],[_Row]]),NETWORKDAYS.INTL(INDEX(tsk_FcStart,GanttView[[#This Row],[_Row]]),INDEX(tsk_FcFinish,GanttView[[#This Row],[_Row]]),WorkWeek,Holidays),N(INDEX(tsk_Duration,GanttView[[#This Row],[_Row]]))))</f>
        <v/>
      </c>
      <c r="E23" s="128" t="str">
        <f aca="false">IF(IFERROR(INDEX(tsk_Name,GanttView[[#This Row],[_Row]])="",TRUE()),"",INDEX(tsk_PlanStart,GanttView[[#This Row],[_Row]]))</f>
        <v/>
      </c>
      <c r="F23" s="128" t="str">
        <f aca="false">IF(IFERROR(INDEX(tsk_Name,GanttView[[#This Row],[_Row]])="",TRUE()),"",INDEX(tsk_PlanFinish,GanttView[[#This Row],[_Row]]))</f>
        <v/>
      </c>
      <c r="G23" s="128" t="str">
        <f aca="false">IF(IFERROR(INDEX(tsk_Name,GanttView[[#This Row],[_Row]])="",TRUE()),"",INDEX(tsk_FcStart,GanttView[[#This Row],[_Row]]))</f>
        <v/>
      </c>
      <c r="H23" s="128" t="str">
        <f aca="false">IF(IFERROR(INDEX(tsk_Name,GanttView[[#This Row],[_Row]])="",TRUE()),"",INDEX(tsk_FcFinish,GanttView[[#This Row],[_Row]]))</f>
        <v/>
      </c>
      <c r="I23" s="129" t="str">
        <f aca="false">IF(IFERROR(INDEX(tsk_Name,GanttView[[#This Row],[_Row]])="",TRUE()),"",INDEX(tsk_Progress,GanttView[[#This Row],[_Row]]))</f>
        <v/>
      </c>
      <c r="J23" s="127" t="str">
        <f aca="false">IF(IFERROR(INDEX(tsk_Name,GanttView[[#This Row],[_Row]])="",TRUE()),"",INDEX(tsk_ResourceNames,GanttView[[#This Row],[_Row]])&amp;"")</f>
        <v/>
      </c>
      <c r="K23" s="126" t="str">
        <f aca="false">IF(IFERROR(INDEX(tsk_Name,GanttView[[#This Row],[_Row]])="",TRUE()),"",INDEX(tsk_Status,GanttView[[#This Row],[_Row]]))</f>
        <v/>
      </c>
      <c r="L23" s="126" t="str">
        <f aca="false">IF(IFERROR(INDEX(tsk_Name,GanttView[[#This Row],[_Row]])="",TRUE()),"",INDEX(tsk_Show,GanttView[[#This Row],[_Row]])&amp;"")</f>
        <v/>
      </c>
      <c r="M23" s="130" t="n">
        <f aca="false">ROW()-ROW(GanttView[[#Headers],[ID]])</f>
        <v>18</v>
      </c>
      <c r="N23" s="131" t="b">
        <f aca="false">IF(IFERROR(INDEX(tsk_Name,GanttView[[#This Row],[_Row]])="",TRUE()),FALSE(),INDEX(tsk_IsSummary,GanttView[[#This Row],[_Row]]))</f>
        <v>0</v>
      </c>
      <c r="O23" s="131" t="b">
        <f aca="false">IF(IFERROR(INDEX(tsk_Name,GanttView[[#This Row],[_Row]])="",TRUE()),FALSE(),AND(INDEX(tsk_IsLeaf,GanttView[[#This Row],[_Row]])=1,N(INDEX(tsk_Duration,GanttView[[#This Row],[_Row]]))=0))</f>
        <v>0</v>
      </c>
      <c r="P23" s="132" t="n">
        <f aca="false">IF(IFERROR(INDEX(tsk_Name,GanttView[[#This Row],[_Row]])="",TRUE()),0,IF(AND(INDEX(tsk_IsLeaf,GanttView[[#This Row],[_Row]])=1,NOT(GanttView[[#This Row],[_IsMilestone]]),N(GanttView[[#This Row],[%]])&gt;0),GanttView[[#This Row],[Forecast Start]],0))</f>
        <v>0</v>
      </c>
      <c r="Q23" s="132" t="n">
        <f aca="false">IF(GanttView[[#This Row],[_DoneFrom]]=0,0,IF(GanttView[[#This Row],[%]]&gt;=1,GanttView[[#This Row],[Forecast Finish]],MAX(GanttView[[#This Row],[_DoneFrom]],GanttView[[#This Row],[Forecast Start]]+ROUND((GanttView[[#This Row],[Forecast Finish]]-GanttView[[#This Row],[Forecast Start]]+1)*GanttView[[#This Row],[%]],0)-1)))</f>
        <v>0</v>
      </c>
      <c r="R23" s="132" t="n">
        <f aca="false">IF(IFERROR(INDEX(tsk_Name,GanttView[[#This Row],[_Row]])="",TRUE()),0,IF(OR(INDEX(tsk_IsLeaf,GanttView[[#This Row],[_Row]])&lt;&gt;1,GanttView[[#This Row],[_IsMilestone]],N(GanttView[[#This Row],[%]])&gt;=1),0,IF(GanttView[[#This Row],[_DoneTo]]&gt;0,GanttView[[#This Row],[_DoneTo]]+1,GanttView[[#This Row],[Forecast Start]])))</f>
        <v>0</v>
      </c>
      <c r="S23" s="132" t="n">
        <f aca="false">IF(GanttView[[#This Row],[_RemFrom]]=0,0,GanttView[[#This Row],[Forecast Finish]])</f>
        <v>0</v>
      </c>
      <c r="T23" s="131" t="b">
        <f aca="false">IF(IFERROR(INDEX(tsk_Name,GanttView[[#This Row],[_Row]])="",TRUE()),FALSE(),N(INDEX(tsk_Variance,GanttView[[#This Row],[_Row]]))&gt;0)</f>
        <v>0</v>
      </c>
      <c r="U23" s="132" t="n">
        <f aca="false">IF(IFERROR(INDEX(tsk_Name,GanttView[[#This Row],[_Row]])="",TRUE()),0,N(INDEX(tsk_Deadline,GanttView[[#This Row],[_Row]])))</f>
        <v>0</v>
      </c>
      <c r="V23" s="131" t="b">
        <f aca="false">IF(IFERROR(INDEX(tsk_Name,GanttView[[#This Row],[_Row]])="",TRUE()),FALSE(),INDEX(tsk_Critical,GanttView[[#This Row],[_Row]])="Yes")</f>
        <v>0</v>
      </c>
    </row>
    <row r="24" customFormat="false" ht="15" hidden="false" customHeight="false" outlineLevel="0" collapsed="false">
      <c r="A24" s="126" t="str">
        <f aca="false">IF(IFERROR(INDEX(tsk_Name,GanttView[[#This Row],[_Row]])="",TRUE()),"",INDEX(tsk_ID,GanttView[[#This Row],[_Row]]))</f>
        <v/>
      </c>
      <c r="B24" s="126" t="str">
        <f aca="false">IF(IFERROR(INDEX(tsk_Name,GanttView[[#This Row],[_Row]])="",TRUE()),"",INDEX(tsk_WBS,GanttView[[#This Row],[_Row]]))</f>
        <v/>
      </c>
      <c r="C24" s="127" t="str">
        <f aca="false">IF(IFERROR(INDEX(tsk_Name,GanttView[[#This Row],[_Row]])="",TRUE()),"",REPT("    ",INDEX(tsk_Level,GanttView[[#This Row],[_Row]])-1)&amp;INDEX(tsk_Name,GanttView[[#This Row],[_Row]]))</f>
        <v/>
      </c>
      <c r="D24" s="126" t="str">
        <f aca="false">IF(IFERROR(INDEX(tsk_Name,GanttView[[#This Row],[_Row]])="",TRUE()),"",IF(INDEX(tsk_IsSummary,GanttView[[#This Row],[_Row]]),NETWORKDAYS.INTL(INDEX(tsk_FcStart,GanttView[[#This Row],[_Row]]),INDEX(tsk_FcFinish,GanttView[[#This Row],[_Row]]),WorkWeek,Holidays),N(INDEX(tsk_Duration,GanttView[[#This Row],[_Row]]))))</f>
        <v/>
      </c>
      <c r="E24" s="128" t="str">
        <f aca="false">IF(IFERROR(INDEX(tsk_Name,GanttView[[#This Row],[_Row]])="",TRUE()),"",INDEX(tsk_PlanStart,GanttView[[#This Row],[_Row]]))</f>
        <v/>
      </c>
      <c r="F24" s="128" t="str">
        <f aca="false">IF(IFERROR(INDEX(tsk_Name,GanttView[[#This Row],[_Row]])="",TRUE()),"",INDEX(tsk_PlanFinish,GanttView[[#This Row],[_Row]]))</f>
        <v/>
      </c>
      <c r="G24" s="128" t="str">
        <f aca="false">IF(IFERROR(INDEX(tsk_Name,GanttView[[#This Row],[_Row]])="",TRUE()),"",INDEX(tsk_FcStart,GanttView[[#This Row],[_Row]]))</f>
        <v/>
      </c>
      <c r="H24" s="128" t="str">
        <f aca="false">IF(IFERROR(INDEX(tsk_Name,GanttView[[#This Row],[_Row]])="",TRUE()),"",INDEX(tsk_FcFinish,GanttView[[#This Row],[_Row]]))</f>
        <v/>
      </c>
      <c r="I24" s="129" t="str">
        <f aca="false">IF(IFERROR(INDEX(tsk_Name,GanttView[[#This Row],[_Row]])="",TRUE()),"",INDEX(tsk_Progress,GanttView[[#This Row],[_Row]]))</f>
        <v/>
      </c>
      <c r="J24" s="127" t="str">
        <f aca="false">IF(IFERROR(INDEX(tsk_Name,GanttView[[#This Row],[_Row]])="",TRUE()),"",INDEX(tsk_ResourceNames,GanttView[[#This Row],[_Row]])&amp;"")</f>
        <v/>
      </c>
      <c r="K24" s="126" t="str">
        <f aca="false">IF(IFERROR(INDEX(tsk_Name,GanttView[[#This Row],[_Row]])="",TRUE()),"",INDEX(tsk_Status,GanttView[[#This Row],[_Row]]))</f>
        <v/>
      </c>
      <c r="L24" s="126" t="str">
        <f aca="false">IF(IFERROR(INDEX(tsk_Name,GanttView[[#This Row],[_Row]])="",TRUE()),"",INDEX(tsk_Show,GanttView[[#This Row],[_Row]])&amp;"")</f>
        <v/>
      </c>
      <c r="M24" s="130" t="n">
        <f aca="false">ROW()-ROW(GanttView[[#Headers],[ID]])</f>
        <v>19</v>
      </c>
      <c r="N24" s="131" t="b">
        <f aca="false">IF(IFERROR(INDEX(tsk_Name,GanttView[[#This Row],[_Row]])="",TRUE()),FALSE(),INDEX(tsk_IsSummary,GanttView[[#This Row],[_Row]]))</f>
        <v>0</v>
      </c>
      <c r="O24" s="131" t="b">
        <f aca="false">IF(IFERROR(INDEX(tsk_Name,GanttView[[#This Row],[_Row]])="",TRUE()),FALSE(),AND(INDEX(tsk_IsLeaf,GanttView[[#This Row],[_Row]])=1,N(INDEX(tsk_Duration,GanttView[[#This Row],[_Row]]))=0))</f>
        <v>0</v>
      </c>
      <c r="P24" s="132" t="n">
        <f aca="false">IF(IFERROR(INDEX(tsk_Name,GanttView[[#This Row],[_Row]])="",TRUE()),0,IF(AND(INDEX(tsk_IsLeaf,GanttView[[#This Row],[_Row]])=1,NOT(GanttView[[#This Row],[_IsMilestone]]),N(GanttView[[#This Row],[%]])&gt;0),GanttView[[#This Row],[Forecast Start]],0))</f>
        <v>0</v>
      </c>
      <c r="Q24" s="132" t="n">
        <f aca="false">IF(GanttView[[#This Row],[_DoneFrom]]=0,0,IF(GanttView[[#This Row],[%]]&gt;=1,GanttView[[#This Row],[Forecast Finish]],MAX(GanttView[[#This Row],[_DoneFrom]],GanttView[[#This Row],[Forecast Start]]+ROUND((GanttView[[#This Row],[Forecast Finish]]-GanttView[[#This Row],[Forecast Start]]+1)*GanttView[[#This Row],[%]],0)-1)))</f>
        <v>0</v>
      </c>
      <c r="R24" s="132" t="n">
        <f aca="false">IF(IFERROR(INDEX(tsk_Name,GanttView[[#This Row],[_Row]])="",TRUE()),0,IF(OR(INDEX(tsk_IsLeaf,GanttView[[#This Row],[_Row]])&lt;&gt;1,GanttView[[#This Row],[_IsMilestone]],N(GanttView[[#This Row],[%]])&gt;=1),0,IF(GanttView[[#This Row],[_DoneTo]]&gt;0,GanttView[[#This Row],[_DoneTo]]+1,GanttView[[#This Row],[Forecast Start]])))</f>
        <v>0</v>
      </c>
      <c r="S24" s="132" t="n">
        <f aca="false">IF(GanttView[[#This Row],[_RemFrom]]=0,0,GanttView[[#This Row],[Forecast Finish]])</f>
        <v>0</v>
      </c>
      <c r="T24" s="131" t="b">
        <f aca="false">IF(IFERROR(INDEX(tsk_Name,GanttView[[#This Row],[_Row]])="",TRUE()),FALSE(),N(INDEX(tsk_Variance,GanttView[[#This Row],[_Row]]))&gt;0)</f>
        <v>0</v>
      </c>
      <c r="U24" s="132" t="n">
        <f aca="false">IF(IFERROR(INDEX(tsk_Name,GanttView[[#This Row],[_Row]])="",TRUE()),0,N(INDEX(tsk_Deadline,GanttView[[#This Row],[_Row]])))</f>
        <v>0</v>
      </c>
      <c r="V24" s="131" t="b">
        <f aca="false">IF(IFERROR(INDEX(tsk_Name,GanttView[[#This Row],[_Row]])="",TRUE()),FALSE(),INDEX(tsk_Critical,GanttView[[#This Row],[_Row]])="Yes")</f>
        <v>0</v>
      </c>
    </row>
    <row r="25" customFormat="false" ht="15" hidden="false" customHeight="false" outlineLevel="0" collapsed="false">
      <c r="A25" s="126" t="str">
        <f aca="false">IF(IFERROR(INDEX(tsk_Name,GanttView[[#This Row],[_Row]])="",TRUE()),"",INDEX(tsk_ID,GanttView[[#This Row],[_Row]]))</f>
        <v/>
      </c>
      <c r="B25" s="126" t="str">
        <f aca="false">IF(IFERROR(INDEX(tsk_Name,GanttView[[#This Row],[_Row]])="",TRUE()),"",INDEX(tsk_WBS,GanttView[[#This Row],[_Row]]))</f>
        <v/>
      </c>
      <c r="C25" s="127" t="str">
        <f aca="false">IF(IFERROR(INDEX(tsk_Name,GanttView[[#This Row],[_Row]])="",TRUE()),"",REPT("    ",INDEX(tsk_Level,GanttView[[#This Row],[_Row]])-1)&amp;INDEX(tsk_Name,GanttView[[#This Row],[_Row]]))</f>
        <v/>
      </c>
      <c r="D25" s="126" t="str">
        <f aca="false">IF(IFERROR(INDEX(tsk_Name,GanttView[[#This Row],[_Row]])="",TRUE()),"",IF(INDEX(tsk_IsSummary,GanttView[[#This Row],[_Row]]),NETWORKDAYS.INTL(INDEX(tsk_FcStart,GanttView[[#This Row],[_Row]]),INDEX(tsk_FcFinish,GanttView[[#This Row],[_Row]]),WorkWeek,Holidays),N(INDEX(tsk_Duration,GanttView[[#This Row],[_Row]]))))</f>
        <v/>
      </c>
      <c r="E25" s="128" t="str">
        <f aca="false">IF(IFERROR(INDEX(tsk_Name,GanttView[[#This Row],[_Row]])="",TRUE()),"",INDEX(tsk_PlanStart,GanttView[[#This Row],[_Row]]))</f>
        <v/>
      </c>
      <c r="F25" s="128" t="str">
        <f aca="false">IF(IFERROR(INDEX(tsk_Name,GanttView[[#This Row],[_Row]])="",TRUE()),"",INDEX(tsk_PlanFinish,GanttView[[#This Row],[_Row]]))</f>
        <v/>
      </c>
      <c r="G25" s="128" t="str">
        <f aca="false">IF(IFERROR(INDEX(tsk_Name,GanttView[[#This Row],[_Row]])="",TRUE()),"",INDEX(tsk_FcStart,GanttView[[#This Row],[_Row]]))</f>
        <v/>
      </c>
      <c r="H25" s="128" t="str">
        <f aca="false">IF(IFERROR(INDEX(tsk_Name,GanttView[[#This Row],[_Row]])="",TRUE()),"",INDEX(tsk_FcFinish,GanttView[[#This Row],[_Row]]))</f>
        <v/>
      </c>
      <c r="I25" s="129" t="str">
        <f aca="false">IF(IFERROR(INDEX(tsk_Name,GanttView[[#This Row],[_Row]])="",TRUE()),"",INDEX(tsk_Progress,GanttView[[#This Row],[_Row]]))</f>
        <v/>
      </c>
      <c r="J25" s="127" t="str">
        <f aca="false">IF(IFERROR(INDEX(tsk_Name,GanttView[[#This Row],[_Row]])="",TRUE()),"",INDEX(tsk_ResourceNames,GanttView[[#This Row],[_Row]])&amp;"")</f>
        <v/>
      </c>
      <c r="K25" s="126" t="str">
        <f aca="false">IF(IFERROR(INDEX(tsk_Name,GanttView[[#This Row],[_Row]])="",TRUE()),"",INDEX(tsk_Status,GanttView[[#This Row],[_Row]]))</f>
        <v/>
      </c>
      <c r="L25" s="126" t="str">
        <f aca="false">IF(IFERROR(INDEX(tsk_Name,GanttView[[#This Row],[_Row]])="",TRUE()),"",INDEX(tsk_Show,GanttView[[#This Row],[_Row]])&amp;"")</f>
        <v/>
      </c>
      <c r="M25" s="130" t="n">
        <f aca="false">ROW()-ROW(GanttView[[#Headers],[ID]])</f>
        <v>20</v>
      </c>
      <c r="N25" s="131" t="b">
        <f aca="false">IF(IFERROR(INDEX(tsk_Name,GanttView[[#This Row],[_Row]])="",TRUE()),FALSE(),INDEX(tsk_IsSummary,GanttView[[#This Row],[_Row]]))</f>
        <v>0</v>
      </c>
      <c r="O25" s="131" t="b">
        <f aca="false">IF(IFERROR(INDEX(tsk_Name,GanttView[[#This Row],[_Row]])="",TRUE()),FALSE(),AND(INDEX(tsk_IsLeaf,GanttView[[#This Row],[_Row]])=1,N(INDEX(tsk_Duration,GanttView[[#This Row],[_Row]]))=0))</f>
        <v>0</v>
      </c>
      <c r="P25" s="132" t="n">
        <f aca="false">IF(IFERROR(INDEX(tsk_Name,GanttView[[#This Row],[_Row]])="",TRUE()),0,IF(AND(INDEX(tsk_IsLeaf,GanttView[[#This Row],[_Row]])=1,NOT(GanttView[[#This Row],[_IsMilestone]]),N(GanttView[[#This Row],[%]])&gt;0),GanttView[[#This Row],[Forecast Start]],0))</f>
        <v>0</v>
      </c>
      <c r="Q25" s="132" t="n">
        <f aca="false">IF(GanttView[[#This Row],[_DoneFrom]]=0,0,IF(GanttView[[#This Row],[%]]&gt;=1,GanttView[[#This Row],[Forecast Finish]],MAX(GanttView[[#This Row],[_DoneFrom]],GanttView[[#This Row],[Forecast Start]]+ROUND((GanttView[[#This Row],[Forecast Finish]]-GanttView[[#This Row],[Forecast Start]]+1)*GanttView[[#This Row],[%]],0)-1)))</f>
        <v>0</v>
      </c>
      <c r="R25" s="132" t="n">
        <f aca="false">IF(IFERROR(INDEX(tsk_Name,GanttView[[#This Row],[_Row]])="",TRUE()),0,IF(OR(INDEX(tsk_IsLeaf,GanttView[[#This Row],[_Row]])&lt;&gt;1,GanttView[[#This Row],[_IsMilestone]],N(GanttView[[#This Row],[%]])&gt;=1),0,IF(GanttView[[#This Row],[_DoneTo]]&gt;0,GanttView[[#This Row],[_DoneTo]]+1,GanttView[[#This Row],[Forecast Start]])))</f>
        <v>0</v>
      </c>
      <c r="S25" s="132" t="n">
        <f aca="false">IF(GanttView[[#This Row],[_RemFrom]]=0,0,GanttView[[#This Row],[Forecast Finish]])</f>
        <v>0</v>
      </c>
      <c r="T25" s="131" t="b">
        <f aca="false">IF(IFERROR(INDEX(tsk_Name,GanttView[[#This Row],[_Row]])="",TRUE()),FALSE(),N(INDEX(tsk_Variance,GanttView[[#This Row],[_Row]]))&gt;0)</f>
        <v>0</v>
      </c>
      <c r="U25" s="132" t="n">
        <f aca="false">IF(IFERROR(INDEX(tsk_Name,GanttView[[#This Row],[_Row]])="",TRUE()),0,N(INDEX(tsk_Deadline,GanttView[[#This Row],[_Row]])))</f>
        <v>0</v>
      </c>
      <c r="V25" s="131" t="b">
        <f aca="false">IF(IFERROR(INDEX(tsk_Name,GanttView[[#This Row],[_Row]])="",TRUE()),FALSE(),INDEX(tsk_Critical,GanttView[[#This Row],[_Row]])="Yes")</f>
        <v>0</v>
      </c>
    </row>
    <row r="26" customFormat="false" ht="15" hidden="false" customHeight="false" outlineLevel="0" collapsed="false">
      <c r="A26" s="126" t="str">
        <f aca="false">IF(IFERROR(INDEX(tsk_Name,GanttView[[#This Row],[_Row]])="",TRUE()),"",INDEX(tsk_ID,GanttView[[#This Row],[_Row]]))</f>
        <v/>
      </c>
      <c r="B26" s="126" t="str">
        <f aca="false">IF(IFERROR(INDEX(tsk_Name,GanttView[[#This Row],[_Row]])="",TRUE()),"",INDEX(tsk_WBS,GanttView[[#This Row],[_Row]]))</f>
        <v/>
      </c>
      <c r="C26" s="127" t="str">
        <f aca="false">IF(IFERROR(INDEX(tsk_Name,GanttView[[#This Row],[_Row]])="",TRUE()),"",REPT("    ",INDEX(tsk_Level,GanttView[[#This Row],[_Row]])-1)&amp;INDEX(tsk_Name,GanttView[[#This Row],[_Row]]))</f>
        <v/>
      </c>
      <c r="D26" s="126" t="str">
        <f aca="false">IF(IFERROR(INDEX(tsk_Name,GanttView[[#This Row],[_Row]])="",TRUE()),"",IF(INDEX(tsk_IsSummary,GanttView[[#This Row],[_Row]]),NETWORKDAYS.INTL(INDEX(tsk_FcStart,GanttView[[#This Row],[_Row]]),INDEX(tsk_FcFinish,GanttView[[#This Row],[_Row]]),WorkWeek,Holidays),N(INDEX(tsk_Duration,GanttView[[#This Row],[_Row]]))))</f>
        <v/>
      </c>
      <c r="E26" s="128" t="str">
        <f aca="false">IF(IFERROR(INDEX(tsk_Name,GanttView[[#This Row],[_Row]])="",TRUE()),"",INDEX(tsk_PlanStart,GanttView[[#This Row],[_Row]]))</f>
        <v/>
      </c>
      <c r="F26" s="128" t="str">
        <f aca="false">IF(IFERROR(INDEX(tsk_Name,GanttView[[#This Row],[_Row]])="",TRUE()),"",INDEX(tsk_PlanFinish,GanttView[[#This Row],[_Row]]))</f>
        <v/>
      </c>
      <c r="G26" s="128" t="str">
        <f aca="false">IF(IFERROR(INDEX(tsk_Name,GanttView[[#This Row],[_Row]])="",TRUE()),"",INDEX(tsk_FcStart,GanttView[[#This Row],[_Row]]))</f>
        <v/>
      </c>
      <c r="H26" s="128" t="str">
        <f aca="false">IF(IFERROR(INDEX(tsk_Name,GanttView[[#This Row],[_Row]])="",TRUE()),"",INDEX(tsk_FcFinish,GanttView[[#This Row],[_Row]]))</f>
        <v/>
      </c>
      <c r="I26" s="129" t="str">
        <f aca="false">IF(IFERROR(INDEX(tsk_Name,GanttView[[#This Row],[_Row]])="",TRUE()),"",INDEX(tsk_Progress,GanttView[[#This Row],[_Row]]))</f>
        <v/>
      </c>
      <c r="J26" s="127" t="str">
        <f aca="false">IF(IFERROR(INDEX(tsk_Name,GanttView[[#This Row],[_Row]])="",TRUE()),"",INDEX(tsk_ResourceNames,GanttView[[#This Row],[_Row]])&amp;"")</f>
        <v/>
      </c>
      <c r="K26" s="126" t="str">
        <f aca="false">IF(IFERROR(INDEX(tsk_Name,GanttView[[#This Row],[_Row]])="",TRUE()),"",INDEX(tsk_Status,GanttView[[#This Row],[_Row]]))</f>
        <v/>
      </c>
      <c r="L26" s="126" t="str">
        <f aca="false">IF(IFERROR(INDEX(tsk_Name,GanttView[[#This Row],[_Row]])="",TRUE()),"",INDEX(tsk_Show,GanttView[[#This Row],[_Row]])&amp;"")</f>
        <v/>
      </c>
      <c r="M26" s="130" t="n">
        <f aca="false">ROW()-ROW(GanttView[[#Headers],[ID]])</f>
        <v>21</v>
      </c>
      <c r="N26" s="131" t="b">
        <f aca="false">IF(IFERROR(INDEX(tsk_Name,GanttView[[#This Row],[_Row]])="",TRUE()),FALSE(),INDEX(tsk_IsSummary,GanttView[[#This Row],[_Row]]))</f>
        <v>0</v>
      </c>
      <c r="O26" s="131" t="b">
        <f aca="false">IF(IFERROR(INDEX(tsk_Name,GanttView[[#This Row],[_Row]])="",TRUE()),FALSE(),AND(INDEX(tsk_IsLeaf,GanttView[[#This Row],[_Row]])=1,N(INDEX(tsk_Duration,GanttView[[#This Row],[_Row]]))=0))</f>
        <v>0</v>
      </c>
      <c r="P26" s="132" t="n">
        <f aca="false">IF(IFERROR(INDEX(tsk_Name,GanttView[[#This Row],[_Row]])="",TRUE()),0,IF(AND(INDEX(tsk_IsLeaf,GanttView[[#This Row],[_Row]])=1,NOT(GanttView[[#This Row],[_IsMilestone]]),N(GanttView[[#This Row],[%]])&gt;0),GanttView[[#This Row],[Forecast Start]],0))</f>
        <v>0</v>
      </c>
      <c r="Q26" s="132" t="n">
        <f aca="false">IF(GanttView[[#This Row],[_DoneFrom]]=0,0,IF(GanttView[[#This Row],[%]]&gt;=1,GanttView[[#This Row],[Forecast Finish]],MAX(GanttView[[#This Row],[_DoneFrom]],GanttView[[#This Row],[Forecast Start]]+ROUND((GanttView[[#This Row],[Forecast Finish]]-GanttView[[#This Row],[Forecast Start]]+1)*GanttView[[#This Row],[%]],0)-1)))</f>
        <v>0</v>
      </c>
      <c r="R26" s="132" t="n">
        <f aca="false">IF(IFERROR(INDEX(tsk_Name,GanttView[[#This Row],[_Row]])="",TRUE()),0,IF(OR(INDEX(tsk_IsLeaf,GanttView[[#This Row],[_Row]])&lt;&gt;1,GanttView[[#This Row],[_IsMilestone]],N(GanttView[[#This Row],[%]])&gt;=1),0,IF(GanttView[[#This Row],[_DoneTo]]&gt;0,GanttView[[#This Row],[_DoneTo]]+1,GanttView[[#This Row],[Forecast Start]])))</f>
        <v>0</v>
      </c>
      <c r="S26" s="132" t="n">
        <f aca="false">IF(GanttView[[#This Row],[_RemFrom]]=0,0,GanttView[[#This Row],[Forecast Finish]])</f>
        <v>0</v>
      </c>
      <c r="T26" s="131" t="b">
        <f aca="false">IF(IFERROR(INDEX(tsk_Name,GanttView[[#This Row],[_Row]])="",TRUE()),FALSE(),N(INDEX(tsk_Variance,GanttView[[#This Row],[_Row]]))&gt;0)</f>
        <v>0</v>
      </c>
      <c r="U26" s="132" t="n">
        <f aca="false">IF(IFERROR(INDEX(tsk_Name,GanttView[[#This Row],[_Row]])="",TRUE()),0,N(INDEX(tsk_Deadline,GanttView[[#This Row],[_Row]])))</f>
        <v>0</v>
      </c>
      <c r="V26" s="131" t="b">
        <f aca="false">IF(IFERROR(INDEX(tsk_Name,GanttView[[#This Row],[_Row]])="",TRUE()),FALSE(),INDEX(tsk_Critical,GanttView[[#This Row],[_Row]])="Yes")</f>
        <v>0</v>
      </c>
    </row>
    <row r="27" customFormat="false" ht="15" hidden="false" customHeight="false" outlineLevel="0" collapsed="false">
      <c r="A27" s="126" t="str">
        <f aca="false">IF(IFERROR(INDEX(tsk_Name,GanttView[[#This Row],[_Row]])="",TRUE()),"",INDEX(tsk_ID,GanttView[[#This Row],[_Row]]))</f>
        <v/>
      </c>
      <c r="B27" s="126" t="str">
        <f aca="false">IF(IFERROR(INDEX(tsk_Name,GanttView[[#This Row],[_Row]])="",TRUE()),"",INDEX(tsk_WBS,GanttView[[#This Row],[_Row]]))</f>
        <v/>
      </c>
      <c r="C27" s="127" t="str">
        <f aca="false">IF(IFERROR(INDEX(tsk_Name,GanttView[[#This Row],[_Row]])="",TRUE()),"",REPT("    ",INDEX(tsk_Level,GanttView[[#This Row],[_Row]])-1)&amp;INDEX(tsk_Name,GanttView[[#This Row],[_Row]]))</f>
        <v/>
      </c>
      <c r="D27" s="126" t="str">
        <f aca="false">IF(IFERROR(INDEX(tsk_Name,GanttView[[#This Row],[_Row]])="",TRUE()),"",IF(INDEX(tsk_IsSummary,GanttView[[#This Row],[_Row]]),NETWORKDAYS.INTL(INDEX(tsk_FcStart,GanttView[[#This Row],[_Row]]),INDEX(tsk_FcFinish,GanttView[[#This Row],[_Row]]),WorkWeek,Holidays),N(INDEX(tsk_Duration,GanttView[[#This Row],[_Row]]))))</f>
        <v/>
      </c>
      <c r="E27" s="128" t="str">
        <f aca="false">IF(IFERROR(INDEX(tsk_Name,GanttView[[#This Row],[_Row]])="",TRUE()),"",INDEX(tsk_PlanStart,GanttView[[#This Row],[_Row]]))</f>
        <v/>
      </c>
      <c r="F27" s="128" t="str">
        <f aca="false">IF(IFERROR(INDEX(tsk_Name,GanttView[[#This Row],[_Row]])="",TRUE()),"",INDEX(tsk_PlanFinish,GanttView[[#This Row],[_Row]]))</f>
        <v/>
      </c>
      <c r="G27" s="128" t="str">
        <f aca="false">IF(IFERROR(INDEX(tsk_Name,GanttView[[#This Row],[_Row]])="",TRUE()),"",INDEX(tsk_FcStart,GanttView[[#This Row],[_Row]]))</f>
        <v/>
      </c>
      <c r="H27" s="128" t="str">
        <f aca="false">IF(IFERROR(INDEX(tsk_Name,GanttView[[#This Row],[_Row]])="",TRUE()),"",INDEX(tsk_FcFinish,GanttView[[#This Row],[_Row]]))</f>
        <v/>
      </c>
      <c r="I27" s="129" t="str">
        <f aca="false">IF(IFERROR(INDEX(tsk_Name,GanttView[[#This Row],[_Row]])="",TRUE()),"",INDEX(tsk_Progress,GanttView[[#This Row],[_Row]]))</f>
        <v/>
      </c>
      <c r="J27" s="127" t="str">
        <f aca="false">IF(IFERROR(INDEX(tsk_Name,GanttView[[#This Row],[_Row]])="",TRUE()),"",INDEX(tsk_ResourceNames,GanttView[[#This Row],[_Row]])&amp;"")</f>
        <v/>
      </c>
      <c r="K27" s="126" t="str">
        <f aca="false">IF(IFERROR(INDEX(tsk_Name,GanttView[[#This Row],[_Row]])="",TRUE()),"",INDEX(tsk_Status,GanttView[[#This Row],[_Row]]))</f>
        <v/>
      </c>
      <c r="L27" s="126" t="str">
        <f aca="false">IF(IFERROR(INDEX(tsk_Name,GanttView[[#This Row],[_Row]])="",TRUE()),"",INDEX(tsk_Show,GanttView[[#This Row],[_Row]])&amp;"")</f>
        <v/>
      </c>
      <c r="M27" s="130" t="n">
        <f aca="false">ROW()-ROW(GanttView[[#Headers],[ID]])</f>
        <v>22</v>
      </c>
      <c r="N27" s="131" t="b">
        <f aca="false">IF(IFERROR(INDEX(tsk_Name,GanttView[[#This Row],[_Row]])="",TRUE()),FALSE(),INDEX(tsk_IsSummary,GanttView[[#This Row],[_Row]]))</f>
        <v>0</v>
      </c>
      <c r="O27" s="131" t="b">
        <f aca="false">IF(IFERROR(INDEX(tsk_Name,GanttView[[#This Row],[_Row]])="",TRUE()),FALSE(),AND(INDEX(tsk_IsLeaf,GanttView[[#This Row],[_Row]])=1,N(INDEX(tsk_Duration,GanttView[[#This Row],[_Row]]))=0))</f>
        <v>0</v>
      </c>
      <c r="P27" s="132" t="n">
        <f aca="false">IF(IFERROR(INDEX(tsk_Name,GanttView[[#This Row],[_Row]])="",TRUE()),0,IF(AND(INDEX(tsk_IsLeaf,GanttView[[#This Row],[_Row]])=1,NOT(GanttView[[#This Row],[_IsMilestone]]),N(GanttView[[#This Row],[%]])&gt;0),GanttView[[#This Row],[Forecast Start]],0))</f>
        <v>0</v>
      </c>
      <c r="Q27" s="132" t="n">
        <f aca="false">IF(GanttView[[#This Row],[_DoneFrom]]=0,0,IF(GanttView[[#This Row],[%]]&gt;=1,GanttView[[#This Row],[Forecast Finish]],MAX(GanttView[[#This Row],[_DoneFrom]],GanttView[[#This Row],[Forecast Start]]+ROUND((GanttView[[#This Row],[Forecast Finish]]-GanttView[[#This Row],[Forecast Start]]+1)*GanttView[[#This Row],[%]],0)-1)))</f>
        <v>0</v>
      </c>
      <c r="R27" s="132" t="n">
        <f aca="false">IF(IFERROR(INDEX(tsk_Name,GanttView[[#This Row],[_Row]])="",TRUE()),0,IF(OR(INDEX(tsk_IsLeaf,GanttView[[#This Row],[_Row]])&lt;&gt;1,GanttView[[#This Row],[_IsMilestone]],N(GanttView[[#This Row],[%]])&gt;=1),0,IF(GanttView[[#This Row],[_DoneTo]]&gt;0,GanttView[[#This Row],[_DoneTo]]+1,GanttView[[#This Row],[Forecast Start]])))</f>
        <v>0</v>
      </c>
      <c r="S27" s="132" t="n">
        <f aca="false">IF(GanttView[[#This Row],[_RemFrom]]=0,0,GanttView[[#This Row],[Forecast Finish]])</f>
        <v>0</v>
      </c>
      <c r="T27" s="131" t="b">
        <f aca="false">IF(IFERROR(INDEX(tsk_Name,GanttView[[#This Row],[_Row]])="",TRUE()),FALSE(),N(INDEX(tsk_Variance,GanttView[[#This Row],[_Row]]))&gt;0)</f>
        <v>0</v>
      </c>
      <c r="U27" s="132" t="n">
        <f aca="false">IF(IFERROR(INDEX(tsk_Name,GanttView[[#This Row],[_Row]])="",TRUE()),0,N(INDEX(tsk_Deadline,GanttView[[#This Row],[_Row]])))</f>
        <v>0</v>
      </c>
      <c r="V27" s="131" t="b">
        <f aca="false">IF(IFERROR(INDEX(tsk_Name,GanttView[[#This Row],[_Row]])="",TRUE()),FALSE(),INDEX(tsk_Critical,GanttView[[#This Row],[_Row]])="Yes")</f>
        <v>0</v>
      </c>
    </row>
    <row r="28" customFormat="false" ht="15" hidden="false" customHeight="false" outlineLevel="0" collapsed="false">
      <c r="A28" s="126" t="str">
        <f aca="false">IF(IFERROR(INDEX(tsk_Name,GanttView[[#This Row],[_Row]])="",TRUE()),"",INDEX(tsk_ID,GanttView[[#This Row],[_Row]]))</f>
        <v/>
      </c>
      <c r="B28" s="126" t="str">
        <f aca="false">IF(IFERROR(INDEX(tsk_Name,GanttView[[#This Row],[_Row]])="",TRUE()),"",INDEX(tsk_WBS,GanttView[[#This Row],[_Row]]))</f>
        <v/>
      </c>
      <c r="C28" s="127" t="str">
        <f aca="false">IF(IFERROR(INDEX(tsk_Name,GanttView[[#This Row],[_Row]])="",TRUE()),"",REPT("    ",INDEX(tsk_Level,GanttView[[#This Row],[_Row]])-1)&amp;INDEX(tsk_Name,GanttView[[#This Row],[_Row]]))</f>
        <v/>
      </c>
      <c r="D28" s="126" t="str">
        <f aca="false">IF(IFERROR(INDEX(tsk_Name,GanttView[[#This Row],[_Row]])="",TRUE()),"",IF(INDEX(tsk_IsSummary,GanttView[[#This Row],[_Row]]),NETWORKDAYS.INTL(INDEX(tsk_FcStart,GanttView[[#This Row],[_Row]]),INDEX(tsk_FcFinish,GanttView[[#This Row],[_Row]]),WorkWeek,Holidays),N(INDEX(tsk_Duration,GanttView[[#This Row],[_Row]]))))</f>
        <v/>
      </c>
      <c r="E28" s="128" t="str">
        <f aca="false">IF(IFERROR(INDEX(tsk_Name,GanttView[[#This Row],[_Row]])="",TRUE()),"",INDEX(tsk_PlanStart,GanttView[[#This Row],[_Row]]))</f>
        <v/>
      </c>
      <c r="F28" s="128" t="str">
        <f aca="false">IF(IFERROR(INDEX(tsk_Name,GanttView[[#This Row],[_Row]])="",TRUE()),"",INDEX(tsk_PlanFinish,GanttView[[#This Row],[_Row]]))</f>
        <v/>
      </c>
      <c r="G28" s="128" t="str">
        <f aca="false">IF(IFERROR(INDEX(tsk_Name,GanttView[[#This Row],[_Row]])="",TRUE()),"",INDEX(tsk_FcStart,GanttView[[#This Row],[_Row]]))</f>
        <v/>
      </c>
      <c r="H28" s="128" t="str">
        <f aca="false">IF(IFERROR(INDEX(tsk_Name,GanttView[[#This Row],[_Row]])="",TRUE()),"",INDEX(tsk_FcFinish,GanttView[[#This Row],[_Row]]))</f>
        <v/>
      </c>
      <c r="I28" s="129" t="str">
        <f aca="false">IF(IFERROR(INDEX(tsk_Name,GanttView[[#This Row],[_Row]])="",TRUE()),"",INDEX(tsk_Progress,GanttView[[#This Row],[_Row]]))</f>
        <v/>
      </c>
      <c r="J28" s="127" t="str">
        <f aca="false">IF(IFERROR(INDEX(tsk_Name,GanttView[[#This Row],[_Row]])="",TRUE()),"",INDEX(tsk_ResourceNames,GanttView[[#This Row],[_Row]])&amp;"")</f>
        <v/>
      </c>
      <c r="K28" s="126" t="str">
        <f aca="false">IF(IFERROR(INDEX(tsk_Name,GanttView[[#This Row],[_Row]])="",TRUE()),"",INDEX(tsk_Status,GanttView[[#This Row],[_Row]]))</f>
        <v/>
      </c>
      <c r="L28" s="126" t="str">
        <f aca="false">IF(IFERROR(INDEX(tsk_Name,GanttView[[#This Row],[_Row]])="",TRUE()),"",INDEX(tsk_Show,GanttView[[#This Row],[_Row]])&amp;"")</f>
        <v/>
      </c>
      <c r="M28" s="130" t="n">
        <f aca="false">ROW()-ROW(GanttView[[#Headers],[ID]])</f>
        <v>23</v>
      </c>
      <c r="N28" s="131" t="b">
        <f aca="false">IF(IFERROR(INDEX(tsk_Name,GanttView[[#This Row],[_Row]])="",TRUE()),FALSE(),INDEX(tsk_IsSummary,GanttView[[#This Row],[_Row]]))</f>
        <v>0</v>
      </c>
      <c r="O28" s="131" t="b">
        <f aca="false">IF(IFERROR(INDEX(tsk_Name,GanttView[[#This Row],[_Row]])="",TRUE()),FALSE(),AND(INDEX(tsk_IsLeaf,GanttView[[#This Row],[_Row]])=1,N(INDEX(tsk_Duration,GanttView[[#This Row],[_Row]]))=0))</f>
        <v>0</v>
      </c>
      <c r="P28" s="132" t="n">
        <f aca="false">IF(IFERROR(INDEX(tsk_Name,GanttView[[#This Row],[_Row]])="",TRUE()),0,IF(AND(INDEX(tsk_IsLeaf,GanttView[[#This Row],[_Row]])=1,NOT(GanttView[[#This Row],[_IsMilestone]]),N(GanttView[[#This Row],[%]])&gt;0),GanttView[[#This Row],[Forecast Start]],0))</f>
        <v>0</v>
      </c>
      <c r="Q28" s="132" t="n">
        <f aca="false">IF(GanttView[[#This Row],[_DoneFrom]]=0,0,IF(GanttView[[#This Row],[%]]&gt;=1,GanttView[[#This Row],[Forecast Finish]],MAX(GanttView[[#This Row],[_DoneFrom]],GanttView[[#This Row],[Forecast Start]]+ROUND((GanttView[[#This Row],[Forecast Finish]]-GanttView[[#This Row],[Forecast Start]]+1)*GanttView[[#This Row],[%]],0)-1)))</f>
        <v>0</v>
      </c>
      <c r="R28" s="132" t="n">
        <f aca="false">IF(IFERROR(INDEX(tsk_Name,GanttView[[#This Row],[_Row]])="",TRUE()),0,IF(OR(INDEX(tsk_IsLeaf,GanttView[[#This Row],[_Row]])&lt;&gt;1,GanttView[[#This Row],[_IsMilestone]],N(GanttView[[#This Row],[%]])&gt;=1),0,IF(GanttView[[#This Row],[_DoneTo]]&gt;0,GanttView[[#This Row],[_DoneTo]]+1,GanttView[[#This Row],[Forecast Start]])))</f>
        <v>0</v>
      </c>
      <c r="S28" s="132" t="n">
        <f aca="false">IF(GanttView[[#This Row],[_RemFrom]]=0,0,GanttView[[#This Row],[Forecast Finish]])</f>
        <v>0</v>
      </c>
      <c r="T28" s="131" t="b">
        <f aca="false">IF(IFERROR(INDEX(tsk_Name,GanttView[[#This Row],[_Row]])="",TRUE()),FALSE(),N(INDEX(tsk_Variance,GanttView[[#This Row],[_Row]]))&gt;0)</f>
        <v>0</v>
      </c>
      <c r="U28" s="132" t="n">
        <f aca="false">IF(IFERROR(INDEX(tsk_Name,GanttView[[#This Row],[_Row]])="",TRUE()),0,N(INDEX(tsk_Deadline,GanttView[[#This Row],[_Row]])))</f>
        <v>0</v>
      </c>
      <c r="V28" s="131" t="b">
        <f aca="false">IF(IFERROR(INDEX(tsk_Name,GanttView[[#This Row],[_Row]])="",TRUE()),FALSE(),INDEX(tsk_Critical,GanttView[[#This Row],[_Row]])="Yes")</f>
        <v>0</v>
      </c>
    </row>
    <row r="29" customFormat="false" ht="15" hidden="false" customHeight="false" outlineLevel="0" collapsed="false">
      <c r="A29" s="126" t="str">
        <f aca="false">IF(IFERROR(INDEX(tsk_Name,GanttView[[#This Row],[_Row]])="",TRUE()),"",INDEX(tsk_ID,GanttView[[#This Row],[_Row]]))</f>
        <v/>
      </c>
      <c r="B29" s="126" t="str">
        <f aca="false">IF(IFERROR(INDEX(tsk_Name,GanttView[[#This Row],[_Row]])="",TRUE()),"",INDEX(tsk_WBS,GanttView[[#This Row],[_Row]]))</f>
        <v/>
      </c>
      <c r="C29" s="127" t="str">
        <f aca="false">IF(IFERROR(INDEX(tsk_Name,GanttView[[#This Row],[_Row]])="",TRUE()),"",REPT("    ",INDEX(tsk_Level,GanttView[[#This Row],[_Row]])-1)&amp;INDEX(tsk_Name,GanttView[[#This Row],[_Row]]))</f>
        <v/>
      </c>
      <c r="D29" s="126" t="str">
        <f aca="false">IF(IFERROR(INDEX(tsk_Name,GanttView[[#This Row],[_Row]])="",TRUE()),"",IF(INDEX(tsk_IsSummary,GanttView[[#This Row],[_Row]]),NETWORKDAYS.INTL(INDEX(tsk_FcStart,GanttView[[#This Row],[_Row]]),INDEX(tsk_FcFinish,GanttView[[#This Row],[_Row]]),WorkWeek,Holidays),N(INDEX(tsk_Duration,GanttView[[#This Row],[_Row]]))))</f>
        <v/>
      </c>
      <c r="E29" s="128" t="str">
        <f aca="false">IF(IFERROR(INDEX(tsk_Name,GanttView[[#This Row],[_Row]])="",TRUE()),"",INDEX(tsk_PlanStart,GanttView[[#This Row],[_Row]]))</f>
        <v/>
      </c>
      <c r="F29" s="128" t="str">
        <f aca="false">IF(IFERROR(INDEX(tsk_Name,GanttView[[#This Row],[_Row]])="",TRUE()),"",INDEX(tsk_PlanFinish,GanttView[[#This Row],[_Row]]))</f>
        <v/>
      </c>
      <c r="G29" s="128" t="str">
        <f aca="false">IF(IFERROR(INDEX(tsk_Name,GanttView[[#This Row],[_Row]])="",TRUE()),"",INDEX(tsk_FcStart,GanttView[[#This Row],[_Row]]))</f>
        <v/>
      </c>
      <c r="H29" s="128" t="str">
        <f aca="false">IF(IFERROR(INDEX(tsk_Name,GanttView[[#This Row],[_Row]])="",TRUE()),"",INDEX(tsk_FcFinish,GanttView[[#This Row],[_Row]]))</f>
        <v/>
      </c>
      <c r="I29" s="129" t="str">
        <f aca="false">IF(IFERROR(INDEX(tsk_Name,GanttView[[#This Row],[_Row]])="",TRUE()),"",INDEX(tsk_Progress,GanttView[[#This Row],[_Row]]))</f>
        <v/>
      </c>
      <c r="J29" s="127" t="str">
        <f aca="false">IF(IFERROR(INDEX(tsk_Name,GanttView[[#This Row],[_Row]])="",TRUE()),"",INDEX(tsk_ResourceNames,GanttView[[#This Row],[_Row]])&amp;"")</f>
        <v/>
      </c>
      <c r="K29" s="126" t="str">
        <f aca="false">IF(IFERROR(INDEX(tsk_Name,GanttView[[#This Row],[_Row]])="",TRUE()),"",INDEX(tsk_Status,GanttView[[#This Row],[_Row]]))</f>
        <v/>
      </c>
      <c r="L29" s="126" t="str">
        <f aca="false">IF(IFERROR(INDEX(tsk_Name,GanttView[[#This Row],[_Row]])="",TRUE()),"",INDEX(tsk_Show,GanttView[[#This Row],[_Row]])&amp;"")</f>
        <v/>
      </c>
      <c r="M29" s="130" t="n">
        <f aca="false">ROW()-ROW(GanttView[[#Headers],[ID]])</f>
        <v>24</v>
      </c>
      <c r="N29" s="131" t="b">
        <f aca="false">IF(IFERROR(INDEX(tsk_Name,GanttView[[#This Row],[_Row]])="",TRUE()),FALSE(),INDEX(tsk_IsSummary,GanttView[[#This Row],[_Row]]))</f>
        <v>0</v>
      </c>
      <c r="O29" s="131" t="b">
        <f aca="false">IF(IFERROR(INDEX(tsk_Name,GanttView[[#This Row],[_Row]])="",TRUE()),FALSE(),AND(INDEX(tsk_IsLeaf,GanttView[[#This Row],[_Row]])=1,N(INDEX(tsk_Duration,GanttView[[#This Row],[_Row]]))=0))</f>
        <v>0</v>
      </c>
      <c r="P29" s="132" t="n">
        <f aca="false">IF(IFERROR(INDEX(tsk_Name,GanttView[[#This Row],[_Row]])="",TRUE()),0,IF(AND(INDEX(tsk_IsLeaf,GanttView[[#This Row],[_Row]])=1,NOT(GanttView[[#This Row],[_IsMilestone]]),N(GanttView[[#This Row],[%]])&gt;0),GanttView[[#This Row],[Forecast Start]],0))</f>
        <v>0</v>
      </c>
      <c r="Q29" s="132" t="n">
        <f aca="false">IF(GanttView[[#This Row],[_DoneFrom]]=0,0,IF(GanttView[[#This Row],[%]]&gt;=1,GanttView[[#This Row],[Forecast Finish]],MAX(GanttView[[#This Row],[_DoneFrom]],GanttView[[#This Row],[Forecast Start]]+ROUND((GanttView[[#This Row],[Forecast Finish]]-GanttView[[#This Row],[Forecast Start]]+1)*GanttView[[#This Row],[%]],0)-1)))</f>
        <v>0</v>
      </c>
      <c r="R29" s="132" t="n">
        <f aca="false">IF(IFERROR(INDEX(tsk_Name,GanttView[[#This Row],[_Row]])="",TRUE()),0,IF(OR(INDEX(tsk_IsLeaf,GanttView[[#This Row],[_Row]])&lt;&gt;1,GanttView[[#This Row],[_IsMilestone]],N(GanttView[[#This Row],[%]])&gt;=1),0,IF(GanttView[[#This Row],[_DoneTo]]&gt;0,GanttView[[#This Row],[_DoneTo]]+1,GanttView[[#This Row],[Forecast Start]])))</f>
        <v>0</v>
      </c>
      <c r="S29" s="132" t="n">
        <f aca="false">IF(GanttView[[#This Row],[_RemFrom]]=0,0,GanttView[[#This Row],[Forecast Finish]])</f>
        <v>0</v>
      </c>
      <c r="T29" s="131" t="b">
        <f aca="false">IF(IFERROR(INDEX(tsk_Name,GanttView[[#This Row],[_Row]])="",TRUE()),FALSE(),N(INDEX(tsk_Variance,GanttView[[#This Row],[_Row]]))&gt;0)</f>
        <v>0</v>
      </c>
      <c r="U29" s="132" t="n">
        <f aca="false">IF(IFERROR(INDEX(tsk_Name,GanttView[[#This Row],[_Row]])="",TRUE()),0,N(INDEX(tsk_Deadline,GanttView[[#This Row],[_Row]])))</f>
        <v>0</v>
      </c>
      <c r="V29" s="131" t="b">
        <f aca="false">IF(IFERROR(INDEX(tsk_Name,GanttView[[#This Row],[_Row]])="",TRUE()),FALSE(),INDEX(tsk_Critical,GanttView[[#This Row],[_Row]])="Yes")</f>
        <v>0</v>
      </c>
    </row>
    <row r="30" customFormat="false" ht="15" hidden="false" customHeight="false" outlineLevel="0" collapsed="false">
      <c r="A30" s="126" t="str">
        <f aca="false">IF(IFERROR(INDEX(tsk_Name,GanttView[[#This Row],[_Row]])="",TRUE()),"",INDEX(tsk_ID,GanttView[[#This Row],[_Row]]))</f>
        <v/>
      </c>
      <c r="B30" s="126" t="str">
        <f aca="false">IF(IFERROR(INDEX(tsk_Name,GanttView[[#This Row],[_Row]])="",TRUE()),"",INDEX(tsk_WBS,GanttView[[#This Row],[_Row]]))</f>
        <v/>
      </c>
      <c r="C30" s="127" t="str">
        <f aca="false">IF(IFERROR(INDEX(tsk_Name,GanttView[[#This Row],[_Row]])="",TRUE()),"",REPT("    ",INDEX(tsk_Level,GanttView[[#This Row],[_Row]])-1)&amp;INDEX(tsk_Name,GanttView[[#This Row],[_Row]]))</f>
        <v/>
      </c>
      <c r="D30" s="126" t="str">
        <f aca="false">IF(IFERROR(INDEX(tsk_Name,GanttView[[#This Row],[_Row]])="",TRUE()),"",IF(INDEX(tsk_IsSummary,GanttView[[#This Row],[_Row]]),NETWORKDAYS.INTL(INDEX(tsk_FcStart,GanttView[[#This Row],[_Row]]),INDEX(tsk_FcFinish,GanttView[[#This Row],[_Row]]),WorkWeek,Holidays),N(INDEX(tsk_Duration,GanttView[[#This Row],[_Row]]))))</f>
        <v/>
      </c>
      <c r="E30" s="128" t="str">
        <f aca="false">IF(IFERROR(INDEX(tsk_Name,GanttView[[#This Row],[_Row]])="",TRUE()),"",INDEX(tsk_PlanStart,GanttView[[#This Row],[_Row]]))</f>
        <v/>
      </c>
      <c r="F30" s="128" t="str">
        <f aca="false">IF(IFERROR(INDEX(tsk_Name,GanttView[[#This Row],[_Row]])="",TRUE()),"",INDEX(tsk_PlanFinish,GanttView[[#This Row],[_Row]]))</f>
        <v/>
      </c>
      <c r="G30" s="128" t="str">
        <f aca="false">IF(IFERROR(INDEX(tsk_Name,GanttView[[#This Row],[_Row]])="",TRUE()),"",INDEX(tsk_FcStart,GanttView[[#This Row],[_Row]]))</f>
        <v/>
      </c>
      <c r="H30" s="128" t="str">
        <f aca="false">IF(IFERROR(INDEX(tsk_Name,GanttView[[#This Row],[_Row]])="",TRUE()),"",INDEX(tsk_FcFinish,GanttView[[#This Row],[_Row]]))</f>
        <v/>
      </c>
      <c r="I30" s="129" t="str">
        <f aca="false">IF(IFERROR(INDEX(tsk_Name,GanttView[[#This Row],[_Row]])="",TRUE()),"",INDEX(tsk_Progress,GanttView[[#This Row],[_Row]]))</f>
        <v/>
      </c>
      <c r="J30" s="127" t="str">
        <f aca="false">IF(IFERROR(INDEX(tsk_Name,GanttView[[#This Row],[_Row]])="",TRUE()),"",INDEX(tsk_ResourceNames,GanttView[[#This Row],[_Row]])&amp;"")</f>
        <v/>
      </c>
      <c r="K30" s="126" t="str">
        <f aca="false">IF(IFERROR(INDEX(tsk_Name,GanttView[[#This Row],[_Row]])="",TRUE()),"",INDEX(tsk_Status,GanttView[[#This Row],[_Row]]))</f>
        <v/>
      </c>
      <c r="L30" s="126" t="str">
        <f aca="false">IF(IFERROR(INDEX(tsk_Name,GanttView[[#This Row],[_Row]])="",TRUE()),"",INDEX(tsk_Show,GanttView[[#This Row],[_Row]])&amp;"")</f>
        <v/>
      </c>
      <c r="M30" s="130" t="n">
        <f aca="false">ROW()-ROW(GanttView[[#Headers],[ID]])</f>
        <v>25</v>
      </c>
      <c r="N30" s="131" t="b">
        <f aca="false">IF(IFERROR(INDEX(tsk_Name,GanttView[[#This Row],[_Row]])="",TRUE()),FALSE(),INDEX(tsk_IsSummary,GanttView[[#This Row],[_Row]]))</f>
        <v>0</v>
      </c>
      <c r="O30" s="131" t="b">
        <f aca="false">IF(IFERROR(INDEX(tsk_Name,GanttView[[#This Row],[_Row]])="",TRUE()),FALSE(),AND(INDEX(tsk_IsLeaf,GanttView[[#This Row],[_Row]])=1,N(INDEX(tsk_Duration,GanttView[[#This Row],[_Row]]))=0))</f>
        <v>0</v>
      </c>
      <c r="P30" s="132" t="n">
        <f aca="false">IF(IFERROR(INDEX(tsk_Name,GanttView[[#This Row],[_Row]])="",TRUE()),0,IF(AND(INDEX(tsk_IsLeaf,GanttView[[#This Row],[_Row]])=1,NOT(GanttView[[#This Row],[_IsMilestone]]),N(GanttView[[#This Row],[%]])&gt;0),GanttView[[#This Row],[Forecast Start]],0))</f>
        <v>0</v>
      </c>
      <c r="Q30" s="132" t="n">
        <f aca="false">IF(GanttView[[#This Row],[_DoneFrom]]=0,0,IF(GanttView[[#This Row],[%]]&gt;=1,GanttView[[#This Row],[Forecast Finish]],MAX(GanttView[[#This Row],[_DoneFrom]],GanttView[[#This Row],[Forecast Start]]+ROUND((GanttView[[#This Row],[Forecast Finish]]-GanttView[[#This Row],[Forecast Start]]+1)*GanttView[[#This Row],[%]],0)-1)))</f>
        <v>0</v>
      </c>
      <c r="R30" s="132" t="n">
        <f aca="false">IF(IFERROR(INDEX(tsk_Name,GanttView[[#This Row],[_Row]])="",TRUE()),0,IF(OR(INDEX(tsk_IsLeaf,GanttView[[#This Row],[_Row]])&lt;&gt;1,GanttView[[#This Row],[_IsMilestone]],N(GanttView[[#This Row],[%]])&gt;=1),0,IF(GanttView[[#This Row],[_DoneTo]]&gt;0,GanttView[[#This Row],[_DoneTo]]+1,GanttView[[#This Row],[Forecast Start]])))</f>
        <v>0</v>
      </c>
      <c r="S30" s="132" t="n">
        <f aca="false">IF(GanttView[[#This Row],[_RemFrom]]=0,0,GanttView[[#This Row],[Forecast Finish]])</f>
        <v>0</v>
      </c>
      <c r="T30" s="131" t="b">
        <f aca="false">IF(IFERROR(INDEX(tsk_Name,GanttView[[#This Row],[_Row]])="",TRUE()),FALSE(),N(INDEX(tsk_Variance,GanttView[[#This Row],[_Row]]))&gt;0)</f>
        <v>0</v>
      </c>
      <c r="U30" s="132" t="n">
        <f aca="false">IF(IFERROR(INDEX(tsk_Name,GanttView[[#This Row],[_Row]])="",TRUE()),0,N(INDEX(tsk_Deadline,GanttView[[#This Row],[_Row]])))</f>
        <v>0</v>
      </c>
      <c r="V30" s="131" t="b">
        <f aca="false">IF(IFERROR(INDEX(tsk_Name,GanttView[[#This Row],[_Row]])="",TRUE()),FALSE(),INDEX(tsk_Critical,GanttView[[#This Row],[_Row]])="Yes")</f>
        <v>0</v>
      </c>
    </row>
    <row r="31" customFormat="false" ht="15" hidden="false" customHeight="false" outlineLevel="0" collapsed="false">
      <c r="A31" s="126" t="str">
        <f aca="false">IF(IFERROR(INDEX(tsk_Name,GanttView[[#This Row],[_Row]])="",TRUE()),"",INDEX(tsk_ID,GanttView[[#This Row],[_Row]]))</f>
        <v/>
      </c>
      <c r="B31" s="126" t="str">
        <f aca="false">IF(IFERROR(INDEX(tsk_Name,GanttView[[#This Row],[_Row]])="",TRUE()),"",INDEX(tsk_WBS,GanttView[[#This Row],[_Row]]))</f>
        <v/>
      </c>
      <c r="C31" s="127" t="str">
        <f aca="false">IF(IFERROR(INDEX(tsk_Name,GanttView[[#This Row],[_Row]])="",TRUE()),"",REPT("    ",INDEX(tsk_Level,GanttView[[#This Row],[_Row]])-1)&amp;INDEX(tsk_Name,GanttView[[#This Row],[_Row]]))</f>
        <v/>
      </c>
      <c r="D31" s="126" t="str">
        <f aca="false">IF(IFERROR(INDEX(tsk_Name,GanttView[[#This Row],[_Row]])="",TRUE()),"",IF(INDEX(tsk_IsSummary,GanttView[[#This Row],[_Row]]),NETWORKDAYS.INTL(INDEX(tsk_FcStart,GanttView[[#This Row],[_Row]]),INDEX(tsk_FcFinish,GanttView[[#This Row],[_Row]]),WorkWeek,Holidays),N(INDEX(tsk_Duration,GanttView[[#This Row],[_Row]]))))</f>
        <v/>
      </c>
      <c r="E31" s="128" t="str">
        <f aca="false">IF(IFERROR(INDEX(tsk_Name,GanttView[[#This Row],[_Row]])="",TRUE()),"",INDEX(tsk_PlanStart,GanttView[[#This Row],[_Row]]))</f>
        <v/>
      </c>
      <c r="F31" s="128" t="str">
        <f aca="false">IF(IFERROR(INDEX(tsk_Name,GanttView[[#This Row],[_Row]])="",TRUE()),"",INDEX(tsk_PlanFinish,GanttView[[#This Row],[_Row]]))</f>
        <v/>
      </c>
      <c r="G31" s="128" t="str">
        <f aca="false">IF(IFERROR(INDEX(tsk_Name,GanttView[[#This Row],[_Row]])="",TRUE()),"",INDEX(tsk_FcStart,GanttView[[#This Row],[_Row]]))</f>
        <v/>
      </c>
      <c r="H31" s="128" t="str">
        <f aca="false">IF(IFERROR(INDEX(tsk_Name,GanttView[[#This Row],[_Row]])="",TRUE()),"",INDEX(tsk_FcFinish,GanttView[[#This Row],[_Row]]))</f>
        <v/>
      </c>
      <c r="I31" s="129" t="str">
        <f aca="false">IF(IFERROR(INDEX(tsk_Name,GanttView[[#This Row],[_Row]])="",TRUE()),"",INDEX(tsk_Progress,GanttView[[#This Row],[_Row]]))</f>
        <v/>
      </c>
      <c r="J31" s="127" t="str">
        <f aca="false">IF(IFERROR(INDEX(tsk_Name,GanttView[[#This Row],[_Row]])="",TRUE()),"",INDEX(tsk_ResourceNames,GanttView[[#This Row],[_Row]])&amp;"")</f>
        <v/>
      </c>
      <c r="K31" s="126" t="str">
        <f aca="false">IF(IFERROR(INDEX(tsk_Name,GanttView[[#This Row],[_Row]])="",TRUE()),"",INDEX(tsk_Status,GanttView[[#This Row],[_Row]]))</f>
        <v/>
      </c>
      <c r="L31" s="126" t="str">
        <f aca="false">IF(IFERROR(INDEX(tsk_Name,GanttView[[#This Row],[_Row]])="",TRUE()),"",INDEX(tsk_Show,GanttView[[#This Row],[_Row]])&amp;"")</f>
        <v/>
      </c>
      <c r="M31" s="130" t="n">
        <f aca="false">ROW()-ROW(GanttView[[#Headers],[ID]])</f>
        <v>26</v>
      </c>
      <c r="N31" s="131" t="b">
        <f aca="false">IF(IFERROR(INDEX(tsk_Name,GanttView[[#This Row],[_Row]])="",TRUE()),FALSE(),INDEX(tsk_IsSummary,GanttView[[#This Row],[_Row]]))</f>
        <v>0</v>
      </c>
      <c r="O31" s="131" t="b">
        <f aca="false">IF(IFERROR(INDEX(tsk_Name,GanttView[[#This Row],[_Row]])="",TRUE()),FALSE(),AND(INDEX(tsk_IsLeaf,GanttView[[#This Row],[_Row]])=1,N(INDEX(tsk_Duration,GanttView[[#This Row],[_Row]]))=0))</f>
        <v>0</v>
      </c>
      <c r="P31" s="132" t="n">
        <f aca="false">IF(IFERROR(INDEX(tsk_Name,GanttView[[#This Row],[_Row]])="",TRUE()),0,IF(AND(INDEX(tsk_IsLeaf,GanttView[[#This Row],[_Row]])=1,NOT(GanttView[[#This Row],[_IsMilestone]]),N(GanttView[[#This Row],[%]])&gt;0),GanttView[[#This Row],[Forecast Start]],0))</f>
        <v>0</v>
      </c>
      <c r="Q31" s="132" t="n">
        <f aca="false">IF(GanttView[[#This Row],[_DoneFrom]]=0,0,IF(GanttView[[#This Row],[%]]&gt;=1,GanttView[[#This Row],[Forecast Finish]],MAX(GanttView[[#This Row],[_DoneFrom]],GanttView[[#This Row],[Forecast Start]]+ROUND((GanttView[[#This Row],[Forecast Finish]]-GanttView[[#This Row],[Forecast Start]]+1)*GanttView[[#This Row],[%]],0)-1)))</f>
        <v>0</v>
      </c>
      <c r="R31" s="132" t="n">
        <f aca="false">IF(IFERROR(INDEX(tsk_Name,GanttView[[#This Row],[_Row]])="",TRUE()),0,IF(OR(INDEX(tsk_IsLeaf,GanttView[[#This Row],[_Row]])&lt;&gt;1,GanttView[[#This Row],[_IsMilestone]],N(GanttView[[#This Row],[%]])&gt;=1),0,IF(GanttView[[#This Row],[_DoneTo]]&gt;0,GanttView[[#This Row],[_DoneTo]]+1,GanttView[[#This Row],[Forecast Start]])))</f>
        <v>0</v>
      </c>
      <c r="S31" s="132" t="n">
        <f aca="false">IF(GanttView[[#This Row],[_RemFrom]]=0,0,GanttView[[#This Row],[Forecast Finish]])</f>
        <v>0</v>
      </c>
      <c r="T31" s="131" t="b">
        <f aca="false">IF(IFERROR(INDEX(tsk_Name,GanttView[[#This Row],[_Row]])="",TRUE()),FALSE(),N(INDEX(tsk_Variance,GanttView[[#This Row],[_Row]]))&gt;0)</f>
        <v>0</v>
      </c>
      <c r="U31" s="132" t="n">
        <f aca="false">IF(IFERROR(INDEX(tsk_Name,GanttView[[#This Row],[_Row]])="",TRUE()),0,N(INDEX(tsk_Deadline,GanttView[[#This Row],[_Row]])))</f>
        <v>0</v>
      </c>
      <c r="V31" s="131" t="b">
        <f aca="false">IF(IFERROR(INDEX(tsk_Name,GanttView[[#This Row],[_Row]])="",TRUE()),FALSE(),INDEX(tsk_Critical,GanttView[[#This Row],[_Row]])="Yes")</f>
        <v>0</v>
      </c>
    </row>
    <row r="32" customFormat="false" ht="15" hidden="false" customHeight="false" outlineLevel="0" collapsed="false">
      <c r="A32" s="126" t="str">
        <f aca="false">IF(IFERROR(INDEX(tsk_Name,GanttView[[#This Row],[_Row]])="",TRUE()),"",INDEX(tsk_ID,GanttView[[#This Row],[_Row]]))</f>
        <v/>
      </c>
      <c r="B32" s="126" t="str">
        <f aca="false">IF(IFERROR(INDEX(tsk_Name,GanttView[[#This Row],[_Row]])="",TRUE()),"",INDEX(tsk_WBS,GanttView[[#This Row],[_Row]]))</f>
        <v/>
      </c>
      <c r="C32" s="127" t="str">
        <f aca="false">IF(IFERROR(INDEX(tsk_Name,GanttView[[#This Row],[_Row]])="",TRUE()),"",REPT("    ",INDEX(tsk_Level,GanttView[[#This Row],[_Row]])-1)&amp;INDEX(tsk_Name,GanttView[[#This Row],[_Row]]))</f>
        <v/>
      </c>
      <c r="D32" s="126" t="str">
        <f aca="false">IF(IFERROR(INDEX(tsk_Name,GanttView[[#This Row],[_Row]])="",TRUE()),"",IF(INDEX(tsk_IsSummary,GanttView[[#This Row],[_Row]]),NETWORKDAYS.INTL(INDEX(tsk_FcStart,GanttView[[#This Row],[_Row]]),INDEX(tsk_FcFinish,GanttView[[#This Row],[_Row]]),WorkWeek,Holidays),N(INDEX(tsk_Duration,GanttView[[#This Row],[_Row]]))))</f>
        <v/>
      </c>
      <c r="E32" s="128" t="str">
        <f aca="false">IF(IFERROR(INDEX(tsk_Name,GanttView[[#This Row],[_Row]])="",TRUE()),"",INDEX(tsk_PlanStart,GanttView[[#This Row],[_Row]]))</f>
        <v/>
      </c>
      <c r="F32" s="128" t="str">
        <f aca="false">IF(IFERROR(INDEX(tsk_Name,GanttView[[#This Row],[_Row]])="",TRUE()),"",INDEX(tsk_PlanFinish,GanttView[[#This Row],[_Row]]))</f>
        <v/>
      </c>
      <c r="G32" s="128" t="str">
        <f aca="false">IF(IFERROR(INDEX(tsk_Name,GanttView[[#This Row],[_Row]])="",TRUE()),"",INDEX(tsk_FcStart,GanttView[[#This Row],[_Row]]))</f>
        <v/>
      </c>
      <c r="H32" s="128" t="str">
        <f aca="false">IF(IFERROR(INDEX(tsk_Name,GanttView[[#This Row],[_Row]])="",TRUE()),"",INDEX(tsk_FcFinish,GanttView[[#This Row],[_Row]]))</f>
        <v/>
      </c>
      <c r="I32" s="129" t="str">
        <f aca="false">IF(IFERROR(INDEX(tsk_Name,GanttView[[#This Row],[_Row]])="",TRUE()),"",INDEX(tsk_Progress,GanttView[[#This Row],[_Row]]))</f>
        <v/>
      </c>
      <c r="J32" s="127" t="str">
        <f aca="false">IF(IFERROR(INDEX(tsk_Name,GanttView[[#This Row],[_Row]])="",TRUE()),"",INDEX(tsk_ResourceNames,GanttView[[#This Row],[_Row]])&amp;"")</f>
        <v/>
      </c>
      <c r="K32" s="126" t="str">
        <f aca="false">IF(IFERROR(INDEX(tsk_Name,GanttView[[#This Row],[_Row]])="",TRUE()),"",INDEX(tsk_Status,GanttView[[#This Row],[_Row]]))</f>
        <v/>
      </c>
      <c r="L32" s="126" t="str">
        <f aca="false">IF(IFERROR(INDEX(tsk_Name,GanttView[[#This Row],[_Row]])="",TRUE()),"",INDEX(tsk_Show,GanttView[[#This Row],[_Row]])&amp;"")</f>
        <v/>
      </c>
      <c r="M32" s="130" t="n">
        <f aca="false">ROW()-ROW(GanttView[[#Headers],[ID]])</f>
        <v>27</v>
      </c>
      <c r="N32" s="131" t="b">
        <f aca="false">IF(IFERROR(INDEX(tsk_Name,GanttView[[#This Row],[_Row]])="",TRUE()),FALSE(),INDEX(tsk_IsSummary,GanttView[[#This Row],[_Row]]))</f>
        <v>0</v>
      </c>
      <c r="O32" s="131" t="b">
        <f aca="false">IF(IFERROR(INDEX(tsk_Name,GanttView[[#This Row],[_Row]])="",TRUE()),FALSE(),AND(INDEX(tsk_IsLeaf,GanttView[[#This Row],[_Row]])=1,N(INDEX(tsk_Duration,GanttView[[#This Row],[_Row]]))=0))</f>
        <v>0</v>
      </c>
      <c r="P32" s="132" t="n">
        <f aca="false">IF(IFERROR(INDEX(tsk_Name,GanttView[[#This Row],[_Row]])="",TRUE()),0,IF(AND(INDEX(tsk_IsLeaf,GanttView[[#This Row],[_Row]])=1,NOT(GanttView[[#This Row],[_IsMilestone]]),N(GanttView[[#This Row],[%]])&gt;0),GanttView[[#This Row],[Forecast Start]],0))</f>
        <v>0</v>
      </c>
      <c r="Q32" s="132" t="n">
        <f aca="false">IF(GanttView[[#This Row],[_DoneFrom]]=0,0,IF(GanttView[[#This Row],[%]]&gt;=1,GanttView[[#This Row],[Forecast Finish]],MAX(GanttView[[#This Row],[_DoneFrom]],GanttView[[#This Row],[Forecast Start]]+ROUND((GanttView[[#This Row],[Forecast Finish]]-GanttView[[#This Row],[Forecast Start]]+1)*GanttView[[#This Row],[%]],0)-1)))</f>
        <v>0</v>
      </c>
      <c r="R32" s="132" t="n">
        <f aca="false">IF(IFERROR(INDEX(tsk_Name,GanttView[[#This Row],[_Row]])="",TRUE()),0,IF(OR(INDEX(tsk_IsLeaf,GanttView[[#This Row],[_Row]])&lt;&gt;1,GanttView[[#This Row],[_IsMilestone]],N(GanttView[[#This Row],[%]])&gt;=1),0,IF(GanttView[[#This Row],[_DoneTo]]&gt;0,GanttView[[#This Row],[_DoneTo]]+1,GanttView[[#This Row],[Forecast Start]])))</f>
        <v>0</v>
      </c>
      <c r="S32" s="132" t="n">
        <f aca="false">IF(GanttView[[#This Row],[_RemFrom]]=0,0,GanttView[[#This Row],[Forecast Finish]])</f>
        <v>0</v>
      </c>
      <c r="T32" s="131" t="b">
        <f aca="false">IF(IFERROR(INDEX(tsk_Name,GanttView[[#This Row],[_Row]])="",TRUE()),FALSE(),N(INDEX(tsk_Variance,GanttView[[#This Row],[_Row]]))&gt;0)</f>
        <v>0</v>
      </c>
      <c r="U32" s="132" t="n">
        <f aca="false">IF(IFERROR(INDEX(tsk_Name,GanttView[[#This Row],[_Row]])="",TRUE()),0,N(INDEX(tsk_Deadline,GanttView[[#This Row],[_Row]])))</f>
        <v>0</v>
      </c>
      <c r="V32" s="131" t="b">
        <f aca="false">IF(IFERROR(INDEX(tsk_Name,GanttView[[#This Row],[_Row]])="",TRUE()),FALSE(),INDEX(tsk_Critical,GanttView[[#This Row],[_Row]])="Yes")</f>
        <v>0</v>
      </c>
    </row>
    <row r="33" customFormat="false" ht="15" hidden="false" customHeight="false" outlineLevel="0" collapsed="false">
      <c r="A33" s="126" t="str">
        <f aca="false">IF(IFERROR(INDEX(tsk_Name,GanttView[[#This Row],[_Row]])="",TRUE()),"",INDEX(tsk_ID,GanttView[[#This Row],[_Row]]))</f>
        <v/>
      </c>
      <c r="B33" s="126" t="str">
        <f aca="false">IF(IFERROR(INDEX(tsk_Name,GanttView[[#This Row],[_Row]])="",TRUE()),"",INDEX(tsk_WBS,GanttView[[#This Row],[_Row]]))</f>
        <v/>
      </c>
      <c r="C33" s="127" t="str">
        <f aca="false">IF(IFERROR(INDEX(tsk_Name,GanttView[[#This Row],[_Row]])="",TRUE()),"",REPT("    ",INDEX(tsk_Level,GanttView[[#This Row],[_Row]])-1)&amp;INDEX(tsk_Name,GanttView[[#This Row],[_Row]]))</f>
        <v/>
      </c>
      <c r="D33" s="126" t="str">
        <f aca="false">IF(IFERROR(INDEX(tsk_Name,GanttView[[#This Row],[_Row]])="",TRUE()),"",IF(INDEX(tsk_IsSummary,GanttView[[#This Row],[_Row]]),NETWORKDAYS.INTL(INDEX(tsk_FcStart,GanttView[[#This Row],[_Row]]),INDEX(tsk_FcFinish,GanttView[[#This Row],[_Row]]),WorkWeek,Holidays),N(INDEX(tsk_Duration,GanttView[[#This Row],[_Row]]))))</f>
        <v/>
      </c>
      <c r="E33" s="128" t="str">
        <f aca="false">IF(IFERROR(INDEX(tsk_Name,GanttView[[#This Row],[_Row]])="",TRUE()),"",INDEX(tsk_PlanStart,GanttView[[#This Row],[_Row]]))</f>
        <v/>
      </c>
      <c r="F33" s="128" t="str">
        <f aca="false">IF(IFERROR(INDEX(tsk_Name,GanttView[[#This Row],[_Row]])="",TRUE()),"",INDEX(tsk_PlanFinish,GanttView[[#This Row],[_Row]]))</f>
        <v/>
      </c>
      <c r="G33" s="128" t="str">
        <f aca="false">IF(IFERROR(INDEX(tsk_Name,GanttView[[#This Row],[_Row]])="",TRUE()),"",INDEX(tsk_FcStart,GanttView[[#This Row],[_Row]]))</f>
        <v/>
      </c>
      <c r="H33" s="128" t="str">
        <f aca="false">IF(IFERROR(INDEX(tsk_Name,GanttView[[#This Row],[_Row]])="",TRUE()),"",INDEX(tsk_FcFinish,GanttView[[#This Row],[_Row]]))</f>
        <v/>
      </c>
      <c r="I33" s="129" t="str">
        <f aca="false">IF(IFERROR(INDEX(tsk_Name,GanttView[[#This Row],[_Row]])="",TRUE()),"",INDEX(tsk_Progress,GanttView[[#This Row],[_Row]]))</f>
        <v/>
      </c>
      <c r="J33" s="127" t="str">
        <f aca="false">IF(IFERROR(INDEX(tsk_Name,GanttView[[#This Row],[_Row]])="",TRUE()),"",INDEX(tsk_ResourceNames,GanttView[[#This Row],[_Row]])&amp;"")</f>
        <v/>
      </c>
      <c r="K33" s="126" t="str">
        <f aca="false">IF(IFERROR(INDEX(tsk_Name,GanttView[[#This Row],[_Row]])="",TRUE()),"",INDEX(tsk_Status,GanttView[[#This Row],[_Row]]))</f>
        <v/>
      </c>
      <c r="L33" s="126" t="str">
        <f aca="false">IF(IFERROR(INDEX(tsk_Name,GanttView[[#This Row],[_Row]])="",TRUE()),"",INDEX(tsk_Show,GanttView[[#This Row],[_Row]])&amp;"")</f>
        <v/>
      </c>
      <c r="M33" s="130" t="n">
        <f aca="false">ROW()-ROW(GanttView[[#Headers],[ID]])</f>
        <v>28</v>
      </c>
      <c r="N33" s="131" t="b">
        <f aca="false">IF(IFERROR(INDEX(tsk_Name,GanttView[[#This Row],[_Row]])="",TRUE()),FALSE(),INDEX(tsk_IsSummary,GanttView[[#This Row],[_Row]]))</f>
        <v>0</v>
      </c>
      <c r="O33" s="131" t="b">
        <f aca="false">IF(IFERROR(INDEX(tsk_Name,GanttView[[#This Row],[_Row]])="",TRUE()),FALSE(),AND(INDEX(tsk_IsLeaf,GanttView[[#This Row],[_Row]])=1,N(INDEX(tsk_Duration,GanttView[[#This Row],[_Row]]))=0))</f>
        <v>0</v>
      </c>
      <c r="P33" s="132" t="n">
        <f aca="false">IF(IFERROR(INDEX(tsk_Name,GanttView[[#This Row],[_Row]])="",TRUE()),0,IF(AND(INDEX(tsk_IsLeaf,GanttView[[#This Row],[_Row]])=1,NOT(GanttView[[#This Row],[_IsMilestone]]),N(GanttView[[#This Row],[%]])&gt;0),GanttView[[#This Row],[Forecast Start]],0))</f>
        <v>0</v>
      </c>
      <c r="Q33" s="132" t="n">
        <f aca="false">IF(GanttView[[#This Row],[_DoneFrom]]=0,0,IF(GanttView[[#This Row],[%]]&gt;=1,GanttView[[#This Row],[Forecast Finish]],MAX(GanttView[[#This Row],[_DoneFrom]],GanttView[[#This Row],[Forecast Start]]+ROUND((GanttView[[#This Row],[Forecast Finish]]-GanttView[[#This Row],[Forecast Start]]+1)*GanttView[[#This Row],[%]],0)-1)))</f>
        <v>0</v>
      </c>
      <c r="R33" s="132" t="n">
        <f aca="false">IF(IFERROR(INDEX(tsk_Name,GanttView[[#This Row],[_Row]])="",TRUE()),0,IF(OR(INDEX(tsk_IsLeaf,GanttView[[#This Row],[_Row]])&lt;&gt;1,GanttView[[#This Row],[_IsMilestone]],N(GanttView[[#This Row],[%]])&gt;=1),0,IF(GanttView[[#This Row],[_DoneTo]]&gt;0,GanttView[[#This Row],[_DoneTo]]+1,GanttView[[#This Row],[Forecast Start]])))</f>
        <v>0</v>
      </c>
      <c r="S33" s="132" t="n">
        <f aca="false">IF(GanttView[[#This Row],[_RemFrom]]=0,0,GanttView[[#This Row],[Forecast Finish]])</f>
        <v>0</v>
      </c>
      <c r="T33" s="131" t="b">
        <f aca="false">IF(IFERROR(INDEX(tsk_Name,GanttView[[#This Row],[_Row]])="",TRUE()),FALSE(),N(INDEX(tsk_Variance,GanttView[[#This Row],[_Row]]))&gt;0)</f>
        <v>0</v>
      </c>
      <c r="U33" s="132" t="n">
        <f aca="false">IF(IFERROR(INDEX(tsk_Name,GanttView[[#This Row],[_Row]])="",TRUE()),0,N(INDEX(tsk_Deadline,GanttView[[#This Row],[_Row]])))</f>
        <v>0</v>
      </c>
      <c r="V33" s="131" t="b">
        <f aca="false">IF(IFERROR(INDEX(tsk_Name,GanttView[[#This Row],[_Row]])="",TRUE()),FALSE(),INDEX(tsk_Critical,GanttView[[#This Row],[_Row]])="Yes")</f>
        <v>0</v>
      </c>
    </row>
    <row r="34" customFormat="false" ht="15" hidden="false" customHeight="false" outlineLevel="0" collapsed="false">
      <c r="A34" s="126" t="str">
        <f aca="false">IF(IFERROR(INDEX(tsk_Name,GanttView[[#This Row],[_Row]])="",TRUE()),"",INDEX(tsk_ID,GanttView[[#This Row],[_Row]]))</f>
        <v/>
      </c>
      <c r="B34" s="126" t="str">
        <f aca="false">IF(IFERROR(INDEX(tsk_Name,GanttView[[#This Row],[_Row]])="",TRUE()),"",INDEX(tsk_WBS,GanttView[[#This Row],[_Row]]))</f>
        <v/>
      </c>
      <c r="C34" s="127" t="str">
        <f aca="false">IF(IFERROR(INDEX(tsk_Name,GanttView[[#This Row],[_Row]])="",TRUE()),"",REPT("    ",INDEX(tsk_Level,GanttView[[#This Row],[_Row]])-1)&amp;INDEX(tsk_Name,GanttView[[#This Row],[_Row]]))</f>
        <v/>
      </c>
      <c r="D34" s="126" t="str">
        <f aca="false">IF(IFERROR(INDEX(tsk_Name,GanttView[[#This Row],[_Row]])="",TRUE()),"",IF(INDEX(tsk_IsSummary,GanttView[[#This Row],[_Row]]),NETWORKDAYS.INTL(INDEX(tsk_FcStart,GanttView[[#This Row],[_Row]]),INDEX(tsk_FcFinish,GanttView[[#This Row],[_Row]]),WorkWeek,Holidays),N(INDEX(tsk_Duration,GanttView[[#This Row],[_Row]]))))</f>
        <v/>
      </c>
      <c r="E34" s="128" t="str">
        <f aca="false">IF(IFERROR(INDEX(tsk_Name,GanttView[[#This Row],[_Row]])="",TRUE()),"",INDEX(tsk_PlanStart,GanttView[[#This Row],[_Row]]))</f>
        <v/>
      </c>
      <c r="F34" s="128" t="str">
        <f aca="false">IF(IFERROR(INDEX(tsk_Name,GanttView[[#This Row],[_Row]])="",TRUE()),"",INDEX(tsk_PlanFinish,GanttView[[#This Row],[_Row]]))</f>
        <v/>
      </c>
      <c r="G34" s="128" t="str">
        <f aca="false">IF(IFERROR(INDEX(tsk_Name,GanttView[[#This Row],[_Row]])="",TRUE()),"",INDEX(tsk_FcStart,GanttView[[#This Row],[_Row]]))</f>
        <v/>
      </c>
      <c r="H34" s="128" t="str">
        <f aca="false">IF(IFERROR(INDEX(tsk_Name,GanttView[[#This Row],[_Row]])="",TRUE()),"",INDEX(tsk_FcFinish,GanttView[[#This Row],[_Row]]))</f>
        <v/>
      </c>
      <c r="I34" s="129" t="str">
        <f aca="false">IF(IFERROR(INDEX(tsk_Name,GanttView[[#This Row],[_Row]])="",TRUE()),"",INDEX(tsk_Progress,GanttView[[#This Row],[_Row]]))</f>
        <v/>
      </c>
      <c r="J34" s="127" t="str">
        <f aca="false">IF(IFERROR(INDEX(tsk_Name,GanttView[[#This Row],[_Row]])="",TRUE()),"",INDEX(tsk_ResourceNames,GanttView[[#This Row],[_Row]])&amp;"")</f>
        <v/>
      </c>
      <c r="K34" s="126" t="str">
        <f aca="false">IF(IFERROR(INDEX(tsk_Name,GanttView[[#This Row],[_Row]])="",TRUE()),"",INDEX(tsk_Status,GanttView[[#This Row],[_Row]]))</f>
        <v/>
      </c>
      <c r="L34" s="126" t="str">
        <f aca="false">IF(IFERROR(INDEX(tsk_Name,GanttView[[#This Row],[_Row]])="",TRUE()),"",INDEX(tsk_Show,GanttView[[#This Row],[_Row]])&amp;"")</f>
        <v/>
      </c>
      <c r="M34" s="130" t="n">
        <f aca="false">ROW()-ROW(GanttView[[#Headers],[ID]])</f>
        <v>29</v>
      </c>
      <c r="N34" s="131" t="b">
        <f aca="false">IF(IFERROR(INDEX(tsk_Name,GanttView[[#This Row],[_Row]])="",TRUE()),FALSE(),INDEX(tsk_IsSummary,GanttView[[#This Row],[_Row]]))</f>
        <v>0</v>
      </c>
      <c r="O34" s="131" t="b">
        <f aca="false">IF(IFERROR(INDEX(tsk_Name,GanttView[[#This Row],[_Row]])="",TRUE()),FALSE(),AND(INDEX(tsk_IsLeaf,GanttView[[#This Row],[_Row]])=1,N(INDEX(tsk_Duration,GanttView[[#This Row],[_Row]]))=0))</f>
        <v>0</v>
      </c>
      <c r="P34" s="132" t="n">
        <f aca="false">IF(IFERROR(INDEX(tsk_Name,GanttView[[#This Row],[_Row]])="",TRUE()),0,IF(AND(INDEX(tsk_IsLeaf,GanttView[[#This Row],[_Row]])=1,NOT(GanttView[[#This Row],[_IsMilestone]]),N(GanttView[[#This Row],[%]])&gt;0),GanttView[[#This Row],[Forecast Start]],0))</f>
        <v>0</v>
      </c>
      <c r="Q34" s="132" t="n">
        <f aca="false">IF(GanttView[[#This Row],[_DoneFrom]]=0,0,IF(GanttView[[#This Row],[%]]&gt;=1,GanttView[[#This Row],[Forecast Finish]],MAX(GanttView[[#This Row],[_DoneFrom]],GanttView[[#This Row],[Forecast Start]]+ROUND((GanttView[[#This Row],[Forecast Finish]]-GanttView[[#This Row],[Forecast Start]]+1)*GanttView[[#This Row],[%]],0)-1)))</f>
        <v>0</v>
      </c>
      <c r="R34" s="132" t="n">
        <f aca="false">IF(IFERROR(INDEX(tsk_Name,GanttView[[#This Row],[_Row]])="",TRUE()),0,IF(OR(INDEX(tsk_IsLeaf,GanttView[[#This Row],[_Row]])&lt;&gt;1,GanttView[[#This Row],[_IsMilestone]],N(GanttView[[#This Row],[%]])&gt;=1),0,IF(GanttView[[#This Row],[_DoneTo]]&gt;0,GanttView[[#This Row],[_DoneTo]]+1,GanttView[[#This Row],[Forecast Start]])))</f>
        <v>0</v>
      </c>
      <c r="S34" s="132" t="n">
        <f aca="false">IF(GanttView[[#This Row],[_RemFrom]]=0,0,GanttView[[#This Row],[Forecast Finish]])</f>
        <v>0</v>
      </c>
      <c r="T34" s="131" t="b">
        <f aca="false">IF(IFERROR(INDEX(tsk_Name,GanttView[[#This Row],[_Row]])="",TRUE()),FALSE(),N(INDEX(tsk_Variance,GanttView[[#This Row],[_Row]]))&gt;0)</f>
        <v>0</v>
      </c>
      <c r="U34" s="132" t="n">
        <f aca="false">IF(IFERROR(INDEX(tsk_Name,GanttView[[#This Row],[_Row]])="",TRUE()),0,N(INDEX(tsk_Deadline,GanttView[[#This Row],[_Row]])))</f>
        <v>0</v>
      </c>
      <c r="V34" s="131" t="b">
        <f aca="false">IF(IFERROR(INDEX(tsk_Name,GanttView[[#This Row],[_Row]])="",TRUE()),FALSE(),INDEX(tsk_Critical,GanttView[[#This Row],[_Row]])="Yes")</f>
        <v>0</v>
      </c>
    </row>
    <row r="35" customFormat="false" ht="15" hidden="false" customHeight="false" outlineLevel="0" collapsed="false">
      <c r="A35" s="126" t="str">
        <f aca="false">IF(IFERROR(INDEX(tsk_Name,GanttView[[#This Row],[_Row]])="",TRUE()),"",INDEX(tsk_ID,GanttView[[#This Row],[_Row]]))</f>
        <v/>
      </c>
      <c r="B35" s="126" t="str">
        <f aca="false">IF(IFERROR(INDEX(tsk_Name,GanttView[[#This Row],[_Row]])="",TRUE()),"",INDEX(tsk_WBS,GanttView[[#This Row],[_Row]]))</f>
        <v/>
      </c>
      <c r="C35" s="127" t="str">
        <f aca="false">IF(IFERROR(INDEX(tsk_Name,GanttView[[#This Row],[_Row]])="",TRUE()),"",REPT("    ",INDEX(tsk_Level,GanttView[[#This Row],[_Row]])-1)&amp;INDEX(tsk_Name,GanttView[[#This Row],[_Row]]))</f>
        <v/>
      </c>
      <c r="D35" s="126" t="str">
        <f aca="false">IF(IFERROR(INDEX(tsk_Name,GanttView[[#This Row],[_Row]])="",TRUE()),"",IF(INDEX(tsk_IsSummary,GanttView[[#This Row],[_Row]]),NETWORKDAYS.INTL(INDEX(tsk_FcStart,GanttView[[#This Row],[_Row]]),INDEX(tsk_FcFinish,GanttView[[#This Row],[_Row]]),WorkWeek,Holidays),N(INDEX(tsk_Duration,GanttView[[#This Row],[_Row]]))))</f>
        <v/>
      </c>
      <c r="E35" s="128" t="str">
        <f aca="false">IF(IFERROR(INDEX(tsk_Name,GanttView[[#This Row],[_Row]])="",TRUE()),"",INDEX(tsk_PlanStart,GanttView[[#This Row],[_Row]]))</f>
        <v/>
      </c>
      <c r="F35" s="128" t="str">
        <f aca="false">IF(IFERROR(INDEX(tsk_Name,GanttView[[#This Row],[_Row]])="",TRUE()),"",INDEX(tsk_PlanFinish,GanttView[[#This Row],[_Row]]))</f>
        <v/>
      </c>
      <c r="G35" s="128" t="str">
        <f aca="false">IF(IFERROR(INDEX(tsk_Name,GanttView[[#This Row],[_Row]])="",TRUE()),"",INDEX(tsk_FcStart,GanttView[[#This Row],[_Row]]))</f>
        <v/>
      </c>
      <c r="H35" s="128" t="str">
        <f aca="false">IF(IFERROR(INDEX(tsk_Name,GanttView[[#This Row],[_Row]])="",TRUE()),"",INDEX(tsk_FcFinish,GanttView[[#This Row],[_Row]]))</f>
        <v/>
      </c>
      <c r="I35" s="129" t="str">
        <f aca="false">IF(IFERROR(INDEX(tsk_Name,GanttView[[#This Row],[_Row]])="",TRUE()),"",INDEX(tsk_Progress,GanttView[[#This Row],[_Row]]))</f>
        <v/>
      </c>
      <c r="J35" s="127" t="str">
        <f aca="false">IF(IFERROR(INDEX(tsk_Name,GanttView[[#This Row],[_Row]])="",TRUE()),"",INDEX(tsk_ResourceNames,GanttView[[#This Row],[_Row]])&amp;"")</f>
        <v/>
      </c>
      <c r="K35" s="126" t="str">
        <f aca="false">IF(IFERROR(INDEX(tsk_Name,GanttView[[#This Row],[_Row]])="",TRUE()),"",INDEX(tsk_Status,GanttView[[#This Row],[_Row]]))</f>
        <v/>
      </c>
      <c r="L35" s="126" t="str">
        <f aca="false">IF(IFERROR(INDEX(tsk_Name,GanttView[[#This Row],[_Row]])="",TRUE()),"",INDEX(tsk_Show,GanttView[[#This Row],[_Row]])&amp;"")</f>
        <v/>
      </c>
      <c r="M35" s="130" t="n">
        <f aca="false">ROW()-ROW(GanttView[[#Headers],[ID]])</f>
        <v>30</v>
      </c>
      <c r="N35" s="131" t="b">
        <f aca="false">IF(IFERROR(INDEX(tsk_Name,GanttView[[#This Row],[_Row]])="",TRUE()),FALSE(),INDEX(tsk_IsSummary,GanttView[[#This Row],[_Row]]))</f>
        <v>0</v>
      </c>
      <c r="O35" s="131" t="b">
        <f aca="false">IF(IFERROR(INDEX(tsk_Name,GanttView[[#This Row],[_Row]])="",TRUE()),FALSE(),AND(INDEX(tsk_IsLeaf,GanttView[[#This Row],[_Row]])=1,N(INDEX(tsk_Duration,GanttView[[#This Row],[_Row]]))=0))</f>
        <v>0</v>
      </c>
      <c r="P35" s="132" t="n">
        <f aca="false">IF(IFERROR(INDEX(tsk_Name,GanttView[[#This Row],[_Row]])="",TRUE()),0,IF(AND(INDEX(tsk_IsLeaf,GanttView[[#This Row],[_Row]])=1,NOT(GanttView[[#This Row],[_IsMilestone]]),N(GanttView[[#This Row],[%]])&gt;0),GanttView[[#This Row],[Forecast Start]],0))</f>
        <v>0</v>
      </c>
      <c r="Q35" s="132" t="n">
        <f aca="false">IF(GanttView[[#This Row],[_DoneFrom]]=0,0,IF(GanttView[[#This Row],[%]]&gt;=1,GanttView[[#This Row],[Forecast Finish]],MAX(GanttView[[#This Row],[_DoneFrom]],GanttView[[#This Row],[Forecast Start]]+ROUND((GanttView[[#This Row],[Forecast Finish]]-GanttView[[#This Row],[Forecast Start]]+1)*GanttView[[#This Row],[%]],0)-1)))</f>
        <v>0</v>
      </c>
      <c r="R35" s="132" t="n">
        <f aca="false">IF(IFERROR(INDEX(tsk_Name,GanttView[[#This Row],[_Row]])="",TRUE()),0,IF(OR(INDEX(tsk_IsLeaf,GanttView[[#This Row],[_Row]])&lt;&gt;1,GanttView[[#This Row],[_IsMilestone]],N(GanttView[[#This Row],[%]])&gt;=1),0,IF(GanttView[[#This Row],[_DoneTo]]&gt;0,GanttView[[#This Row],[_DoneTo]]+1,GanttView[[#This Row],[Forecast Start]])))</f>
        <v>0</v>
      </c>
      <c r="S35" s="132" t="n">
        <f aca="false">IF(GanttView[[#This Row],[_RemFrom]]=0,0,GanttView[[#This Row],[Forecast Finish]])</f>
        <v>0</v>
      </c>
      <c r="T35" s="131" t="b">
        <f aca="false">IF(IFERROR(INDEX(tsk_Name,GanttView[[#This Row],[_Row]])="",TRUE()),FALSE(),N(INDEX(tsk_Variance,GanttView[[#This Row],[_Row]]))&gt;0)</f>
        <v>0</v>
      </c>
      <c r="U35" s="132" t="n">
        <f aca="false">IF(IFERROR(INDEX(tsk_Name,GanttView[[#This Row],[_Row]])="",TRUE()),0,N(INDEX(tsk_Deadline,GanttView[[#This Row],[_Row]])))</f>
        <v>0</v>
      </c>
      <c r="V35" s="131" t="b">
        <f aca="false">IF(IFERROR(INDEX(tsk_Name,GanttView[[#This Row],[_Row]])="",TRUE()),FALSE(),INDEX(tsk_Critical,GanttView[[#This Row],[_Row]])="Yes")</f>
        <v>0</v>
      </c>
    </row>
    <row r="36" customFormat="false" ht="15" hidden="false" customHeight="false" outlineLevel="0" collapsed="false">
      <c r="A36" s="126" t="str">
        <f aca="false">IF(IFERROR(INDEX(tsk_Name,GanttView[[#This Row],[_Row]])="",TRUE()),"",INDEX(tsk_ID,GanttView[[#This Row],[_Row]]))</f>
        <v/>
      </c>
      <c r="B36" s="126" t="str">
        <f aca="false">IF(IFERROR(INDEX(tsk_Name,GanttView[[#This Row],[_Row]])="",TRUE()),"",INDEX(tsk_WBS,GanttView[[#This Row],[_Row]]))</f>
        <v/>
      </c>
      <c r="C36" s="127" t="str">
        <f aca="false">IF(IFERROR(INDEX(tsk_Name,GanttView[[#This Row],[_Row]])="",TRUE()),"",REPT("    ",INDEX(tsk_Level,GanttView[[#This Row],[_Row]])-1)&amp;INDEX(tsk_Name,GanttView[[#This Row],[_Row]]))</f>
        <v/>
      </c>
      <c r="D36" s="126" t="str">
        <f aca="false">IF(IFERROR(INDEX(tsk_Name,GanttView[[#This Row],[_Row]])="",TRUE()),"",IF(INDEX(tsk_IsSummary,GanttView[[#This Row],[_Row]]),NETWORKDAYS.INTL(INDEX(tsk_FcStart,GanttView[[#This Row],[_Row]]),INDEX(tsk_FcFinish,GanttView[[#This Row],[_Row]]),WorkWeek,Holidays),N(INDEX(tsk_Duration,GanttView[[#This Row],[_Row]]))))</f>
        <v/>
      </c>
      <c r="E36" s="128" t="str">
        <f aca="false">IF(IFERROR(INDEX(tsk_Name,GanttView[[#This Row],[_Row]])="",TRUE()),"",INDEX(tsk_PlanStart,GanttView[[#This Row],[_Row]]))</f>
        <v/>
      </c>
      <c r="F36" s="128" t="str">
        <f aca="false">IF(IFERROR(INDEX(tsk_Name,GanttView[[#This Row],[_Row]])="",TRUE()),"",INDEX(tsk_PlanFinish,GanttView[[#This Row],[_Row]]))</f>
        <v/>
      </c>
      <c r="G36" s="128" t="str">
        <f aca="false">IF(IFERROR(INDEX(tsk_Name,GanttView[[#This Row],[_Row]])="",TRUE()),"",INDEX(tsk_FcStart,GanttView[[#This Row],[_Row]]))</f>
        <v/>
      </c>
      <c r="H36" s="128" t="str">
        <f aca="false">IF(IFERROR(INDEX(tsk_Name,GanttView[[#This Row],[_Row]])="",TRUE()),"",INDEX(tsk_FcFinish,GanttView[[#This Row],[_Row]]))</f>
        <v/>
      </c>
      <c r="I36" s="129" t="str">
        <f aca="false">IF(IFERROR(INDEX(tsk_Name,GanttView[[#This Row],[_Row]])="",TRUE()),"",INDEX(tsk_Progress,GanttView[[#This Row],[_Row]]))</f>
        <v/>
      </c>
      <c r="J36" s="127" t="str">
        <f aca="false">IF(IFERROR(INDEX(tsk_Name,GanttView[[#This Row],[_Row]])="",TRUE()),"",INDEX(tsk_ResourceNames,GanttView[[#This Row],[_Row]])&amp;"")</f>
        <v/>
      </c>
      <c r="K36" s="126" t="str">
        <f aca="false">IF(IFERROR(INDEX(tsk_Name,GanttView[[#This Row],[_Row]])="",TRUE()),"",INDEX(tsk_Status,GanttView[[#This Row],[_Row]]))</f>
        <v/>
      </c>
      <c r="L36" s="126" t="str">
        <f aca="false">IF(IFERROR(INDEX(tsk_Name,GanttView[[#This Row],[_Row]])="",TRUE()),"",INDEX(tsk_Show,GanttView[[#This Row],[_Row]])&amp;"")</f>
        <v/>
      </c>
      <c r="M36" s="130" t="n">
        <f aca="false">ROW()-ROW(GanttView[[#Headers],[ID]])</f>
        <v>31</v>
      </c>
      <c r="N36" s="131" t="b">
        <f aca="false">IF(IFERROR(INDEX(tsk_Name,GanttView[[#This Row],[_Row]])="",TRUE()),FALSE(),INDEX(tsk_IsSummary,GanttView[[#This Row],[_Row]]))</f>
        <v>0</v>
      </c>
      <c r="O36" s="131" t="b">
        <f aca="false">IF(IFERROR(INDEX(tsk_Name,GanttView[[#This Row],[_Row]])="",TRUE()),FALSE(),AND(INDEX(tsk_IsLeaf,GanttView[[#This Row],[_Row]])=1,N(INDEX(tsk_Duration,GanttView[[#This Row],[_Row]]))=0))</f>
        <v>0</v>
      </c>
      <c r="P36" s="132" t="n">
        <f aca="false">IF(IFERROR(INDEX(tsk_Name,GanttView[[#This Row],[_Row]])="",TRUE()),0,IF(AND(INDEX(tsk_IsLeaf,GanttView[[#This Row],[_Row]])=1,NOT(GanttView[[#This Row],[_IsMilestone]]),N(GanttView[[#This Row],[%]])&gt;0),GanttView[[#This Row],[Forecast Start]],0))</f>
        <v>0</v>
      </c>
      <c r="Q36" s="132" t="n">
        <f aca="false">IF(GanttView[[#This Row],[_DoneFrom]]=0,0,IF(GanttView[[#This Row],[%]]&gt;=1,GanttView[[#This Row],[Forecast Finish]],MAX(GanttView[[#This Row],[_DoneFrom]],GanttView[[#This Row],[Forecast Start]]+ROUND((GanttView[[#This Row],[Forecast Finish]]-GanttView[[#This Row],[Forecast Start]]+1)*GanttView[[#This Row],[%]],0)-1)))</f>
        <v>0</v>
      </c>
      <c r="R36" s="132" t="n">
        <f aca="false">IF(IFERROR(INDEX(tsk_Name,GanttView[[#This Row],[_Row]])="",TRUE()),0,IF(OR(INDEX(tsk_IsLeaf,GanttView[[#This Row],[_Row]])&lt;&gt;1,GanttView[[#This Row],[_IsMilestone]],N(GanttView[[#This Row],[%]])&gt;=1),0,IF(GanttView[[#This Row],[_DoneTo]]&gt;0,GanttView[[#This Row],[_DoneTo]]+1,GanttView[[#This Row],[Forecast Start]])))</f>
        <v>0</v>
      </c>
      <c r="S36" s="132" t="n">
        <f aca="false">IF(GanttView[[#This Row],[_RemFrom]]=0,0,GanttView[[#This Row],[Forecast Finish]])</f>
        <v>0</v>
      </c>
      <c r="T36" s="131" t="b">
        <f aca="false">IF(IFERROR(INDEX(tsk_Name,GanttView[[#This Row],[_Row]])="",TRUE()),FALSE(),N(INDEX(tsk_Variance,GanttView[[#This Row],[_Row]]))&gt;0)</f>
        <v>0</v>
      </c>
      <c r="U36" s="132" t="n">
        <f aca="false">IF(IFERROR(INDEX(tsk_Name,GanttView[[#This Row],[_Row]])="",TRUE()),0,N(INDEX(tsk_Deadline,GanttView[[#This Row],[_Row]])))</f>
        <v>0</v>
      </c>
      <c r="V36" s="131" t="b">
        <f aca="false">IF(IFERROR(INDEX(tsk_Name,GanttView[[#This Row],[_Row]])="",TRUE()),FALSE(),INDEX(tsk_Critical,GanttView[[#This Row],[_Row]])="Yes")</f>
        <v>0</v>
      </c>
    </row>
    <row r="37" customFormat="false" ht="15" hidden="false" customHeight="false" outlineLevel="0" collapsed="false">
      <c r="A37" s="126" t="str">
        <f aca="false">IF(IFERROR(INDEX(tsk_Name,GanttView[[#This Row],[_Row]])="",TRUE()),"",INDEX(tsk_ID,GanttView[[#This Row],[_Row]]))</f>
        <v/>
      </c>
      <c r="B37" s="126" t="str">
        <f aca="false">IF(IFERROR(INDEX(tsk_Name,GanttView[[#This Row],[_Row]])="",TRUE()),"",INDEX(tsk_WBS,GanttView[[#This Row],[_Row]]))</f>
        <v/>
      </c>
      <c r="C37" s="127" t="str">
        <f aca="false">IF(IFERROR(INDEX(tsk_Name,GanttView[[#This Row],[_Row]])="",TRUE()),"",REPT("    ",INDEX(tsk_Level,GanttView[[#This Row],[_Row]])-1)&amp;INDEX(tsk_Name,GanttView[[#This Row],[_Row]]))</f>
        <v/>
      </c>
      <c r="D37" s="126" t="str">
        <f aca="false">IF(IFERROR(INDEX(tsk_Name,GanttView[[#This Row],[_Row]])="",TRUE()),"",IF(INDEX(tsk_IsSummary,GanttView[[#This Row],[_Row]]),NETWORKDAYS.INTL(INDEX(tsk_FcStart,GanttView[[#This Row],[_Row]]),INDEX(tsk_FcFinish,GanttView[[#This Row],[_Row]]),WorkWeek,Holidays),N(INDEX(tsk_Duration,GanttView[[#This Row],[_Row]]))))</f>
        <v/>
      </c>
      <c r="E37" s="128" t="str">
        <f aca="false">IF(IFERROR(INDEX(tsk_Name,GanttView[[#This Row],[_Row]])="",TRUE()),"",INDEX(tsk_PlanStart,GanttView[[#This Row],[_Row]]))</f>
        <v/>
      </c>
      <c r="F37" s="128" t="str">
        <f aca="false">IF(IFERROR(INDEX(tsk_Name,GanttView[[#This Row],[_Row]])="",TRUE()),"",INDEX(tsk_PlanFinish,GanttView[[#This Row],[_Row]]))</f>
        <v/>
      </c>
      <c r="G37" s="128" t="str">
        <f aca="false">IF(IFERROR(INDEX(tsk_Name,GanttView[[#This Row],[_Row]])="",TRUE()),"",INDEX(tsk_FcStart,GanttView[[#This Row],[_Row]]))</f>
        <v/>
      </c>
      <c r="H37" s="128" t="str">
        <f aca="false">IF(IFERROR(INDEX(tsk_Name,GanttView[[#This Row],[_Row]])="",TRUE()),"",INDEX(tsk_FcFinish,GanttView[[#This Row],[_Row]]))</f>
        <v/>
      </c>
      <c r="I37" s="129" t="str">
        <f aca="false">IF(IFERROR(INDEX(tsk_Name,GanttView[[#This Row],[_Row]])="",TRUE()),"",INDEX(tsk_Progress,GanttView[[#This Row],[_Row]]))</f>
        <v/>
      </c>
      <c r="J37" s="127" t="str">
        <f aca="false">IF(IFERROR(INDEX(tsk_Name,GanttView[[#This Row],[_Row]])="",TRUE()),"",INDEX(tsk_ResourceNames,GanttView[[#This Row],[_Row]])&amp;"")</f>
        <v/>
      </c>
      <c r="K37" s="126" t="str">
        <f aca="false">IF(IFERROR(INDEX(tsk_Name,GanttView[[#This Row],[_Row]])="",TRUE()),"",INDEX(tsk_Status,GanttView[[#This Row],[_Row]]))</f>
        <v/>
      </c>
      <c r="L37" s="126" t="str">
        <f aca="false">IF(IFERROR(INDEX(tsk_Name,GanttView[[#This Row],[_Row]])="",TRUE()),"",INDEX(tsk_Show,GanttView[[#This Row],[_Row]])&amp;"")</f>
        <v/>
      </c>
      <c r="M37" s="130" t="n">
        <f aca="false">ROW()-ROW(GanttView[[#Headers],[ID]])</f>
        <v>32</v>
      </c>
      <c r="N37" s="131" t="b">
        <f aca="false">IF(IFERROR(INDEX(tsk_Name,GanttView[[#This Row],[_Row]])="",TRUE()),FALSE(),INDEX(tsk_IsSummary,GanttView[[#This Row],[_Row]]))</f>
        <v>0</v>
      </c>
      <c r="O37" s="131" t="b">
        <f aca="false">IF(IFERROR(INDEX(tsk_Name,GanttView[[#This Row],[_Row]])="",TRUE()),FALSE(),AND(INDEX(tsk_IsLeaf,GanttView[[#This Row],[_Row]])=1,N(INDEX(tsk_Duration,GanttView[[#This Row],[_Row]]))=0))</f>
        <v>0</v>
      </c>
      <c r="P37" s="132" t="n">
        <f aca="false">IF(IFERROR(INDEX(tsk_Name,GanttView[[#This Row],[_Row]])="",TRUE()),0,IF(AND(INDEX(tsk_IsLeaf,GanttView[[#This Row],[_Row]])=1,NOT(GanttView[[#This Row],[_IsMilestone]]),N(GanttView[[#This Row],[%]])&gt;0),GanttView[[#This Row],[Forecast Start]],0))</f>
        <v>0</v>
      </c>
      <c r="Q37" s="132" t="n">
        <f aca="false">IF(GanttView[[#This Row],[_DoneFrom]]=0,0,IF(GanttView[[#This Row],[%]]&gt;=1,GanttView[[#This Row],[Forecast Finish]],MAX(GanttView[[#This Row],[_DoneFrom]],GanttView[[#This Row],[Forecast Start]]+ROUND((GanttView[[#This Row],[Forecast Finish]]-GanttView[[#This Row],[Forecast Start]]+1)*GanttView[[#This Row],[%]],0)-1)))</f>
        <v>0</v>
      </c>
      <c r="R37" s="132" t="n">
        <f aca="false">IF(IFERROR(INDEX(tsk_Name,GanttView[[#This Row],[_Row]])="",TRUE()),0,IF(OR(INDEX(tsk_IsLeaf,GanttView[[#This Row],[_Row]])&lt;&gt;1,GanttView[[#This Row],[_IsMilestone]],N(GanttView[[#This Row],[%]])&gt;=1),0,IF(GanttView[[#This Row],[_DoneTo]]&gt;0,GanttView[[#This Row],[_DoneTo]]+1,GanttView[[#This Row],[Forecast Start]])))</f>
        <v>0</v>
      </c>
      <c r="S37" s="132" t="n">
        <f aca="false">IF(GanttView[[#This Row],[_RemFrom]]=0,0,GanttView[[#This Row],[Forecast Finish]])</f>
        <v>0</v>
      </c>
      <c r="T37" s="131" t="b">
        <f aca="false">IF(IFERROR(INDEX(tsk_Name,GanttView[[#This Row],[_Row]])="",TRUE()),FALSE(),N(INDEX(tsk_Variance,GanttView[[#This Row],[_Row]]))&gt;0)</f>
        <v>0</v>
      </c>
      <c r="U37" s="132" t="n">
        <f aca="false">IF(IFERROR(INDEX(tsk_Name,GanttView[[#This Row],[_Row]])="",TRUE()),0,N(INDEX(tsk_Deadline,GanttView[[#This Row],[_Row]])))</f>
        <v>0</v>
      </c>
      <c r="V37" s="131" t="b">
        <f aca="false">IF(IFERROR(INDEX(tsk_Name,GanttView[[#This Row],[_Row]])="",TRUE()),FALSE(),INDEX(tsk_Critical,GanttView[[#This Row],[_Row]])="Yes")</f>
        <v>0</v>
      </c>
    </row>
    <row r="38" customFormat="false" ht="15" hidden="false" customHeight="false" outlineLevel="0" collapsed="false">
      <c r="A38" s="126" t="str">
        <f aca="false">IF(IFERROR(INDEX(tsk_Name,GanttView[[#This Row],[_Row]])="",TRUE()),"",INDEX(tsk_ID,GanttView[[#This Row],[_Row]]))</f>
        <v/>
      </c>
      <c r="B38" s="126" t="str">
        <f aca="false">IF(IFERROR(INDEX(tsk_Name,GanttView[[#This Row],[_Row]])="",TRUE()),"",INDEX(tsk_WBS,GanttView[[#This Row],[_Row]]))</f>
        <v/>
      </c>
      <c r="C38" s="127" t="str">
        <f aca="false">IF(IFERROR(INDEX(tsk_Name,GanttView[[#This Row],[_Row]])="",TRUE()),"",REPT("    ",INDEX(tsk_Level,GanttView[[#This Row],[_Row]])-1)&amp;INDEX(tsk_Name,GanttView[[#This Row],[_Row]]))</f>
        <v/>
      </c>
      <c r="D38" s="126" t="str">
        <f aca="false">IF(IFERROR(INDEX(tsk_Name,GanttView[[#This Row],[_Row]])="",TRUE()),"",IF(INDEX(tsk_IsSummary,GanttView[[#This Row],[_Row]]),NETWORKDAYS.INTL(INDEX(tsk_FcStart,GanttView[[#This Row],[_Row]]),INDEX(tsk_FcFinish,GanttView[[#This Row],[_Row]]),WorkWeek,Holidays),N(INDEX(tsk_Duration,GanttView[[#This Row],[_Row]]))))</f>
        <v/>
      </c>
      <c r="E38" s="128" t="str">
        <f aca="false">IF(IFERROR(INDEX(tsk_Name,GanttView[[#This Row],[_Row]])="",TRUE()),"",INDEX(tsk_PlanStart,GanttView[[#This Row],[_Row]]))</f>
        <v/>
      </c>
      <c r="F38" s="128" t="str">
        <f aca="false">IF(IFERROR(INDEX(tsk_Name,GanttView[[#This Row],[_Row]])="",TRUE()),"",INDEX(tsk_PlanFinish,GanttView[[#This Row],[_Row]]))</f>
        <v/>
      </c>
      <c r="G38" s="128" t="str">
        <f aca="false">IF(IFERROR(INDEX(tsk_Name,GanttView[[#This Row],[_Row]])="",TRUE()),"",INDEX(tsk_FcStart,GanttView[[#This Row],[_Row]]))</f>
        <v/>
      </c>
      <c r="H38" s="128" t="str">
        <f aca="false">IF(IFERROR(INDEX(tsk_Name,GanttView[[#This Row],[_Row]])="",TRUE()),"",INDEX(tsk_FcFinish,GanttView[[#This Row],[_Row]]))</f>
        <v/>
      </c>
      <c r="I38" s="129" t="str">
        <f aca="false">IF(IFERROR(INDEX(tsk_Name,GanttView[[#This Row],[_Row]])="",TRUE()),"",INDEX(tsk_Progress,GanttView[[#This Row],[_Row]]))</f>
        <v/>
      </c>
      <c r="J38" s="127" t="str">
        <f aca="false">IF(IFERROR(INDEX(tsk_Name,GanttView[[#This Row],[_Row]])="",TRUE()),"",INDEX(tsk_ResourceNames,GanttView[[#This Row],[_Row]])&amp;"")</f>
        <v/>
      </c>
      <c r="K38" s="126" t="str">
        <f aca="false">IF(IFERROR(INDEX(tsk_Name,GanttView[[#This Row],[_Row]])="",TRUE()),"",INDEX(tsk_Status,GanttView[[#This Row],[_Row]]))</f>
        <v/>
      </c>
      <c r="L38" s="126" t="str">
        <f aca="false">IF(IFERROR(INDEX(tsk_Name,GanttView[[#This Row],[_Row]])="",TRUE()),"",INDEX(tsk_Show,GanttView[[#This Row],[_Row]])&amp;"")</f>
        <v/>
      </c>
      <c r="M38" s="130" t="n">
        <f aca="false">ROW()-ROW(GanttView[[#Headers],[ID]])</f>
        <v>33</v>
      </c>
      <c r="N38" s="131" t="b">
        <f aca="false">IF(IFERROR(INDEX(tsk_Name,GanttView[[#This Row],[_Row]])="",TRUE()),FALSE(),INDEX(tsk_IsSummary,GanttView[[#This Row],[_Row]]))</f>
        <v>0</v>
      </c>
      <c r="O38" s="131" t="b">
        <f aca="false">IF(IFERROR(INDEX(tsk_Name,GanttView[[#This Row],[_Row]])="",TRUE()),FALSE(),AND(INDEX(tsk_IsLeaf,GanttView[[#This Row],[_Row]])=1,N(INDEX(tsk_Duration,GanttView[[#This Row],[_Row]]))=0))</f>
        <v>0</v>
      </c>
      <c r="P38" s="132" t="n">
        <f aca="false">IF(IFERROR(INDEX(tsk_Name,GanttView[[#This Row],[_Row]])="",TRUE()),0,IF(AND(INDEX(tsk_IsLeaf,GanttView[[#This Row],[_Row]])=1,NOT(GanttView[[#This Row],[_IsMilestone]]),N(GanttView[[#This Row],[%]])&gt;0),GanttView[[#This Row],[Forecast Start]],0))</f>
        <v>0</v>
      </c>
      <c r="Q38" s="132" t="n">
        <f aca="false">IF(GanttView[[#This Row],[_DoneFrom]]=0,0,IF(GanttView[[#This Row],[%]]&gt;=1,GanttView[[#This Row],[Forecast Finish]],MAX(GanttView[[#This Row],[_DoneFrom]],GanttView[[#This Row],[Forecast Start]]+ROUND((GanttView[[#This Row],[Forecast Finish]]-GanttView[[#This Row],[Forecast Start]]+1)*GanttView[[#This Row],[%]],0)-1)))</f>
        <v>0</v>
      </c>
      <c r="R38" s="132" t="n">
        <f aca="false">IF(IFERROR(INDEX(tsk_Name,GanttView[[#This Row],[_Row]])="",TRUE()),0,IF(OR(INDEX(tsk_IsLeaf,GanttView[[#This Row],[_Row]])&lt;&gt;1,GanttView[[#This Row],[_IsMilestone]],N(GanttView[[#This Row],[%]])&gt;=1),0,IF(GanttView[[#This Row],[_DoneTo]]&gt;0,GanttView[[#This Row],[_DoneTo]]+1,GanttView[[#This Row],[Forecast Start]])))</f>
        <v>0</v>
      </c>
      <c r="S38" s="132" t="n">
        <f aca="false">IF(GanttView[[#This Row],[_RemFrom]]=0,0,GanttView[[#This Row],[Forecast Finish]])</f>
        <v>0</v>
      </c>
      <c r="T38" s="131" t="b">
        <f aca="false">IF(IFERROR(INDEX(tsk_Name,GanttView[[#This Row],[_Row]])="",TRUE()),FALSE(),N(INDEX(tsk_Variance,GanttView[[#This Row],[_Row]]))&gt;0)</f>
        <v>0</v>
      </c>
      <c r="U38" s="132" t="n">
        <f aca="false">IF(IFERROR(INDEX(tsk_Name,GanttView[[#This Row],[_Row]])="",TRUE()),0,N(INDEX(tsk_Deadline,GanttView[[#This Row],[_Row]])))</f>
        <v>0</v>
      </c>
      <c r="V38" s="131" t="b">
        <f aca="false">IF(IFERROR(INDEX(tsk_Name,GanttView[[#This Row],[_Row]])="",TRUE()),FALSE(),INDEX(tsk_Critical,GanttView[[#This Row],[_Row]])="Yes")</f>
        <v>0</v>
      </c>
    </row>
    <row r="39" customFormat="false" ht="15" hidden="false" customHeight="false" outlineLevel="0" collapsed="false">
      <c r="A39" s="126" t="str">
        <f aca="false">IF(IFERROR(INDEX(tsk_Name,GanttView[[#This Row],[_Row]])="",TRUE()),"",INDEX(tsk_ID,GanttView[[#This Row],[_Row]]))</f>
        <v/>
      </c>
      <c r="B39" s="126" t="str">
        <f aca="false">IF(IFERROR(INDEX(tsk_Name,GanttView[[#This Row],[_Row]])="",TRUE()),"",INDEX(tsk_WBS,GanttView[[#This Row],[_Row]]))</f>
        <v/>
      </c>
      <c r="C39" s="127" t="str">
        <f aca="false">IF(IFERROR(INDEX(tsk_Name,GanttView[[#This Row],[_Row]])="",TRUE()),"",REPT("    ",INDEX(tsk_Level,GanttView[[#This Row],[_Row]])-1)&amp;INDEX(tsk_Name,GanttView[[#This Row],[_Row]]))</f>
        <v/>
      </c>
      <c r="D39" s="126" t="str">
        <f aca="false">IF(IFERROR(INDEX(tsk_Name,GanttView[[#This Row],[_Row]])="",TRUE()),"",IF(INDEX(tsk_IsSummary,GanttView[[#This Row],[_Row]]),NETWORKDAYS.INTL(INDEX(tsk_FcStart,GanttView[[#This Row],[_Row]]),INDEX(tsk_FcFinish,GanttView[[#This Row],[_Row]]),WorkWeek,Holidays),N(INDEX(tsk_Duration,GanttView[[#This Row],[_Row]]))))</f>
        <v/>
      </c>
      <c r="E39" s="128" t="str">
        <f aca="false">IF(IFERROR(INDEX(tsk_Name,GanttView[[#This Row],[_Row]])="",TRUE()),"",INDEX(tsk_PlanStart,GanttView[[#This Row],[_Row]]))</f>
        <v/>
      </c>
      <c r="F39" s="128" t="str">
        <f aca="false">IF(IFERROR(INDEX(tsk_Name,GanttView[[#This Row],[_Row]])="",TRUE()),"",INDEX(tsk_PlanFinish,GanttView[[#This Row],[_Row]]))</f>
        <v/>
      </c>
      <c r="G39" s="128" t="str">
        <f aca="false">IF(IFERROR(INDEX(tsk_Name,GanttView[[#This Row],[_Row]])="",TRUE()),"",INDEX(tsk_FcStart,GanttView[[#This Row],[_Row]]))</f>
        <v/>
      </c>
      <c r="H39" s="128" t="str">
        <f aca="false">IF(IFERROR(INDEX(tsk_Name,GanttView[[#This Row],[_Row]])="",TRUE()),"",INDEX(tsk_FcFinish,GanttView[[#This Row],[_Row]]))</f>
        <v/>
      </c>
      <c r="I39" s="129" t="str">
        <f aca="false">IF(IFERROR(INDEX(tsk_Name,GanttView[[#This Row],[_Row]])="",TRUE()),"",INDEX(tsk_Progress,GanttView[[#This Row],[_Row]]))</f>
        <v/>
      </c>
      <c r="J39" s="127" t="str">
        <f aca="false">IF(IFERROR(INDEX(tsk_Name,GanttView[[#This Row],[_Row]])="",TRUE()),"",INDEX(tsk_ResourceNames,GanttView[[#This Row],[_Row]])&amp;"")</f>
        <v/>
      </c>
      <c r="K39" s="126" t="str">
        <f aca="false">IF(IFERROR(INDEX(tsk_Name,GanttView[[#This Row],[_Row]])="",TRUE()),"",INDEX(tsk_Status,GanttView[[#This Row],[_Row]]))</f>
        <v/>
      </c>
      <c r="L39" s="126" t="str">
        <f aca="false">IF(IFERROR(INDEX(tsk_Name,GanttView[[#This Row],[_Row]])="",TRUE()),"",INDEX(tsk_Show,GanttView[[#This Row],[_Row]])&amp;"")</f>
        <v/>
      </c>
      <c r="M39" s="130" t="n">
        <f aca="false">ROW()-ROW(GanttView[[#Headers],[ID]])</f>
        <v>34</v>
      </c>
      <c r="N39" s="131" t="b">
        <f aca="false">IF(IFERROR(INDEX(tsk_Name,GanttView[[#This Row],[_Row]])="",TRUE()),FALSE(),INDEX(tsk_IsSummary,GanttView[[#This Row],[_Row]]))</f>
        <v>0</v>
      </c>
      <c r="O39" s="131" t="b">
        <f aca="false">IF(IFERROR(INDEX(tsk_Name,GanttView[[#This Row],[_Row]])="",TRUE()),FALSE(),AND(INDEX(tsk_IsLeaf,GanttView[[#This Row],[_Row]])=1,N(INDEX(tsk_Duration,GanttView[[#This Row],[_Row]]))=0))</f>
        <v>0</v>
      </c>
      <c r="P39" s="132" t="n">
        <f aca="false">IF(IFERROR(INDEX(tsk_Name,GanttView[[#This Row],[_Row]])="",TRUE()),0,IF(AND(INDEX(tsk_IsLeaf,GanttView[[#This Row],[_Row]])=1,NOT(GanttView[[#This Row],[_IsMilestone]]),N(GanttView[[#This Row],[%]])&gt;0),GanttView[[#This Row],[Forecast Start]],0))</f>
        <v>0</v>
      </c>
      <c r="Q39" s="132" t="n">
        <f aca="false">IF(GanttView[[#This Row],[_DoneFrom]]=0,0,IF(GanttView[[#This Row],[%]]&gt;=1,GanttView[[#This Row],[Forecast Finish]],MAX(GanttView[[#This Row],[_DoneFrom]],GanttView[[#This Row],[Forecast Start]]+ROUND((GanttView[[#This Row],[Forecast Finish]]-GanttView[[#This Row],[Forecast Start]]+1)*GanttView[[#This Row],[%]],0)-1)))</f>
        <v>0</v>
      </c>
      <c r="R39" s="132" t="n">
        <f aca="false">IF(IFERROR(INDEX(tsk_Name,GanttView[[#This Row],[_Row]])="",TRUE()),0,IF(OR(INDEX(tsk_IsLeaf,GanttView[[#This Row],[_Row]])&lt;&gt;1,GanttView[[#This Row],[_IsMilestone]],N(GanttView[[#This Row],[%]])&gt;=1),0,IF(GanttView[[#This Row],[_DoneTo]]&gt;0,GanttView[[#This Row],[_DoneTo]]+1,GanttView[[#This Row],[Forecast Start]])))</f>
        <v>0</v>
      </c>
      <c r="S39" s="132" t="n">
        <f aca="false">IF(GanttView[[#This Row],[_RemFrom]]=0,0,GanttView[[#This Row],[Forecast Finish]])</f>
        <v>0</v>
      </c>
      <c r="T39" s="131" t="b">
        <f aca="false">IF(IFERROR(INDEX(tsk_Name,GanttView[[#This Row],[_Row]])="",TRUE()),FALSE(),N(INDEX(tsk_Variance,GanttView[[#This Row],[_Row]]))&gt;0)</f>
        <v>0</v>
      </c>
      <c r="U39" s="132" t="n">
        <f aca="false">IF(IFERROR(INDEX(tsk_Name,GanttView[[#This Row],[_Row]])="",TRUE()),0,N(INDEX(tsk_Deadline,GanttView[[#This Row],[_Row]])))</f>
        <v>0</v>
      </c>
      <c r="V39" s="131" t="b">
        <f aca="false">IF(IFERROR(INDEX(tsk_Name,GanttView[[#This Row],[_Row]])="",TRUE()),FALSE(),INDEX(tsk_Critical,GanttView[[#This Row],[_Row]])="Yes")</f>
        <v>0</v>
      </c>
    </row>
    <row r="40" customFormat="false" ht="15" hidden="false" customHeight="false" outlineLevel="0" collapsed="false">
      <c r="A40" s="126" t="str">
        <f aca="false">IF(IFERROR(INDEX(tsk_Name,GanttView[[#This Row],[_Row]])="",TRUE()),"",INDEX(tsk_ID,GanttView[[#This Row],[_Row]]))</f>
        <v/>
      </c>
      <c r="B40" s="126" t="str">
        <f aca="false">IF(IFERROR(INDEX(tsk_Name,GanttView[[#This Row],[_Row]])="",TRUE()),"",INDEX(tsk_WBS,GanttView[[#This Row],[_Row]]))</f>
        <v/>
      </c>
      <c r="C40" s="127" t="str">
        <f aca="false">IF(IFERROR(INDEX(tsk_Name,GanttView[[#This Row],[_Row]])="",TRUE()),"",REPT("    ",INDEX(tsk_Level,GanttView[[#This Row],[_Row]])-1)&amp;INDEX(tsk_Name,GanttView[[#This Row],[_Row]]))</f>
        <v/>
      </c>
      <c r="D40" s="126" t="str">
        <f aca="false">IF(IFERROR(INDEX(tsk_Name,GanttView[[#This Row],[_Row]])="",TRUE()),"",IF(INDEX(tsk_IsSummary,GanttView[[#This Row],[_Row]]),NETWORKDAYS.INTL(INDEX(tsk_FcStart,GanttView[[#This Row],[_Row]]),INDEX(tsk_FcFinish,GanttView[[#This Row],[_Row]]),WorkWeek,Holidays),N(INDEX(tsk_Duration,GanttView[[#This Row],[_Row]]))))</f>
        <v/>
      </c>
      <c r="E40" s="128" t="str">
        <f aca="false">IF(IFERROR(INDEX(tsk_Name,GanttView[[#This Row],[_Row]])="",TRUE()),"",INDEX(tsk_PlanStart,GanttView[[#This Row],[_Row]]))</f>
        <v/>
      </c>
      <c r="F40" s="128" t="str">
        <f aca="false">IF(IFERROR(INDEX(tsk_Name,GanttView[[#This Row],[_Row]])="",TRUE()),"",INDEX(tsk_PlanFinish,GanttView[[#This Row],[_Row]]))</f>
        <v/>
      </c>
      <c r="G40" s="128" t="str">
        <f aca="false">IF(IFERROR(INDEX(tsk_Name,GanttView[[#This Row],[_Row]])="",TRUE()),"",INDEX(tsk_FcStart,GanttView[[#This Row],[_Row]]))</f>
        <v/>
      </c>
      <c r="H40" s="128" t="str">
        <f aca="false">IF(IFERROR(INDEX(tsk_Name,GanttView[[#This Row],[_Row]])="",TRUE()),"",INDEX(tsk_FcFinish,GanttView[[#This Row],[_Row]]))</f>
        <v/>
      </c>
      <c r="I40" s="129" t="str">
        <f aca="false">IF(IFERROR(INDEX(tsk_Name,GanttView[[#This Row],[_Row]])="",TRUE()),"",INDEX(tsk_Progress,GanttView[[#This Row],[_Row]]))</f>
        <v/>
      </c>
      <c r="J40" s="127" t="str">
        <f aca="false">IF(IFERROR(INDEX(tsk_Name,GanttView[[#This Row],[_Row]])="",TRUE()),"",INDEX(tsk_ResourceNames,GanttView[[#This Row],[_Row]])&amp;"")</f>
        <v/>
      </c>
      <c r="K40" s="126" t="str">
        <f aca="false">IF(IFERROR(INDEX(tsk_Name,GanttView[[#This Row],[_Row]])="",TRUE()),"",INDEX(tsk_Status,GanttView[[#This Row],[_Row]]))</f>
        <v/>
      </c>
      <c r="L40" s="126" t="str">
        <f aca="false">IF(IFERROR(INDEX(tsk_Name,GanttView[[#This Row],[_Row]])="",TRUE()),"",INDEX(tsk_Show,GanttView[[#This Row],[_Row]])&amp;"")</f>
        <v/>
      </c>
      <c r="M40" s="130" t="n">
        <f aca="false">ROW()-ROW(GanttView[[#Headers],[ID]])</f>
        <v>35</v>
      </c>
      <c r="N40" s="131" t="b">
        <f aca="false">IF(IFERROR(INDEX(tsk_Name,GanttView[[#This Row],[_Row]])="",TRUE()),FALSE(),INDEX(tsk_IsSummary,GanttView[[#This Row],[_Row]]))</f>
        <v>0</v>
      </c>
      <c r="O40" s="131" t="b">
        <f aca="false">IF(IFERROR(INDEX(tsk_Name,GanttView[[#This Row],[_Row]])="",TRUE()),FALSE(),AND(INDEX(tsk_IsLeaf,GanttView[[#This Row],[_Row]])=1,N(INDEX(tsk_Duration,GanttView[[#This Row],[_Row]]))=0))</f>
        <v>0</v>
      </c>
      <c r="P40" s="132" t="n">
        <f aca="false">IF(IFERROR(INDEX(tsk_Name,GanttView[[#This Row],[_Row]])="",TRUE()),0,IF(AND(INDEX(tsk_IsLeaf,GanttView[[#This Row],[_Row]])=1,NOT(GanttView[[#This Row],[_IsMilestone]]),N(GanttView[[#This Row],[%]])&gt;0),GanttView[[#This Row],[Forecast Start]],0))</f>
        <v>0</v>
      </c>
      <c r="Q40" s="132" t="n">
        <f aca="false">IF(GanttView[[#This Row],[_DoneFrom]]=0,0,IF(GanttView[[#This Row],[%]]&gt;=1,GanttView[[#This Row],[Forecast Finish]],MAX(GanttView[[#This Row],[_DoneFrom]],GanttView[[#This Row],[Forecast Start]]+ROUND((GanttView[[#This Row],[Forecast Finish]]-GanttView[[#This Row],[Forecast Start]]+1)*GanttView[[#This Row],[%]],0)-1)))</f>
        <v>0</v>
      </c>
      <c r="R40" s="132" t="n">
        <f aca="false">IF(IFERROR(INDEX(tsk_Name,GanttView[[#This Row],[_Row]])="",TRUE()),0,IF(OR(INDEX(tsk_IsLeaf,GanttView[[#This Row],[_Row]])&lt;&gt;1,GanttView[[#This Row],[_IsMilestone]],N(GanttView[[#This Row],[%]])&gt;=1),0,IF(GanttView[[#This Row],[_DoneTo]]&gt;0,GanttView[[#This Row],[_DoneTo]]+1,GanttView[[#This Row],[Forecast Start]])))</f>
        <v>0</v>
      </c>
      <c r="S40" s="132" t="n">
        <f aca="false">IF(GanttView[[#This Row],[_RemFrom]]=0,0,GanttView[[#This Row],[Forecast Finish]])</f>
        <v>0</v>
      </c>
      <c r="T40" s="131" t="b">
        <f aca="false">IF(IFERROR(INDEX(tsk_Name,GanttView[[#This Row],[_Row]])="",TRUE()),FALSE(),N(INDEX(tsk_Variance,GanttView[[#This Row],[_Row]]))&gt;0)</f>
        <v>0</v>
      </c>
      <c r="U40" s="132" t="n">
        <f aca="false">IF(IFERROR(INDEX(tsk_Name,GanttView[[#This Row],[_Row]])="",TRUE()),0,N(INDEX(tsk_Deadline,GanttView[[#This Row],[_Row]])))</f>
        <v>0</v>
      </c>
      <c r="V40" s="131" t="b">
        <f aca="false">IF(IFERROR(INDEX(tsk_Name,GanttView[[#This Row],[_Row]])="",TRUE()),FALSE(),INDEX(tsk_Critical,GanttView[[#This Row],[_Row]])="Yes")</f>
        <v>0</v>
      </c>
    </row>
    <row r="41" customFormat="false" ht="15" hidden="false" customHeight="false" outlineLevel="0" collapsed="false">
      <c r="A41" s="126" t="str">
        <f aca="false">IF(IFERROR(INDEX(tsk_Name,GanttView[[#This Row],[_Row]])="",TRUE()),"",INDEX(tsk_ID,GanttView[[#This Row],[_Row]]))</f>
        <v/>
      </c>
      <c r="B41" s="126" t="str">
        <f aca="false">IF(IFERROR(INDEX(tsk_Name,GanttView[[#This Row],[_Row]])="",TRUE()),"",INDEX(tsk_WBS,GanttView[[#This Row],[_Row]]))</f>
        <v/>
      </c>
      <c r="C41" s="127" t="str">
        <f aca="false">IF(IFERROR(INDEX(tsk_Name,GanttView[[#This Row],[_Row]])="",TRUE()),"",REPT("    ",INDEX(tsk_Level,GanttView[[#This Row],[_Row]])-1)&amp;INDEX(tsk_Name,GanttView[[#This Row],[_Row]]))</f>
        <v/>
      </c>
      <c r="D41" s="126" t="str">
        <f aca="false">IF(IFERROR(INDEX(tsk_Name,GanttView[[#This Row],[_Row]])="",TRUE()),"",IF(INDEX(tsk_IsSummary,GanttView[[#This Row],[_Row]]),NETWORKDAYS.INTL(INDEX(tsk_FcStart,GanttView[[#This Row],[_Row]]),INDEX(tsk_FcFinish,GanttView[[#This Row],[_Row]]),WorkWeek,Holidays),N(INDEX(tsk_Duration,GanttView[[#This Row],[_Row]]))))</f>
        <v/>
      </c>
      <c r="E41" s="128" t="str">
        <f aca="false">IF(IFERROR(INDEX(tsk_Name,GanttView[[#This Row],[_Row]])="",TRUE()),"",INDEX(tsk_PlanStart,GanttView[[#This Row],[_Row]]))</f>
        <v/>
      </c>
      <c r="F41" s="128" t="str">
        <f aca="false">IF(IFERROR(INDEX(tsk_Name,GanttView[[#This Row],[_Row]])="",TRUE()),"",INDEX(tsk_PlanFinish,GanttView[[#This Row],[_Row]]))</f>
        <v/>
      </c>
      <c r="G41" s="128" t="str">
        <f aca="false">IF(IFERROR(INDEX(tsk_Name,GanttView[[#This Row],[_Row]])="",TRUE()),"",INDEX(tsk_FcStart,GanttView[[#This Row],[_Row]]))</f>
        <v/>
      </c>
      <c r="H41" s="128" t="str">
        <f aca="false">IF(IFERROR(INDEX(tsk_Name,GanttView[[#This Row],[_Row]])="",TRUE()),"",INDEX(tsk_FcFinish,GanttView[[#This Row],[_Row]]))</f>
        <v/>
      </c>
      <c r="I41" s="129" t="str">
        <f aca="false">IF(IFERROR(INDEX(tsk_Name,GanttView[[#This Row],[_Row]])="",TRUE()),"",INDEX(tsk_Progress,GanttView[[#This Row],[_Row]]))</f>
        <v/>
      </c>
      <c r="J41" s="127" t="str">
        <f aca="false">IF(IFERROR(INDEX(tsk_Name,GanttView[[#This Row],[_Row]])="",TRUE()),"",INDEX(tsk_ResourceNames,GanttView[[#This Row],[_Row]])&amp;"")</f>
        <v/>
      </c>
      <c r="K41" s="126" t="str">
        <f aca="false">IF(IFERROR(INDEX(tsk_Name,GanttView[[#This Row],[_Row]])="",TRUE()),"",INDEX(tsk_Status,GanttView[[#This Row],[_Row]]))</f>
        <v/>
      </c>
      <c r="L41" s="126" t="str">
        <f aca="false">IF(IFERROR(INDEX(tsk_Name,GanttView[[#This Row],[_Row]])="",TRUE()),"",INDEX(tsk_Show,GanttView[[#This Row],[_Row]])&amp;"")</f>
        <v/>
      </c>
      <c r="M41" s="130" t="n">
        <f aca="false">ROW()-ROW(GanttView[[#Headers],[ID]])</f>
        <v>36</v>
      </c>
      <c r="N41" s="131" t="b">
        <f aca="false">IF(IFERROR(INDEX(tsk_Name,GanttView[[#This Row],[_Row]])="",TRUE()),FALSE(),INDEX(tsk_IsSummary,GanttView[[#This Row],[_Row]]))</f>
        <v>0</v>
      </c>
      <c r="O41" s="131" t="b">
        <f aca="false">IF(IFERROR(INDEX(tsk_Name,GanttView[[#This Row],[_Row]])="",TRUE()),FALSE(),AND(INDEX(tsk_IsLeaf,GanttView[[#This Row],[_Row]])=1,N(INDEX(tsk_Duration,GanttView[[#This Row],[_Row]]))=0))</f>
        <v>0</v>
      </c>
      <c r="P41" s="132" t="n">
        <f aca="false">IF(IFERROR(INDEX(tsk_Name,GanttView[[#This Row],[_Row]])="",TRUE()),0,IF(AND(INDEX(tsk_IsLeaf,GanttView[[#This Row],[_Row]])=1,NOT(GanttView[[#This Row],[_IsMilestone]]),N(GanttView[[#This Row],[%]])&gt;0),GanttView[[#This Row],[Forecast Start]],0))</f>
        <v>0</v>
      </c>
      <c r="Q41" s="132" t="n">
        <f aca="false">IF(GanttView[[#This Row],[_DoneFrom]]=0,0,IF(GanttView[[#This Row],[%]]&gt;=1,GanttView[[#This Row],[Forecast Finish]],MAX(GanttView[[#This Row],[_DoneFrom]],GanttView[[#This Row],[Forecast Start]]+ROUND((GanttView[[#This Row],[Forecast Finish]]-GanttView[[#This Row],[Forecast Start]]+1)*GanttView[[#This Row],[%]],0)-1)))</f>
        <v>0</v>
      </c>
      <c r="R41" s="132" t="n">
        <f aca="false">IF(IFERROR(INDEX(tsk_Name,GanttView[[#This Row],[_Row]])="",TRUE()),0,IF(OR(INDEX(tsk_IsLeaf,GanttView[[#This Row],[_Row]])&lt;&gt;1,GanttView[[#This Row],[_IsMilestone]],N(GanttView[[#This Row],[%]])&gt;=1),0,IF(GanttView[[#This Row],[_DoneTo]]&gt;0,GanttView[[#This Row],[_DoneTo]]+1,GanttView[[#This Row],[Forecast Start]])))</f>
        <v>0</v>
      </c>
      <c r="S41" s="132" t="n">
        <f aca="false">IF(GanttView[[#This Row],[_RemFrom]]=0,0,GanttView[[#This Row],[Forecast Finish]])</f>
        <v>0</v>
      </c>
      <c r="T41" s="131" t="b">
        <f aca="false">IF(IFERROR(INDEX(tsk_Name,GanttView[[#This Row],[_Row]])="",TRUE()),FALSE(),N(INDEX(tsk_Variance,GanttView[[#This Row],[_Row]]))&gt;0)</f>
        <v>0</v>
      </c>
      <c r="U41" s="132" t="n">
        <f aca="false">IF(IFERROR(INDEX(tsk_Name,GanttView[[#This Row],[_Row]])="",TRUE()),0,N(INDEX(tsk_Deadline,GanttView[[#This Row],[_Row]])))</f>
        <v>0</v>
      </c>
      <c r="V41" s="131" t="b">
        <f aca="false">IF(IFERROR(INDEX(tsk_Name,GanttView[[#This Row],[_Row]])="",TRUE()),FALSE(),INDEX(tsk_Critical,GanttView[[#This Row],[_Row]])="Yes")</f>
        <v>0</v>
      </c>
    </row>
    <row r="42" customFormat="false" ht="15" hidden="false" customHeight="false" outlineLevel="0" collapsed="false">
      <c r="A42" s="126" t="str">
        <f aca="false">IF(IFERROR(INDEX(tsk_Name,GanttView[[#This Row],[_Row]])="",TRUE()),"",INDEX(tsk_ID,GanttView[[#This Row],[_Row]]))</f>
        <v/>
      </c>
      <c r="B42" s="126" t="str">
        <f aca="false">IF(IFERROR(INDEX(tsk_Name,GanttView[[#This Row],[_Row]])="",TRUE()),"",INDEX(tsk_WBS,GanttView[[#This Row],[_Row]]))</f>
        <v/>
      </c>
      <c r="C42" s="127" t="str">
        <f aca="false">IF(IFERROR(INDEX(tsk_Name,GanttView[[#This Row],[_Row]])="",TRUE()),"",REPT("    ",INDEX(tsk_Level,GanttView[[#This Row],[_Row]])-1)&amp;INDEX(tsk_Name,GanttView[[#This Row],[_Row]]))</f>
        <v/>
      </c>
      <c r="D42" s="126" t="str">
        <f aca="false">IF(IFERROR(INDEX(tsk_Name,GanttView[[#This Row],[_Row]])="",TRUE()),"",IF(INDEX(tsk_IsSummary,GanttView[[#This Row],[_Row]]),NETWORKDAYS.INTL(INDEX(tsk_FcStart,GanttView[[#This Row],[_Row]]),INDEX(tsk_FcFinish,GanttView[[#This Row],[_Row]]),WorkWeek,Holidays),N(INDEX(tsk_Duration,GanttView[[#This Row],[_Row]]))))</f>
        <v/>
      </c>
      <c r="E42" s="128" t="str">
        <f aca="false">IF(IFERROR(INDEX(tsk_Name,GanttView[[#This Row],[_Row]])="",TRUE()),"",INDEX(tsk_PlanStart,GanttView[[#This Row],[_Row]]))</f>
        <v/>
      </c>
      <c r="F42" s="128" t="str">
        <f aca="false">IF(IFERROR(INDEX(tsk_Name,GanttView[[#This Row],[_Row]])="",TRUE()),"",INDEX(tsk_PlanFinish,GanttView[[#This Row],[_Row]]))</f>
        <v/>
      </c>
      <c r="G42" s="128" t="str">
        <f aca="false">IF(IFERROR(INDEX(tsk_Name,GanttView[[#This Row],[_Row]])="",TRUE()),"",INDEX(tsk_FcStart,GanttView[[#This Row],[_Row]]))</f>
        <v/>
      </c>
      <c r="H42" s="128" t="str">
        <f aca="false">IF(IFERROR(INDEX(tsk_Name,GanttView[[#This Row],[_Row]])="",TRUE()),"",INDEX(tsk_FcFinish,GanttView[[#This Row],[_Row]]))</f>
        <v/>
      </c>
      <c r="I42" s="129" t="str">
        <f aca="false">IF(IFERROR(INDEX(tsk_Name,GanttView[[#This Row],[_Row]])="",TRUE()),"",INDEX(tsk_Progress,GanttView[[#This Row],[_Row]]))</f>
        <v/>
      </c>
      <c r="J42" s="127" t="str">
        <f aca="false">IF(IFERROR(INDEX(tsk_Name,GanttView[[#This Row],[_Row]])="",TRUE()),"",INDEX(tsk_ResourceNames,GanttView[[#This Row],[_Row]])&amp;"")</f>
        <v/>
      </c>
      <c r="K42" s="126" t="str">
        <f aca="false">IF(IFERROR(INDEX(tsk_Name,GanttView[[#This Row],[_Row]])="",TRUE()),"",INDEX(tsk_Status,GanttView[[#This Row],[_Row]]))</f>
        <v/>
      </c>
      <c r="L42" s="126" t="str">
        <f aca="false">IF(IFERROR(INDEX(tsk_Name,GanttView[[#This Row],[_Row]])="",TRUE()),"",INDEX(tsk_Show,GanttView[[#This Row],[_Row]])&amp;"")</f>
        <v/>
      </c>
      <c r="M42" s="130" t="n">
        <f aca="false">ROW()-ROW(GanttView[[#Headers],[ID]])</f>
        <v>37</v>
      </c>
      <c r="N42" s="131" t="b">
        <f aca="false">IF(IFERROR(INDEX(tsk_Name,GanttView[[#This Row],[_Row]])="",TRUE()),FALSE(),INDEX(tsk_IsSummary,GanttView[[#This Row],[_Row]]))</f>
        <v>0</v>
      </c>
      <c r="O42" s="131" t="b">
        <f aca="false">IF(IFERROR(INDEX(tsk_Name,GanttView[[#This Row],[_Row]])="",TRUE()),FALSE(),AND(INDEX(tsk_IsLeaf,GanttView[[#This Row],[_Row]])=1,N(INDEX(tsk_Duration,GanttView[[#This Row],[_Row]]))=0))</f>
        <v>0</v>
      </c>
      <c r="P42" s="132" t="n">
        <f aca="false">IF(IFERROR(INDEX(tsk_Name,GanttView[[#This Row],[_Row]])="",TRUE()),0,IF(AND(INDEX(tsk_IsLeaf,GanttView[[#This Row],[_Row]])=1,NOT(GanttView[[#This Row],[_IsMilestone]]),N(GanttView[[#This Row],[%]])&gt;0),GanttView[[#This Row],[Forecast Start]],0))</f>
        <v>0</v>
      </c>
      <c r="Q42" s="132" t="n">
        <f aca="false">IF(GanttView[[#This Row],[_DoneFrom]]=0,0,IF(GanttView[[#This Row],[%]]&gt;=1,GanttView[[#This Row],[Forecast Finish]],MAX(GanttView[[#This Row],[_DoneFrom]],GanttView[[#This Row],[Forecast Start]]+ROUND((GanttView[[#This Row],[Forecast Finish]]-GanttView[[#This Row],[Forecast Start]]+1)*GanttView[[#This Row],[%]],0)-1)))</f>
        <v>0</v>
      </c>
      <c r="R42" s="132" t="n">
        <f aca="false">IF(IFERROR(INDEX(tsk_Name,GanttView[[#This Row],[_Row]])="",TRUE()),0,IF(OR(INDEX(tsk_IsLeaf,GanttView[[#This Row],[_Row]])&lt;&gt;1,GanttView[[#This Row],[_IsMilestone]],N(GanttView[[#This Row],[%]])&gt;=1),0,IF(GanttView[[#This Row],[_DoneTo]]&gt;0,GanttView[[#This Row],[_DoneTo]]+1,GanttView[[#This Row],[Forecast Start]])))</f>
        <v>0</v>
      </c>
      <c r="S42" s="132" t="n">
        <f aca="false">IF(GanttView[[#This Row],[_RemFrom]]=0,0,GanttView[[#This Row],[Forecast Finish]])</f>
        <v>0</v>
      </c>
      <c r="T42" s="131" t="b">
        <f aca="false">IF(IFERROR(INDEX(tsk_Name,GanttView[[#This Row],[_Row]])="",TRUE()),FALSE(),N(INDEX(tsk_Variance,GanttView[[#This Row],[_Row]]))&gt;0)</f>
        <v>0</v>
      </c>
      <c r="U42" s="132" t="n">
        <f aca="false">IF(IFERROR(INDEX(tsk_Name,GanttView[[#This Row],[_Row]])="",TRUE()),0,N(INDEX(tsk_Deadline,GanttView[[#This Row],[_Row]])))</f>
        <v>0</v>
      </c>
      <c r="V42" s="131" t="b">
        <f aca="false">IF(IFERROR(INDEX(tsk_Name,GanttView[[#This Row],[_Row]])="",TRUE()),FALSE(),INDEX(tsk_Critical,GanttView[[#This Row],[_Row]])="Yes")</f>
        <v>0</v>
      </c>
    </row>
    <row r="43" customFormat="false" ht="15" hidden="false" customHeight="false" outlineLevel="0" collapsed="false">
      <c r="A43" s="126" t="str">
        <f aca="false">IF(IFERROR(INDEX(tsk_Name,GanttView[[#This Row],[_Row]])="",TRUE()),"",INDEX(tsk_ID,GanttView[[#This Row],[_Row]]))</f>
        <v/>
      </c>
      <c r="B43" s="126" t="str">
        <f aca="false">IF(IFERROR(INDEX(tsk_Name,GanttView[[#This Row],[_Row]])="",TRUE()),"",INDEX(tsk_WBS,GanttView[[#This Row],[_Row]]))</f>
        <v/>
      </c>
      <c r="C43" s="127" t="str">
        <f aca="false">IF(IFERROR(INDEX(tsk_Name,GanttView[[#This Row],[_Row]])="",TRUE()),"",REPT("    ",INDEX(tsk_Level,GanttView[[#This Row],[_Row]])-1)&amp;INDEX(tsk_Name,GanttView[[#This Row],[_Row]]))</f>
        <v/>
      </c>
      <c r="D43" s="126" t="str">
        <f aca="false">IF(IFERROR(INDEX(tsk_Name,GanttView[[#This Row],[_Row]])="",TRUE()),"",IF(INDEX(tsk_IsSummary,GanttView[[#This Row],[_Row]]),NETWORKDAYS.INTL(INDEX(tsk_FcStart,GanttView[[#This Row],[_Row]]),INDEX(tsk_FcFinish,GanttView[[#This Row],[_Row]]),WorkWeek,Holidays),N(INDEX(tsk_Duration,GanttView[[#This Row],[_Row]]))))</f>
        <v/>
      </c>
      <c r="E43" s="128" t="str">
        <f aca="false">IF(IFERROR(INDEX(tsk_Name,GanttView[[#This Row],[_Row]])="",TRUE()),"",INDEX(tsk_PlanStart,GanttView[[#This Row],[_Row]]))</f>
        <v/>
      </c>
      <c r="F43" s="128" t="str">
        <f aca="false">IF(IFERROR(INDEX(tsk_Name,GanttView[[#This Row],[_Row]])="",TRUE()),"",INDEX(tsk_PlanFinish,GanttView[[#This Row],[_Row]]))</f>
        <v/>
      </c>
      <c r="G43" s="128" t="str">
        <f aca="false">IF(IFERROR(INDEX(tsk_Name,GanttView[[#This Row],[_Row]])="",TRUE()),"",INDEX(tsk_FcStart,GanttView[[#This Row],[_Row]]))</f>
        <v/>
      </c>
      <c r="H43" s="128" t="str">
        <f aca="false">IF(IFERROR(INDEX(tsk_Name,GanttView[[#This Row],[_Row]])="",TRUE()),"",INDEX(tsk_FcFinish,GanttView[[#This Row],[_Row]]))</f>
        <v/>
      </c>
      <c r="I43" s="129" t="str">
        <f aca="false">IF(IFERROR(INDEX(tsk_Name,GanttView[[#This Row],[_Row]])="",TRUE()),"",INDEX(tsk_Progress,GanttView[[#This Row],[_Row]]))</f>
        <v/>
      </c>
      <c r="J43" s="127" t="str">
        <f aca="false">IF(IFERROR(INDEX(tsk_Name,GanttView[[#This Row],[_Row]])="",TRUE()),"",INDEX(tsk_ResourceNames,GanttView[[#This Row],[_Row]])&amp;"")</f>
        <v/>
      </c>
      <c r="K43" s="126" t="str">
        <f aca="false">IF(IFERROR(INDEX(tsk_Name,GanttView[[#This Row],[_Row]])="",TRUE()),"",INDEX(tsk_Status,GanttView[[#This Row],[_Row]]))</f>
        <v/>
      </c>
      <c r="L43" s="126" t="str">
        <f aca="false">IF(IFERROR(INDEX(tsk_Name,GanttView[[#This Row],[_Row]])="",TRUE()),"",INDEX(tsk_Show,GanttView[[#This Row],[_Row]])&amp;"")</f>
        <v/>
      </c>
      <c r="M43" s="130" t="n">
        <f aca="false">ROW()-ROW(GanttView[[#Headers],[ID]])</f>
        <v>38</v>
      </c>
      <c r="N43" s="131" t="b">
        <f aca="false">IF(IFERROR(INDEX(tsk_Name,GanttView[[#This Row],[_Row]])="",TRUE()),FALSE(),INDEX(tsk_IsSummary,GanttView[[#This Row],[_Row]]))</f>
        <v>0</v>
      </c>
      <c r="O43" s="131" t="b">
        <f aca="false">IF(IFERROR(INDEX(tsk_Name,GanttView[[#This Row],[_Row]])="",TRUE()),FALSE(),AND(INDEX(tsk_IsLeaf,GanttView[[#This Row],[_Row]])=1,N(INDEX(tsk_Duration,GanttView[[#This Row],[_Row]]))=0))</f>
        <v>0</v>
      </c>
      <c r="P43" s="132" t="n">
        <f aca="false">IF(IFERROR(INDEX(tsk_Name,GanttView[[#This Row],[_Row]])="",TRUE()),0,IF(AND(INDEX(tsk_IsLeaf,GanttView[[#This Row],[_Row]])=1,NOT(GanttView[[#This Row],[_IsMilestone]]),N(GanttView[[#This Row],[%]])&gt;0),GanttView[[#This Row],[Forecast Start]],0))</f>
        <v>0</v>
      </c>
      <c r="Q43" s="132" t="n">
        <f aca="false">IF(GanttView[[#This Row],[_DoneFrom]]=0,0,IF(GanttView[[#This Row],[%]]&gt;=1,GanttView[[#This Row],[Forecast Finish]],MAX(GanttView[[#This Row],[_DoneFrom]],GanttView[[#This Row],[Forecast Start]]+ROUND((GanttView[[#This Row],[Forecast Finish]]-GanttView[[#This Row],[Forecast Start]]+1)*GanttView[[#This Row],[%]],0)-1)))</f>
        <v>0</v>
      </c>
      <c r="R43" s="132" t="n">
        <f aca="false">IF(IFERROR(INDEX(tsk_Name,GanttView[[#This Row],[_Row]])="",TRUE()),0,IF(OR(INDEX(tsk_IsLeaf,GanttView[[#This Row],[_Row]])&lt;&gt;1,GanttView[[#This Row],[_IsMilestone]],N(GanttView[[#This Row],[%]])&gt;=1),0,IF(GanttView[[#This Row],[_DoneTo]]&gt;0,GanttView[[#This Row],[_DoneTo]]+1,GanttView[[#This Row],[Forecast Start]])))</f>
        <v>0</v>
      </c>
      <c r="S43" s="132" t="n">
        <f aca="false">IF(GanttView[[#This Row],[_RemFrom]]=0,0,GanttView[[#This Row],[Forecast Finish]])</f>
        <v>0</v>
      </c>
      <c r="T43" s="131" t="b">
        <f aca="false">IF(IFERROR(INDEX(tsk_Name,GanttView[[#This Row],[_Row]])="",TRUE()),FALSE(),N(INDEX(tsk_Variance,GanttView[[#This Row],[_Row]]))&gt;0)</f>
        <v>0</v>
      </c>
      <c r="U43" s="132" t="n">
        <f aca="false">IF(IFERROR(INDEX(tsk_Name,GanttView[[#This Row],[_Row]])="",TRUE()),0,N(INDEX(tsk_Deadline,GanttView[[#This Row],[_Row]])))</f>
        <v>0</v>
      </c>
      <c r="V43" s="131" t="b">
        <f aca="false">IF(IFERROR(INDEX(tsk_Name,GanttView[[#This Row],[_Row]])="",TRUE()),FALSE(),INDEX(tsk_Critical,GanttView[[#This Row],[_Row]])="Yes")</f>
        <v>0</v>
      </c>
    </row>
    <row r="44" customFormat="false" ht="15" hidden="false" customHeight="false" outlineLevel="0" collapsed="false">
      <c r="A44" s="126" t="str">
        <f aca="false">IF(IFERROR(INDEX(tsk_Name,GanttView[[#This Row],[_Row]])="",TRUE()),"",INDEX(tsk_ID,GanttView[[#This Row],[_Row]]))</f>
        <v/>
      </c>
      <c r="B44" s="126" t="str">
        <f aca="false">IF(IFERROR(INDEX(tsk_Name,GanttView[[#This Row],[_Row]])="",TRUE()),"",INDEX(tsk_WBS,GanttView[[#This Row],[_Row]]))</f>
        <v/>
      </c>
      <c r="C44" s="127" t="str">
        <f aca="false">IF(IFERROR(INDEX(tsk_Name,GanttView[[#This Row],[_Row]])="",TRUE()),"",REPT("    ",INDEX(tsk_Level,GanttView[[#This Row],[_Row]])-1)&amp;INDEX(tsk_Name,GanttView[[#This Row],[_Row]]))</f>
        <v/>
      </c>
      <c r="D44" s="126" t="str">
        <f aca="false">IF(IFERROR(INDEX(tsk_Name,GanttView[[#This Row],[_Row]])="",TRUE()),"",IF(INDEX(tsk_IsSummary,GanttView[[#This Row],[_Row]]),NETWORKDAYS.INTL(INDEX(tsk_FcStart,GanttView[[#This Row],[_Row]]),INDEX(tsk_FcFinish,GanttView[[#This Row],[_Row]]),WorkWeek,Holidays),N(INDEX(tsk_Duration,GanttView[[#This Row],[_Row]]))))</f>
        <v/>
      </c>
      <c r="E44" s="128" t="str">
        <f aca="false">IF(IFERROR(INDEX(tsk_Name,GanttView[[#This Row],[_Row]])="",TRUE()),"",INDEX(tsk_PlanStart,GanttView[[#This Row],[_Row]]))</f>
        <v/>
      </c>
      <c r="F44" s="128" t="str">
        <f aca="false">IF(IFERROR(INDEX(tsk_Name,GanttView[[#This Row],[_Row]])="",TRUE()),"",INDEX(tsk_PlanFinish,GanttView[[#This Row],[_Row]]))</f>
        <v/>
      </c>
      <c r="G44" s="128" t="str">
        <f aca="false">IF(IFERROR(INDEX(tsk_Name,GanttView[[#This Row],[_Row]])="",TRUE()),"",INDEX(tsk_FcStart,GanttView[[#This Row],[_Row]]))</f>
        <v/>
      </c>
      <c r="H44" s="128" t="str">
        <f aca="false">IF(IFERROR(INDEX(tsk_Name,GanttView[[#This Row],[_Row]])="",TRUE()),"",INDEX(tsk_FcFinish,GanttView[[#This Row],[_Row]]))</f>
        <v/>
      </c>
      <c r="I44" s="129" t="str">
        <f aca="false">IF(IFERROR(INDEX(tsk_Name,GanttView[[#This Row],[_Row]])="",TRUE()),"",INDEX(tsk_Progress,GanttView[[#This Row],[_Row]]))</f>
        <v/>
      </c>
      <c r="J44" s="127" t="str">
        <f aca="false">IF(IFERROR(INDEX(tsk_Name,GanttView[[#This Row],[_Row]])="",TRUE()),"",INDEX(tsk_ResourceNames,GanttView[[#This Row],[_Row]])&amp;"")</f>
        <v/>
      </c>
      <c r="K44" s="126" t="str">
        <f aca="false">IF(IFERROR(INDEX(tsk_Name,GanttView[[#This Row],[_Row]])="",TRUE()),"",INDEX(tsk_Status,GanttView[[#This Row],[_Row]]))</f>
        <v/>
      </c>
      <c r="L44" s="126" t="str">
        <f aca="false">IF(IFERROR(INDEX(tsk_Name,GanttView[[#This Row],[_Row]])="",TRUE()),"",INDEX(tsk_Show,GanttView[[#This Row],[_Row]])&amp;"")</f>
        <v/>
      </c>
      <c r="M44" s="130" t="n">
        <f aca="false">ROW()-ROW(GanttView[[#Headers],[ID]])</f>
        <v>39</v>
      </c>
      <c r="N44" s="131" t="b">
        <f aca="false">IF(IFERROR(INDEX(tsk_Name,GanttView[[#This Row],[_Row]])="",TRUE()),FALSE(),INDEX(tsk_IsSummary,GanttView[[#This Row],[_Row]]))</f>
        <v>0</v>
      </c>
      <c r="O44" s="131" t="b">
        <f aca="false">IF(IFERROR(INDEX(tsk_Name,GanttView[[#This Row],[_Row]])="",TRUE()),FALSE(),AND(INDEX(tsk_IsLeaf,GanttView[[#This Row],[_Row]])=1,N(INDEX(tsk_Duration,GanttView[[#This Row],[_Row]]))=0))</f>
        <v>0</v>
      </c>
      <c r="P44" s="132" t="n">
        <f aca="false">IF(IFERROR(INDEX(tsk_Name,GanttView[[#This Row],[_Row]])="",TRUE()),0,IF(AND(INDEX(tsk_IsLeaf,GanttView[[#This Row],[_Row]])=1,NOT(GanttView[[#This Row],[_IsMilestone]]),N(GanttView[[#This Row],[%]])&gt;0),GanttView[[#This Row],[Forecast Start]],0))</f>
        <v>0</v>
      </c>
      <c r="Q44" s="132" t="n">
        <f aca="false">IF(GanttView[[#This Row],[_DoneFrom]]=0,0,IF(GanttView[[#This Row],[%]]&gt;=1,GanttView[[#This Row],[Forecast Finish]],MAX(GanttView[[#This Row],[_DoneFrom]],GanttView[[#This Row],[Forecast Start]]+ROUND((GanttView[[#This Row],[Forecast Finish]]-GanttView[[#This Row],[Forecast Start]]+1)*GanttView[[#This Row],[%]],0)-1)))</f>
        <v>0</v>
      </c>
      <c r="R44" s="132" t="n">
        <f aca="false">IF(IFERROR(INDEX(tsk_Name,GanttView[[#This Row],[_Row]])="",TRUE()),0,IF(OR(INDEX(tsk_IsLeaf,GanttView[[#This Row],[_Row]])&lt;&gt;1,GanttView[[#This Row],[_IsMilestone]],N(GanttView[[#This Row],[%]])&gt;=1),0,IF(GanttView[[#This Row],[_DoneTo]]&gt;0,GanttView[[#This Row],[_DoneTo]]+1,GanttView[[#This Row],[Forecast Start]])))</f>
        <v>0</v>
      </c>
      <c r="S44" s="132" t="n">
        <f aca="false">IF(GanttView[[#This Row],[_RemFrom]]=0,0,GanttView[[#This Row],[Forecast Finish]])</f>
        <v>0</v>
      </c>
      <c r="T44" s="131" t="b">
        <f aca="false">IF(IFERROR(INDEX(tsk_Name,GanttView[[#This Row],[_Row]])="",TRUE()),FALSE(),N(INDEX(tsk_Variance,GanttView[[#This Row],[_Row]]))&gt;0)</f>
        <v>0</v>
      </c>
      <c r="U44" s="132" t="n">
        <f aca="false">IF(IFERROR(INDEX(tsk_Name,GanttView[[#This Row],[_Row]])="",TRUE()),0,N(INDEX(tsk_Deadline,GanttView[[#This Row],[_Row]])))</f>
        <v>0</v>
      </c>
      <c r="V44" s="131" t="b">
        <f aca="false">IF(IFERROR(INDEX(tsk_Name,GanttView[[#This Row],[_Row]])="",TRUE()),FALSE(),INDEX(tsk_Critical,GanttView[[#This Row],[_Row]])="Yes")</f>
        <v>0</v>
      </c>
    </row>
    <row r="45" customFormat="false" ht="15" hidden="false" customHeight="false" outlineLevel="0" collapsed="false">
      <c r="A45" s="126" t="str">
        <f aca="false">IF(IFERROR(INDEX(tsk_Name,GanttView[[#This Row],[_Row]])="",TRUE()),"",INDEX(tsk_ID,GanttView[[#This Row],[_Row]]))</f>
        <v/>
      </c>
      <c r="B45" s="126" t="str">
        <f aca="false">IF(IFERROR(INDEX(tsk_Name,GanttView[[#This Row],[_Row]])="",TRUE()),"",INDEX(tsk_WBS,GanttView[[#This Row],[_Row]]))</f>
        <v/>
      </c>
      <c r="C45" s="127" t="str">
        <f aca="false">IF(IFERROR(INDEX(tsk_Name,GanttView[[#This Row],[_Row]])="",TRUE()),"",REPT("    ",INDEX(tsk_Level,GanttView[[#This Row],[_Row]])-1)&amp;INDEX(tsk_Name,GanttView[[#This Row],[_Row]]))</f>
        <v/>
      </c>
      <c r="D45" s="126" t="str">
        <f aca="false">IF(IFERROR(INDEX(tsk_Name,GanttView[[#This Row],[_Row]])="",TRUE()),"",IF(INDEX(tsk_IsSummary,GanttView[[#This Row],[_Row]]),NETWORKDAYS.INTL(INDEX(tsk_FcStart,GanttView[[#This Row],[_Row]]),INDEX(tsk_FcFinish,GanttView[[#This Row],[_Row]]),WorkWeek,Holidays),N(INDEX(tsk_Duration,GanttView[[#This Row],[_Row]]))))</f>
        <v/>
      </c>
      <c r="E45" s="128" t="str">
        <f aca="false">IF(IFERROR(INDEX(tsk_Name,GanttView[[#This Row],[_Row]])="",TRUE()),"",INDEX(tsk_PlanStart,GanttView[[#This Row],[_Row]]))</f>
        <v/>
      </c>
      <c r="F45" s="128" t="str">
        <f aca="false">IF(IFERROR(INDEX(tsk_Name,GanttView[[#This Row],[_Row]])="",TRUE()),"",INDEX(tsk_PlanFinish,GanttView[[#This Row],[_Row]]))</f>
        <v/>
      </c>
      <c r="G45" s="128" t="str">
        <f aca="false">IF(IFERROR(INDEX(tsk_Name,GanttView[[#This Row],[_Row]])="",TRUE()),"",INDEX(tsk_FcStart,GanttView[[#This Row],[_Row]]))</f>
        <v/>
      </c>
      <c r="H45" s="128" t="str">
        <f aca="false">IF(IFERROR(INDEX(tsk_Name,GanttView[[#This Row],[_Row]])="",TRUE()),"",INDEX(tsk_FcFinish,GanttView[[#This Row],[_Row]]))</f>
        <v/>
      </c>
      <c r="I45" s="129" t="str">
        <f aca="false">IF(IFERROR(INDEX(tsk_Name,GanttView[[#This Row],[_Row]])="",TRUE()),"",INDEX(tsk_Progress,GanttView[[#This Row],[_Row]]))</f>
        <v/>
      </c>
      <c r="J45" s="127" t="str">
        <f aca="false">IF(IFERROR(INDEX(tsk_Name,GanttView[[#This Row],[_Row]])="",TRUE()),"",INDEX(tsk_ResourceNames,GanttView[[#This Row],[_Row]])&amp;"")</f>
        <v/>
      </c>
      <c r="K45" s="126" t="str">
        <f aca="false">IF(IFERROR(INDEX(tsk_Name,GanttView[[#This Row],[_Row]])="",TRUE()),"",INDEX(tsk_Status,GanttView[[#This Row],[_Row]]))</f>
        <v/>
      </c>
      <c r="L45" s="126" t="str">
        <f aca="false">IF(IFERROR(INDEX(tsk_Name,GanttView[[#This Row],[_Row]])="",TRUE()),"",INDEX(tsk_Show,GanttView[[#This Row],[_Row]])&amp;"")</f>
        <v/>
      </c>
      <c r="M45" s="130" t="n">
        <f aca="false">ROW()-ROW(GanttView[[#Headers],[ID]])</f>
        <v>40</v>
      </c>
      <c r="N45" s="131" t="b">
        <f aca="false">IF(IFERROR(INDEX(tsk_Name,GanttView[[#This Row],[_Row]])="",TRUE()),FALSE(),INDEX(tsk_IsSummary,GanttView[[#This Row],[_Row]]))</f>
        <v>0</v>
      </c>
      <c r="O45" s="131" t="b">
        <f aca="false">IF(IFERROR(INDEX(tsk_Name,GanttView[[#This Row],[_Row]])="",TRUE()),FALSE(),AND(INDEX(tsk_IsLeaf,GanttView[[#This Row],[_Row]])=1,N(INDEX(tsk_Duration,GanttView[[#This Row],[_Row]]))=0))</f>
        <v>0</v>
      </c>
      <c r="P45" s="132" t="n">
        <f aca="false">IF(IFERROR(INDEX(tsk_Name,GanttView[[#This Row],[_Row]])="",TRUE()),0,IF(AND(INDEX(tsk_IsLeaf,GanttView[[#This Row],[_Row]])=1,NOT(GanttView[[#This Row],[_IsMilestone]]),N(GanttView[[#This Row],[%]])&gt;0),GanttView[[#This Row],[Forecast Start]],0))</f>
        <v>0</v>
      </c>
      <c r="Q45" s="132" t="n">
        <f aca="false">IF(GanttView[[#This Row],[_DoneFrom]]=0,0,IF(GanttView[[#This Row],[%]]&gt;=1,GanttView[[#This Row],[Forecast Finish]],MAX(GanttView[[#This Row],[_DoneFrom]],GanttView[[#This Row],[Forecast Start]]+ROUND((GanttView[[#This Row],[Forecast Finish]]-GanttView[[#This Row],[Forecast Start]]+1)*GanttView[[#This Row],[%]],0)-1)))</f>
        <v>0</v>
      </c>
      <c r="R45" s="132" t="n">
        <f aca="false">IF(IFERROR(INDEX(tsk_Name,GanttView[[#This Row],[_Row]])="",TRUE()),0,IF(OR(INDEX(tsk_IsLeaf,GanttView[[#This Row],[_Row]])&lt;&gt;1,GanttView[[#This Row],[_IsMilestone]],N(GanttView[[#This Row],[%]])&gt;=1),0,IF(GanttView[[#This Row],[_DoneTo]]&gt;0,GanttView[[#This Row],[_DoneTo]]+1,GanttView[[#This Row],[Forecast Start]])))</f>
        <v>0</v>
      </c>
      <c r="S45" s="132" t="n">
        <f aca="false">IF(GanttView[[#This Row],[_RemFrom]]=0,0,GanttView[[#This Row],[Forecast Finish]])</f>
        <v>0</v>
      </c>
      <c r="T45" s="131" t="b">
        <f aca="false">IF(IFERROR(INDEX(tsk_Name,GanttView[[#This Row],[_Row]])="",TRUE()),FALSE(),N(INDEX(tsk_Variance,GanttView[[#This Row],[_Row]]))&gt;0)</f>
        <v>0</v>
      </c>
      <c r="U45" s="132" t="n">
        <f aca="false">IF(IFERROR(INDEX(tsk_Name,GanttView[[#This Row],[_Row]])="",TRUE()),0,N(INDEX(tsk_Deadline,GanttView[[#This Row],[_Row]])))</f>
        <v>0</v>
      </c>
      <c r="V45" s="131" t="b">
        <f aca="false">IF(IFERROR(INDEX(tsk_Name,GanttView[[#This Row],[_Row]])="",TRUE()),FALSE(),INDEX(tsk_Critical,GanttView[[#This Row],[_Row]])="Yes")</f>
        <v>0</v>
      </c>
    </row>
    <row r="46" customFormat="false" ht="15" hidden="false" customHeight="false" outlineLevel="0" collapsed="false">
      <c r="A46" s="126" t="str">
        <f aca="false">IF(IFERROR(INDEX(tsk_Name,GanttView[[#This Row],[_Row]])="",TRUE()),"",INDEX(tsk_ID,GanttView[[#This Row],[_Row]]))</f>
        <v/>
      </c>
      <c r="B46" s="126" t="str">
        <f aca="false">IF(IFERROR(INDEX(tsk_Name,GanttView[[#This Row],[_Row]])="",TRUE()),"",INDEX(tsk_WBS,GanttView[[#This Row],[_Row]]))</f>
        <v/>
      </c>
      <c r="C46" s="127" t="str">
        <f aca="false">IF(IFERROR(INDEX(tsk_Name,GanttView[[#This Row],[_Row]])="",TRUE()),"",REPT("    ",INDEX(tsk_Level,GanttView[[#This Row],[_Row]])-1)&amp;INDEX(tsk_Name,GanttView[[#This Row],[_Row]]))</f>
        <v/>
      </c>
      <c r="D46" s="126" t="str">
        <f aca="false">IF(IFERROR(INDEX(tsk_Name,GanttView[[#This Row],[_Row]])="",TRUE()),"",IF(INDEX(tsk_IsSummary,GanttView[[#This Row],[_Row]]),NETWORKDAYS.INTL(INDEX(tsk_FcStart,GanttView[[#This Row],[_Row]]),INDEX(tsk_FcFinish,GanttView[[#This Row],[_Row]]),WorkWeek,Holidays),N(INDEX(tsk_Duration,GanttView[[#This Row],[_Row]]))))</f>
        <v/>
      </c>
      <c r="E46" s="128" t="str">
        <f aca="false">IF(IFERROR(INDEX(tsk_Name,GanttView[[#This Row],[_Row]])="",TRUE()),"",INDEX(tsk_PlanStart,GanttView[[#This Row],[_Row]]))</f>
        <v/>
      </c>
      <c r="F46" s="128" t="str">
        <f aca="false">IF(IFERROR(INDEX(tsk_Name,GanttView[[#This Row],[_Row]])="",TRUE()),"",INDEX(tsk_PlanFinish,GanttView[[#This Row],[_Row]]))</f>
        <v/>
      </c>
      <c r="G46" s="128" t="str">
        <f aca="false">IF(IFERROR(INDEX(tsk_Name,GanttView[[#This Row],[_Row]])="",TRUE()),"",INDEX(tsk_FcStart,GanttView[[#This Row],[_Row]]))</f>
        <v/>
      </c>
      <c r="H46" s="128" t="str">
        <f aca="false">IF(IFERROR(INDEX(tsk_Name,GanttView[[#This Row],[_Row]])="",TRUE()),"",INDEX(tsk_FcFinish,GanttView[[#This Row],[_Row]]))</f>
        <v/>
      </c>
      <c r="I46" s="129" t="str">
        <f aca="false">IF(IFERROR(INDEX(tsk_Name,GanttView[[#This Row],[_Row]])="",TRUE()),"",INDEX(tsk_Progress,GanttView[[#This Row],[_Row]]))</f>
        <v/>
      </c>
      <c r="J46" s="127" t="str">
        <f aca="false">IF(IFERROR(INDEX(tsk_Name,GanttView[[#This Row],[_Row]])="",TRUE()),"",INDEX(tsk_ResourceNames,GanttView[[#This Row],[_Row]])&amp;"")</f>
        <v/>
      </c>
      <c r="K46" s="126" t="str">
        <f aca="false">IF(IFERROR(INDEX(tsk_Name,GanttView[[#This Row],[_Row]])="",TRUE()),"",INDEX(tsk_Status,GanttView[[#This Row],[_Row]]))</f>
        <v/>
      </c>
      <c r="L46" s="126" t="str">
        <f aca="false">IF(IFERROR(INDEX(tsk_Name,GanttView[[#This Row],[_Row]])="",TRUE()),"",INDEX(tsk_Show,GanttView[[#This Row],[_Row]])&amp;"")</f>
        <v/>
      </c>
      <c r="M46" s="130" t="n">
        <f aca="false">ROW()-ROW(GanttView[[#Headers],[ID]])</f>
        <v>41</v>
      </c>
      <c r="N46" s="131" t="b">
        <f aca="false">IF(IFERROR(INDEX(tsk_Name,GanttView[[#This Row],[_Row]])="",TRUE()),FALSE(),INDEX(tsk_IsSummary,GanttView[[#This Row],[_Row]]))</f>
        <v>0</v>
      </c>
      <c r="O46" s="131" t="b">
        <f aca="false">IF(IFERROR(INDEX(tsk_Name,GanttView[[#This Row],[_Row]])="",TRUE()),FALSE(),AND(INDEX(tsk_IsLeaf,GanttView[[#This Row],[_Row]])=1,N(INDEX(tsk_Duration,GanttView[[#This Row],[_Row]]))=0))</f>
        <v>0</v>
      </c>
      <c r="P46" s="132" t="n">
        <f aca="false">IF(IFERROR(INDEX(tsk_Name,GanttView[[#This Row],[_Row]])="",TRUE()),0,IF(AND(INDEX(tsk_IsLeaf,GanttView[[#This Row],[_Row]])=1,NOT(GanttView[[#This Row],[_IsMilestone]]),N(GanttView[[#This Row],[%]])&gt;0),GanttView[[#This Row],[Forecast Start]],0))</f>
        <v>0</v>
      </c>
      <c r="Q46" s="132" t="n">
        <f aca="false">IF(GanttView[[#This Row],[_DoneFrom]]=0,0,IF(GanttView[[#This Row],[%]]&gt;=1,GanttView[[#This Row],[Forecast Finish]],MAX(GanttView[[#This Row],[_DoneFrom]],GanttView[[#This Row],[Forecast Start]]+ROUND((GanttView[[#This Row],[Forecast Finish]]-GanttView[[#This Row],[Forecast Start]]+1)*GanttView[[#This Row],[%]],0)-1)))</f>
        <v>0</v>
      </c>
      <c r="R46" s="132" t="n">
        <f aca="false">IF(IFERROR(INDEX(tsk_Name,GanttView[[#This Row],[_Row]])="",TRUE()),0,IF(OR(INDEX(tsk_IsLeaf,GanttView[[#This Row],[_Row]])&lt;&gt;1,GanttView[[#This Row],[_IsMilestone]],N(GanttView[[#This Row],[%]])&gt;=1),0,IF(GanttView[[#This Row],[_DoneTo]]&gt;0,GanttView[[#This Row],[_DoneTo]]+1,GanttView[[#This Row],[Forecast Start]])))</f>
        <v>0</v>
      </c>
      <c r="S46" s="132" t="n">
        <f aca="false">IF(GanttView[[#This Row],[_RemFrom]]=0,0,GanttView[[#This Row],[Forecast Finish]])</f>
        <v>0</v>
      </c>
      <c r="T46" s="131" t="b">
        <f aca="false">IF(IFERROR(INDEX(tsk_Name,GanttView[[#This Row],[_Row]])="",TRUE()),FALSE(),N(INDEX(tsk_Variance,GanttView[[#This Row],[_Row]]))&gt;0)</f>
        <v>0</v>
      </c>
      <c r="U46" s="132" t="n">
        <f aca="false">IF(IFERROR(INDEX(tsk_Name,GanttView[[#This Row],[_Row]])="",TRUE()),0,N(INDEX(tsk_Deadline,GanttView[[#This Row],[_Row]])))</f>
        <v>0</v>
      </c>
      <c r="V46" s="131" t="b">
        <f aca="false">IF(IFERROR(INDEX(tsk_Name,GanttView[[#This Row],[_Row]])="",TRUE()),FALSE(),INDEX(tsk_Critical,GanttView[[#This Row],[_Row]])="Yes")</f>
        <v>0</v>
      </c>
    </row>
    <row r="47" customFormat="false" ht="15" hidden="false" customHeight="false" outlineLevel="0" collapsed="false">
      <c r="A47" s="126" t="str">
        <f aca="false">IF(IFERROR(INDEX(tsk_Name,GanttView[[#This Row],[_Row]])="",TRUE()),"",INDEX(tsk_ID,GanttView[[#This Row],[_Row]]))</f>
        <v/>
      </c>
      <c r="B47" s="126" t="str">
        <f aca="false">IF(IFERROR(INDEX(tsk_Name,GanttView[[#This Row],[_Row]])="",TRUE()),"",INDEX(tsk_WBS,GanttView[[#This Row],[_Row]]))</f>
        <v/>
      </c>
      <c r="C47" s="127" t="str">
        <f aca="false">IF(IFERROR(INDEX(tsk_Name,GanttView[[#This Row],[_Row]])="",TRUE()),"",REPT("    ",INDEX(tsk_Level,GanttView[[#This Row],[_Row]])-1)&amp;INDEX(tsk_Name,GanttView[[#This Row],[_Row]]))</f>
        <v/>
      </c>
      <c r="D47" s="126" t="str">
        <f aca="false">IF(IFERROR(INDEX(tsk_Name,GanttView[[#This Row],[_Row]])="",TRUE()),"",IF(INDEX(tsk_IsSummary,GanttView[[#This Row],[_Row]]),NETWORKDAYS.INTL(INDEX(tsk_FcStart,GanttView[[#This Row],[_Row]]),INDEX(tsk_FcFinish,GanttView[[#This Row],[_Row]]),WorkWeek,Holidays),N(INDEX(tsk_Duration,GanttView[[#This Row],[_Row]]))))</f>
        <v/>
      </c>
      <c r="E47" s="128" t="str">
        <f aca="false">IF(IFERROR(INDEX(tsk_Name,GanttView[[#This Row],[_Row]])="",TRUE()),"",INDEX(tsk_PlanStart,GanttView[[#This Row],[_Row]]))</f>
        <v/>
      </c>
      <c r="F47" s="128" t="str">
        <f aca="false">IF(IFERROR(INDEX(tsk_Name,GanttView[[#This Row],[_Row]])="",TRUE()),"",INDEX(tsk_PlanFinish,GanttView[[#This Row],[_Row]]))</f>
        <v/>
      </c>
      <c r="G47" s="128" t="str">
        <f aca="false">IF(IFERROR(INDEX(tsk_Name,GanttView[[#This Row],[_Row]])="",TRUE()),"",INDEX(tsk_FcStart,GanttView[[#This Row],[_Row]]))</f>
        <v/>
      </c>
      <c r="H47" s="128" t="str">
        <f aca="false">IF(IFERROR(INDEX(tsk_Name,GanttView[[#This Row],[_Row]])="",TRUE()),"",INDEX(tsk_FcFinish,GanttView[[#This Row],[_Row]]))</f>
        <v/>
      </c>
      <c r="I47" s="129" t="str">
        <f aca="false">IF(IFERROR(INDEX(tsk_Name,GanttView[[#This Row],[_Row]])="",TRUE()),"",INDEX(tsk_Progress,GanttView[[#This Row],[_Row]]))</f>
        <v/>
      </c>
      <c r="J47" s="127" t="str">
        <f aca="false">IF(IFERROR(INDEX(tsk_Name,GanttView[[#This Row],[_Row]])="",TRUE()),"",INDEX(tsk_ResourceNames,GanttView[[#This Row],[_Row]])&amp;"")</f>
        <v/>
      </c>
      <c r="K47" s="126" t="str">
        <f aca="false">IF(IFERROR(INDEX(tsk_Name,GanttView[[#This Row],[_Row]])="",TRUE()),"",INDEX(tsk_Status,GanttView[[#This Row],[_Row]]))</f>
        <v/>
      </c>
      <c r="L47" s="126" t="str">
        <f aca="false">IF(IFERROR(INDEX(tsk_Name,GanttView[[#This Row],[_Row]])="",TRUE()),"",INDEX(tsk_Show,GanttView[[#This Row],[_Row]])&amp;"")</f>
        <v/>
      </c>
      <c r="M47" s="130" t="n">
        <f aca="false">ROW()-ROW(GanttView[[#Headers],[ID]])</f>
        <v>42</v>
      </c>
      <c r="N47" s="131" t="b">
        <f aca="false">IF(IFERROR(INDEX(tsk_Name,GanttView[[#This Row],[_Row]])="",TRUE()),FALSE(),INDEX(tsk_IsSummary,GanttView[[#This Row],[_Row]]))</f>
        <v>0</v>
      </c>
      <c r="O47" s="131" t="b">
        <f aca="false">IF(IFERROR(INDEX(tsk_Name,GanttView[[#This Row],[_Row]])="",TRUE()),FALSE(),AND(INDEX(tsk_IsLeaf,GanttView[[#This Row],[_Row]])=1,N(INDEX(tsk_Duration,GanttView[[#This Row],[_Row]]))=0))</f>
        <v>0</v>
      </c>
      <c r="P47" s="132" t="n">
        <f aca="false">IF(IFERROR(INDEX(tsk_Name,GanttView[[#This Row],[_Row]])="",TRUE()),0,IF(AND(INDEX(tsk_IsLeaf,GanttView[[#This Row],[_Row]])=1,NOT(GanttView[[#This Row],[_IsMilestone]]),N(GanttView[[#This Row],[%]])&gt;0),GanttView[[#This Row],[Forecast Start]],0))</f>
        <v>0</v>
      </c>
      <c r="Q47" s="132" t="n">
        <f aca="false">IF(GanttView[[#This Row],[_DoneFrom]]=0,0,IF(GanttView[[#This Row],[%]]&gt;=1,GanttView[[#This Row],[Forecast Finish]],MAX(GanttView[[#This Row],[_DoneFrom]],GanttView[[#This Row],[Forecast Start]]+ROUND((GanttView[[#This Row],[Forecast Finish]]-GanttView[[#This Row],[Forecast Start]]+1)*GanttView[[#This Row],[%]],0)-1)))</f>
        <v>0</v>
      </c>
      <c r="R47" s="132" t="n">
        <f aca="false">IF(IFERROR(INDEX(tsk_Name,GanttView[[#This Row],[_Row]])="",TRUE()),0,IF(OR(INDEX(tsk_IsLeaf,GanttView[[#This Row],[_Row]])&lt;&gt;1,GanttView[[#This Row],[_IsMilestone]],N(GanttView[[#This Row],[%]])&gt;=1),0,IF(GanttView[[#This Row],[_DoneTo]]&gt;0,GanttView[[#This Row],[_DoneTo]]+1,GanttView[[#This Row],[Forecast Start]])))</f>
        <v>0</v>
      </c>
      <c r="S47" s="132" t="n">
        <f aca="false">IF(GanttView[[#This Row],[_RemFrom]]=0,0,GanttView[[#This Row],[Forecast Finish]])</f>
        <v>0</v>
      </c>
      <c r="T47" s="131" t="b">
        <f aca="false">IF(IFERROR(INDEX(tsk_Name,GanttView[[#This Row],[_Row]])="",TRUE()),FALSE(),N(INDEX(tsk_Variance,GanttView[[#This Row],[_Row]]))&gt;0)</f>
        <v>0</v>
      </c>
      <c r="U47" s="132" t="n">
        <f aca="false">IF(IFERROR(INDEX(tsk_Name,GanttView[[#This Row],[_Row]])="",TRUE()),0,N(INDEX(tsk_Deadline,GanttView[[#This Row],[_Row]])))</f>
        <v>0</v>
      </c>
      <c r="V47" s="131" t="b">
        <f aca="false">IF(IFERROR(INDEX(tsk_Name,GanttView[[#This Row],[_Row]])="",TRUE()),FALSE(),INDEX(tsk_Critical,GanttView[[#This Row],[_Row]])="Yes")</f>
        <v>0</v>
      </c>
    </row>
    <row r="48" customFormat="false" ht="15" hidden="false" customHeight="false" outlineLevel="0" collapsed="false">
      <c r="A48" s="126" t="str">
        <f aca="false">IF(IFERROR(INDEX(tsk_Name,GanttView[[#This Row],[_Row]])="",TRUE()),"",INDEX(tsk_ID,GanttView[[#This Row],[_Row]]))</f>
        <v/>
      </c>
      <c r="B48" s="126" t="str">
        <f aca="false">IF(IFERROR(INDEX(tsk_Name,GanttView[[#This Row],[_Row]])="",TRUE()),"",INDEX(tsk_WBS,GanttView[[#This Row],[_Row]]))</f>
        <v/>
      </c>
      <c r="C48" s="127" t="str">
        <f aca="false">IF(IFERROR(INDEX(tsk_Name,GanttView[[#This Row],[_Row]])="",TRUE()),"",REPT("    ",INDEX(tsk_Level,GanttView[[#This Row],[_Row]])-1)&amp;INDEX(tsk_Name,GanttView[[#This Row],[_Row]]))</f>
        <v/>
      </c>
      <c r="D48" s="126" t="str">
        <f aca="false">IF(IFERROR(INDEX(tsk_Name,GanttView[[#This Row],[_Row]])="",TRUE()),"",IF(INDEX(tsk_IsSummary,GanttView[[#This Row],[_Row]]),NETWORKDAYS.INTL(INDEX(tsk_FcStart,GanttView[[#This Row],[_Row]]),INDEX(tsk_FcFinish,GanttView[[#This Row],[_Row]]),WorkWeek,Holidays),N(INDEX(tsk_Duration,GanttView[[#This Row],[_Row]]))))</f>
        <v/>
      </c>
      <c r="E48" s="128" t="str">
        <f aca="false">IF(IFERROR(INDEX(tsk_Name,GanttView[[#This Row],[_Row]])="",TRUE()),"",INDEX(tsk_PlanStart,GanttView[[#This Row],[_Row]]))</f>
        <v/>
      </c>
      <c r="F48" s="128" t="str">
        <f aca="false">IF(IFERROR(INDEX(tsk_Name,GanttView[[#This Row],[_Row]])="",TRUE()),"",INDEX(tsk_PlanFinish,GanttView[[#This Row],[_Row]]))</f>
        <v/>
      </c>
      <c r="G48" s="128" t="str">
        <f aca="false">IF(IFERROR(INDEX(tsk_Name,GanttView[[#This Row],[_Row]])="",TRUE()),"",INDEX(tsk_FcStart,GanttView[[#This Row],[_Row]]))</f>
        <v/>
      </c>
      <c r="H48" s="128" t="str">
        <f aca="false">IF(IFERROR(INDEX(tsk_Name,GanttView[[#This Row],[_Row]])="",TRUE()),"",INDEX(tsk_FcFinish,GanttView[[#This Row],[_Row]]))</f>
        <v/>
      </c>
      <c r="I48" s="129" t="str">
        <f aca="false">IF(IFERROR(INDEX(tsk_Name,GanttView[[#This Row],[_Row]])="",TRUE()),"",INDEX(tsk_Progress,GanttView[[#This Row],[_Row]]))</f>
        <v/>
      </c>
      <c r="J48" s="127" t="str">
        <f aca="false">IF(IFERROR(INDEX(tsk_Name,GanttView[[#This Row],[_Row]])="",TRUE()),"",INDEX(tsk_ResourceNames,GanttView[[#This Row],[_Row]])&amp;"")</f>
        <v/>
      </c>
      <c r="K48" s="126" t="str">
        <f aca="false">IF(IFERROR(INDEX(tsk_Name,GanttView[[#This Row],[_Row]])="",TRUE()),"",INDEX(tsk_Status,GanttView[[#This Row],[_Row]]))</f>
        <v/>
      </c>
      <c r="L48" s="126" t="str">
        <f aca="false">IF(IFERROR(INDEX(tsk_Name,GanttView[[#This Row],[_Row]])="",TRUE()),"",INDEX(tsk_Show,GanttView[[#This Row],[_Row]])&amp;"")</f>
        <v/>
      </c>
      <c r="M48" s="130" t="n">
        <f aca="false">ROW()-ROW(GanttView[[#Headers],[ID]])</f>
        <v>43</v>
      </c>
      <c r="N48" s="131" t="b">
        <f aca="false">IF(IFERROR(INDEX(tsk_Name,GanttView[[#This Row],[_Row]])="",TRUE()),FALSE(),INDEX(tsk_IsSummary,GanttView[[#This Row],[_Row]]))</f>
        <v>0</v>
      </c>
      <c r="O48" s="131" t="b">
        <f aca="false">IF(IFERROR(INDEX(tsk_Name,GanttView[[#This Row],[_Row]])="",TRUE()),FALSE(),AND(INDEX(tsk_IsLeaf,GanttView[[#This Row],[_Row]])=1,N(INDEX(tsk_Duration,GanttView[[#This Row],[_Row]]))=0))</f>
        <v>0</v>
      </c>
      <c r="P48" s="132" t="n">
        <f aca="false">IF(IFERROR(INDEX(tsk_Name,GanttView[[#This Row],[_Row]])="",TRUE()),0,IF(AND(INDEX(tsk_IsLeaf,GanttView[[#This Row],[_Row]])=1,NOT(GanttView[[#This Row],[_IsMilestone]]),N(GanttView[[#This Row],[%]])&gt;0),GanttView[[#This Row],[Forecast Start]],0))</f>
        <v>0</v>
      </c>
      <c r="Q48" s="132" t="n">
        <f aca="false">IF(GanttView[[#This Row],[_DoneFrom]]=0,0,IF(GanttView[[#This Row],[%]]&gt;=1,GanttView[[#This Row],[Forecast Finish]],MAX(GanttView[[#This Row],[_DoneFrom]],GanttView[[#This Row],[Forecast Start]]+ROUND((GanttView[[#This Row],[Forecast Finish]]-GanttView[[#This Row],[Forecast Start]]+1)*GanttView[[#This Row],[%]],0)-1)))</f>
        <v>0</v>
      </c>
      <c r="R48" s="132" t="n">
        <f aca="false">IF(IFERROR(INDEX(tsk_Name,GanttView[[#This Row],[_Row]])="",TRUE()),0,IF(OR(INDEX(tsk_IsLeaf,GanttView[[#This Row],[_Row]])&lt;&gt;1,GanttView[[#This Row],[_IsMilestone]],N(GanttView[[#This Row],[%]])&gt;=1),0,IF(GanttView[[#This Row],[_DoneTo]]&gt;0,GanttView[[#This Row],[_DoneTo]]+1,GanttView[[#This Row],[Forecast Start]])))</f>
        <v>0</v>
      </c>
      <c r="S48" s="132" t="n">
        <f aca="false">IF(GanttView[[#This Row],[_RemFrom]]=0,0,GanttView[[#This Row],[Forecast Finish]])</f>
        <v>0</v>
      </c>
      <c r="T48" s="131" t="b">
        <f aca="false">IF(IFERROR(INDEX(tsk_Name,GanttView[[#This Row],[_Row]])="",TRUE()),FALSE(),N(INDEX(tsk_Variance,GanttView[[#This Row],[_Row]]))&gt;0)</f>
        <v>0</v>
      </c>
      <c r="U48" s="132" t="n">
        <f aca="false">IF(IFERROR(INDEX(tsk_Name,GanttView[[#This Row],[_Row]])="",TRUE()),0,N(INDEX(tsk_Deadline,GanttView[[#This Row],[_Row]])))</f>
        <v>0</v>
      </c>
      <c r="V48" s="131" t="b">
        <f aca="false">IF(IFERROR(INDEX(tsk_Name,GanttView[[#This Row],[_Row]])="",TRUE()),FALSE(),INDEX(tsk_Critical,GanttView[[#This Row],[_Row]])="Yes")</f>
        <v>0</v>
      </c>
    </row>
    <row r="49" customFormat="false" ht="15" hidden="false" customHeight="false" outlineLevel="0" collapsed="false">
      <c r="A49" s="126" t="str">
        <f aca="false">IF(IFERROR(INDEX(tsk_Name,GanttView[[#This Row],[_Row]])="",TRUE()),"",INDEX(tsk_ID,GanttView[[#This Row],[_Row]]))</f>
        <v/>
      </c>
      <c r="B49" s="126" t="str">
        <f aca="false">IF(IFERROR(INDEX(tsk_Name,GanttView[[#This Row],[_Row]])="",TRUE()),"",INDEX(tsk_WBS,GanttView[[#This Row],[_Row]]))</f>
        <v/>
      </c>
      <c r="C49" s="127" t="str">
        <f aca="false">IF(IFERROR(INDEX(tsk_Name,GanttView[[#This Row],[_Row]])="",TRUE()),"",REPT("    ",INDEX(tsk_Level,GanttView[[#This Row],[_Row]])-1)&amp;INDEX(tsk_Name,GanttView[[#This Row],[_Row]]))</f>
        <v/>
      </c>
      <c r="D49" s="126" t="str">
        <f aca="false">IF(IFERROR(INDEX(tsk_Name,GanttView[[#This Row],[_Row]])="",TRUE()),"",IF(INDEX(tsk_IsSummary,GanttView[[#This Row],[_Row]]),NETWORKDAYS.INTL(INDEX(tsk_FcStart,GanttView[[#This Row],[_Row]]),INDEX(tsk_FcFinish,GanttView[[#This Row],[_Row]]),WorkWeek,Holidays),N(INDEX(tsk_Duration,GanttView[[#This Row],[_Row]]))))</f>
        <v/>
      </c>
      <c r="E49" s="128" t="str">
        <f aca="false">IF(IFERROR(INDEX(tsk_Name,GanttView[[#This Row],[_Row]])="",TRUE()),"",INDEX(tsk_PlanStart,GanttView[[#This Row],[_Row]]))</f>
        <v/>
      </c>
      <c r="F49" s="128" t="str">
        <f aca="false">IF(IFERROR(INDEX(tsk_Name,GanttView[[#This Row],[_Row]])="",TRUE()),"",INDEX(tsk_PlanFinish,GanttView[[#This Row],[_Row]]))</f>
        <v/>
      </c>
      <c r="G49" s="128" t="str">
        <f aca="false">IF(IFERROR(INDEX(tsk_Name,GanttView[[#This Row],[_Row]])="",TRUE()),"",INDEX(tsk_FcStart,GanttView[[#This Row],[_Row]]))</f>
        <v/>
      </c>
      <c r="H49" s="128" t="str">
        <f aca="false">IF(IFERROR(INDEX(tsk_Name,GanttView[[#This Row],[_Row]])="",TRUE()),"",INDEX(tsk_FcFinish,GanttView[[#This Row],[_Row]]))</f>
        <v/>
      </c>
      <c r="I49" s="129" t="str">
        <f aca="false">IF(IFERROR(INDEX(tsk_Name,GanttView[[#This Row],[_Row]])="",TRUE()),"",INDEX(tsk_Progress,GanttView[[#This Row],[_Row]]))</f>
        <v/>
      </c>
      <c r="J49" s="127" t="str">
        <f aca="false">IF(IFERROR(INDEX(tsk_Name,GanttView[[#This Row],[_Row]])="",TRUE()),"",INDEX(tsk_ResourceNames,GanttView[[#This Row],[_Row]])&amp;"")</f>
        <v/>
      </c>
      <c r="K49" s="126" t="str">
        <f aca="false">IF(IFERROR(INDEX(tsk_Name,GanttView[[#This Row],[_Row]])="",TRUE()),"",INDEX(tsk_Status,GanttView[[#This Row],[_Row]]))</f>
        <v/>
      </c>
      <c r="L49" s="126" t="str">
        <f aca="false">IF(IFERROR(INDEX(tsk_Name,GanttView[[#This Row],[_Row]])="",TRUE()),"",INDEX(tsk_Show,GanttView[[#This Row],[_Row]])&amp;"")</f>
        <v/>
      </c>
      <c r="M49" s="130" t="n">
        <f aca="false">ROW()-ROW(GanttView[[#Headers],[ID]])</f>
        <v>44</v>
      </c>
      <c r="N49" s="131" t="b">
        <f aca="false">IF(IFERROR(INDEX(tsk_Name,GanttView[[#This Row],[_Row]])="",TRUE()),FALSE(),INDEX(tsk_IsSummary,GanttView[[#This Row],[_Row]]))</f>
        <v>0</v>
      </c>
      <c r="O49" s="131" t="b">
        <f aca="false">IF(IFERROR(INDEX(tsk_Name,GanttView[[#This Row],[_Row]])="",TRUE()),FALSE(),AND(INDEX(tsk_IsLeaf,GanttView[[#This Row],[_Row]])=1,N(INDEX(tsk_Duration,GanttView[[#This Row],[_Row]]))=0))</f>
        <v>0</v>
      </c>
      <c r="P49" s="132" t="n">
        <f aca="false">IF(IFERROR(INDEX(tsk_Name,GanttView[[#This Row],[_Row]])="",TRUE()),0,IF(AND(INDEX(tsk_IsLeaf,GanttView[[#This Row],[_Row]])=1,NOT(GanttView[[#This Row],[_IsMilestone]]),N(GanttView[[#This Row],[%]])&gt;0),GanttView[[#This Row],[Forecast Start]],0))</f>
        <v>0</v>
      </c>
      <c r="Q49" s="132" t="n">
        <f aca="false">IF(GanttView[[#This Row],[_DoneFrom]]=0,0,IF(GanttView[[#This Row],[%]]&gt;=1,GanttView[[#This Row],[Forecast Finish]],MAX(GanttView[[#This Row],[_DoneFrom]],GanttView[[#This Row],[Forecast Start]]+ROUND((GanttView[[#This Row],[Forecast Finish]]-GanttView[[#This Row],[Forecast Start]]+1)*GanttView[[#This Row],[%]],0)-1)))</f>
        <v>0</v>
      </c>
      <c r="R49" s="132" t="n">
        <f aca="false">IF(IFERROR(INDEX(tsk_Name,GanttView[[#This Row],[_Row]])="",TRUE()),0,IF(OR(INDEX(tsk_IsLeaf,GanttView[[#This Row],[_Row]])&lt;&gt;1,GanttView[[#This Row],[_IsMilestone]],N(GanttView[[#This Row],[%]])&gt;=1),0,IF(GanttView[[#This Row],[_DoneTo]]&gt;0,GanttView[[#This Row],[_DoneTo]]+1,GanttView[[#This Row],[Forecast Start]])))</f>
        <v>0</v>
      </c>
      <c r="S49" s="132" t="n">
        <f aca="false">IF(GanttView[[#This Row],[_RemFrom]]=0,0,GanttView[[#This Row],[Forecast Finish]])</f>
        <v>0</v>
      </c>
      <c r="T49" s="131" t="b">
        <f aca="false">IF(IFERROR(INDEX(tsk_Name,GanttView[[#This Row],[_Row]])="",TRUE()),FALSE(),N(INDEX(tsk_Variance,GanttView[[#This Row],[_Row]]))&gt;0)</f>
        <v>0</v>
      </c>
      <c r="U49" s="132" t="n">
        <f aca="false">IF(IFERROR(INDEX(tsk_Name,GanttView[[#This Row],[_Row]])="",TRUE()),0,N(INDEX(tsk_Deadline,GanttView[[#This Row],[_Row]])))</f>
        <v>0</v>
      </c>
      <c r="V49" s="131" t="b">
        <f aca="false">IF(IFERROR(INDEX(tsk_Name,GanttView[[#This Row],[_Row]])="",TRUE()),FALSE(),INDEX(tsk_Critical,GanttView[[#This Row],[_Row]])="Yes")</f>
        <v>0</v>
      </c>
    </row>
    <row r="50" customFormat="false" ht="15" hidden="false" customHeight="false" outlineLevel="0" collapsed="false">
      <c r="A50" s="126" t="str">
        <f aca="false">IF(IFERROR(INDEX(tsk_Name,GanttView[[#This Row],[_Row]])="",TRUE()),"",INDEX(tsk_ID,GanttView[[#This Row],[_Row]]))</f>
        <v/>
      </c>
      <c r="B50" s="126" t="str">
        <f aca="false">IF(IFERROR(INDEX(tsk_Name,GanttView[[#This Row],[_Row]])="",TRUE()),"",INDEX(tsk_WBS,GanttView[[#This Row],[_Row]]))</f>
        <v/>
      </c>
      <c r="C50" s="127" t="str">
        <f aca="false">IF(IFERROR(INDEX(tsk_Name,GanttView[[#This Row],[_Row]])="",TRUE()),"",REPT("    ",INDEX(tsk_Level,GanttView[[#This Row],[_Row]])-1)&amp;INDEX(tsk_Name,GanttView[[#This Row],[_Row]]))</f>
        <v/>
      </c>
      <c r="D50" s="126" t="str">
        <f aca="false">IF(IFERROR(INDEX(tsk_Name,GanttView[[#This Row],[_Row]])="",TRUE()),"",IF(INDEX(tsk_IsSummary,GanttView[[#This Row],[_Row]]),NETWORKDAYS.INTL(INDEX(tsk_FcStart,GanttView[[#This Row],[_Row]]),INDEX(tsk_FcFinish,GanttView[[#This Row],[_Row]]),WorkWeek,Holidays),N(INDEX(tsk_Duration,GanttView[[#This Row],[_Row]]))))</f>
        <v/>
      </c>
      <c r="E50" s="128" t="str">
        <f aca="false">IF(IFERROR(INDEX(tsk_Name,GanttView[[#This Row],[_Row]])="",TRUE()),"",INDEX(tsk_PlanStart,GanttView[[#This Row],[_Row]]))</f>
        <v/>
      </c>
      <c r="F50" s="128" t="str">
        <f aca="false">IF(IFERROR(INDEX(tsk_Name,GanttView[[#This Row],[_Row]])="",TRUE()),"",INDEX(tsk_PlanFinish,GanttView[[#This Row],[_Row]]))</f>
        <v/>
      </c>
      <c r="G50" s="128" t="str">
        <f aca="false">IF(IFERROR(INDEX(tsk_Name,GanttView[[#This Row],[_Row]])="",TRUE()),"",INDEX(tsk_FcStart,GanttView[[#This Row],[_Row]]))</f>
        <v/>
      </c>
      <c r="H50" s="128" t="str">
        <f aca="false">IF(IFERROR(INDEX(tsk_Name,GanttView[[#This Row],[_Row]])="",TRUE()),"",INDEX(tsk_FcFinish,GanttView[[#This Row],[_Row]]))</f>
        <v/>
      </c>
      <c r="I50" s="129" t="str">
        <f aca="false">IF(IFERROR(INDEX(tsk_Name,GanttView[[#This Row],[_Row]])="",TRUE()),"",INDEX(tsk_Progress,GanttView[[#This Row],[_Row]]))</f>
        <v/>
      </c>
      <c r="J50" s="127" t="str">
        <f aca="false">IF(IFERROR(INDEX(tsk_Name,GanttView[[#This Row],[_Row]])="",TRUE()),"",INDEX(tsk_ResourceNames,GanttView[[#This Row],[_Row]])&amp;"")</f>
        <v/>
      </c>
      <c r="K50" s="126" t="str">
        <f aca="false">IF(IFERROR(INDEX(tsk_Name,GanttView[[#This Row],[_Row]])="",TRUE()),"",INDEX(tsk_Status,GanttView[[#This Row],[_Row]]))</f>
        <v/>
      </c>
      <c r="L50" s="126" t="str">
        <f aca="false">IF(IFERROR(INDEX(tsk_Name,GanttView[[#This Row],[_Row]])="",TRUE()),"",INDEX(tsk_Show,GanttView[[#This Row],[_Row]])&amp;"")</f>
        <v/>
      </c>
      <c r="M50" s="130" t="n">
        <f aca="false">ROW()-ROW(GanttView[[#Headers],[ID]])</f>
        <v>45</v>
      </c>
      <c r="N50" s="131" t="b">
        <f aca="false">IF(IFERROR(INDEX(tsk_Name,GanttView[[#This Row],[_Row]])="",TRUE()),FALSE(),INDEX(tsk_IsSummary,GanttView[[#This Row],[_Row]]))</f>
        <v>0</v>
      </c>
      <c r="O50" s="131" t="b">
        <f aca="false">IF(IFERROR(INDEX(tsk_Name,GanttView[[#This Row],[_Row]])="",TRUE()),FALSE(),AND(INDEX(tsk_IsLeaf,GanttView[[#This Row],[_Row]])=1,N(INDEX(tsk_Duration,GanttView[[#This Row],[_Row]]))=0))</f>
        <v>0</v>
      </c>
      <c r="P50" s="132" t="n">
        <f aca="false">IF(IFERROR(INDEX(tsk_Name,GanttView[[#This Row],[_Row]])="",TRUE()),0,IF(AND(INDEX(tsk_IsLeaf,GanttView[[#This Row],[_Row]])=1,NOT(GanttView[[#This Row],[_IsMilestone]]),N(GanttView[[#This Row],[%]])&gt;0),GanttView[[#This Row],[Forecast Start]],0))</f>
        <v>0</v>
      </c>
      <c r="Q50" s="132" t="n">
        <f aca="false">IF(GanttView[[#This Row],[_DoneFrom]]=0,0,IF(GanttView[[#This Row],[%]]&gt;=1,GanttView[[#This Row],[Forecast Finish]],MAX(GanttView[[#This Row],[_DoneFrom]],GanttView[[#This Row],[Forecast Start]]+ROUND((GanttView[[#This Row],[Forecast Finish]]-GanttView[[#This Row],[Forecast Start]]+1)*GanttView[[#This Row],[%]],0)-1)))</f>
        <v>0</v>
      </c>
      <c r="R50" s="132" t="n">
        <f aca="false">IF(IFERROR(INDEX(tsk_Name,GanttView[[#This Row],[_Row]])="",TRUE()),0,IF(OR(INDEX(tsk_IsLeaf,GanttView[[#This Row],[_Row]])&lt;&gt;1,GanttView[[#This Row],[_IsMilestone]],N(GanttView[[#This Row],[%]])&gt;=1),0,IF(GanttView[[#This Row],[_DoneTo]]&gt;0,GanttView[[#This Row],[_DoneTo]]+1,GanttView[[#This Row],[Forecast Start]])))</f>
        <v>0</v>
      </c>
      <c r="S50" s="132" t="n">
        <f aca="false">IF(GanttView[[#This Row],[_RemFrom]]=0,0,GanttView[[#This Row],[Forecast Finish]])</f>
        <v>0</v>
      </c>
      <c r="T50" s="131" t="b">
        <f aca="false">IF(IFERROR(INDEX(tsk_Name,GanttView[[#This Row],[_Row]])="",TRUE()),FALSE(),N(INDEX(tsk_Variance,GanttView[[#This Row],[_Row]]))&gt;0)</f>
        <v>0</v>
      </c>
      <c r="U50" s="132" t="n">
        <f aca="false">IF(IFERROR(INDEX(tsk_Name,GanttView[[#This Row],[_Row]])="",TRUE()),0,N(INDEX(tsk_Deadline,GanttView[[#This Row],[_Row]])))</f>
        <v>0</v>
      </c>
      <c r="V50" s="131" t="b">
        <f aca="false">IF(IFERROR(INDEX(tsk_Name,GanttView[[#This Row],[_Row]])="",TRUE()),FALSE(),INDEX(tsk_Critical,GanttView[[#This Row],[_Row]])="Yes")</f>
        <v>0</v>
      </c>
    </row>
    <row r="51" customFormat="false" ht="15" hidden="false" customHeight="false" outlineLevel="0" collapsed="false">
      <c r="A51" s="126" t="str">
        <f aca="false">IF(IFERROR(INDEX(tsk_Name,GanttView[[#This Row],[_Row]])="",TRUE()),"",INDEX(tsk_ID,GanttView[[#This Row],[_Row]]))</f>
        <v/>
      </c>
      <c r="B51" s="126" t="str">
        <f aca="false">IF(IFERROR(INDEX(tsk_Name,GanttView[[#This Row],[_Row]])="",TRUE()),"",INDEX(tsk_WBS,GanttView[[#This Row],[_Row]]))</f>
        <v/>
      </c>
      <c r="C51" s="127" t="str">
        <f aca="false">IF(IFERROR(INDEX(tsk_Name,GanttView[[#This Row],[_Row]])="",TRUE()),"",REPT("    ",INDEX(tsk_Level,GanttView[[#This Row],[_Row]])-1)&amp;INDEX(tsk_Name,GanttView[[#This Row],[_Row]]))</f>
        <v/>
      </c>
      <c r="D51" s="126" t="str">
        <f aca="false">IF(IFERROR(INDEX(tsk_Name,GanttView[[#This Row],[_Row]])="",TRUE()),"",IF(INDEX(tsk_IsSummary,GanttView[[#This Row],[_Row]]),NETWORKDAYS.INTL(INDEX(tsk_FcStart,GanttView[[#This Row],[_Row]]),INDEX(tsk_FcFinish,GanttView[[#This Row],[_Row]]),WorkWeek,Holidays),N(INDEX(tsk_Duration,GanttView[[#This Row],[_Row]]))))</f>
        <v/>
      </c>
      <c r="E51" s="128" t="str">
        <f aca="false">IF(IFERROR(INDEX(tsk_Name,GanttView[[#This Row],[_Row]])="",TRUE()),"",INDEX(tsk_PlanStart,GanttView[[#This Row],[_Row]]))</f>
        <v/>
      </c>
      <c r="F51" s="128" t="str">
        <f aca="false">IF(IFERROR(INDEX(tsk_Name,GanttView[[#This Row],[_Row]])="",TRUE()),"",INDEX(tsk_PlanFinish,GanttView[[#This Row],[_Row]]))</f>
        <v/>
      </c>
      <c r="G51" s="128" t="str">
        <f aca="false">IF(IFERROR(INDEX(tsk_Name,GanttView[[#This Row],[_Row]])="",TRUE()),"",INDEX(tsk_FcStart,GanttView[[#This Row],[_Row]]))</f>
        <v/>
      </c>
      <c r="H51" s="128" t="str">
        <f aca="false">IF(IFERROR(INDEX(tsk_Name,GanttView[[#This Row],[_Row]])="",TRUE()),"",INDEX(tsk_FcFinish,GanttView[[#This Row],[_Row]]))</f>
        <v/>
      </c>
      <c r="I51" s="129" t="str">
        <f aca="false">IF(IFERROR(INDEX(tsk_Name,GanttView[[#This Row],[_Row]])="",TRUE()),"",INDEX(tsk_Progress,GanttView[[#This Row],[_Row]]))</f>
        <v/>
      </c>
      <c r="J51" s="127" t="str">
        <f aca="false">IF(IFERROR(INDEX(tsk_Name,GanttView[[#This Row],[_Row]])="",TRUE()),"",INDEX(tsk_ResourceNames,GanttView[[#This Row],[_Row]])&amp;"")</f>
        <v/>
      </c>
      <c r="K51" s="126" t="str">
        <f aca="false">IF(IFERROR(INDEX(tsk_Name,GanttView[[#This Row],[_Row]])="",TRUE()),"",INDEX(tsk_Status,GanttView[[#This Row],[_Row]]))</f>
        <v/>
      </c>
      <c r="L51" s="126" t="str">
        <f aca="false">IF(IFERROR(INDEX(tsk_Name,GanttView[[#This Row],[_Row]])="",TRUE()),"",INDEX(tsk_Show,GanttView[[#This Row],[_Row]])&amp;"")</f>
        <v/>
      </c>
      <c r="M51" s="130" t="n">
        <f aca="false">ROW()-ROW(GanttView[[#Headers],[ID]])</f>
        <v>46</v>
      </c>
      <c r="N51" s="131" t="b">
        <f aca="false">IF(IFERROR(INDEX(tsk_Name,GanttView[[#This Row],[_Row]])="",TRUE()),FALSE(),INDEX(tsk_IsSummary,GanttView[[#This Row],[_Row]]))</f>
        <v>0</v>
      </c>
      <c r="O51" s="131" t="b">
        <f aca="false">IF(IFERROR(INDEX(tsk_Name,GanttView[[#This Row],[_Row]])="",TRUE()),FALSE(),AND(INDEX(tsk_IsLeaf,GanttView[[#This Row],[_Row]])=1,N(INDEX(tsk_Duration,GanttView[[#This Row],[_Row]]))=0))</f>
        <v>0</v>
      </c>
      <c r="P51" s="132" t="n">
        <f aca="false">IF(IFERROR(INDEX(tsk_Name,GanttView[[#This Row],[_Row]])="",TRUE()),0,IF(AND(INDEX(tsk_IsLeaf,GanttView[[#This Row],[_Row]])=1,NOT(GanttView[[#This Row],[_IsMilestone]]),N(GanttView[[#This Row],[%]])&gt;0),GanttView[[#This Row],[Forecast Start]],0))</f>
        <v>0</v>
      </c>
      <c r="Q51" s="132" t="n">
        <f aca="false">IF(GanttView[[#This Row],[_DoneFrom]]=0,0,IF(GanttView[[#This Row],[%]]&gt;=1,GanttView[[#This Row],[Forecast Finish]],MAX(GanttView[[#This Row],[_DoneFrom]],GanttView[[#This Row],[Forecast Start]]+ROUND((GanttView[[#This Row],[Forecast Finish]]-GanttView[[#This Row],[Forecast Start]]+1)*GanttView[[#This Row],[%]],0)-1)))</f>
        <v>0</v>
      </c>
      <c r="R51" s="132" t="n">
        <f aca="false">IF(IFERROR(INDEX(tsk_Name,GanttView[[#This Row],[_Row]])="",TRUE()),0,IF(OR(INDEX(tsk_IsLeaf,GanttView[[#This Row],[_Row]])&lt;&gt;1,GanttView[[#This Row],[_IsMilestone]],N(GanttView[[#This Row],[%]])&gt;=1),0,IF(GanttView[[#This Row],[_DoneTo]]&gt;0,GanttView[[#This Row],[_DoneTo]]+1,GanttView[[#This Row],[Forecast Start]])))</f>
        <v>0</v>
      </c>
      <c r="S51" s="132" t="n">
        <f aca="false">IF(GanttView[[#This Row],[_RemFrom]]=0,0,GanttView[[#This Row],[Forecast Finish]])</f>
        <v>0</v>
      </c>
      <c r="T51" s="131" t="b">
        <f aca="false">IF(IFERROR(INDEX(tsk_Name,GanttView[[#This Row],[_Row]])="",TRUE()),FALSE(),N(INDEX(tsk_Variance,GanttView[[#This Row],[_Row]]))&gt;0)</f>
        <v>0</v>
      </c>
      <c r="U51" s="132" t="n">
        <f aca="false">IF(IFERROR(INDEX(tsk_Name,GanttView[[#This Row],[_Row]])="",TRUE()),0,N(INDEX(tsk_Deadline,GanttView[[#This Row],[_Row]])))</f>
        <v>0</v>
      </c>
      <c r="V51" s="131" t="b">
        <f aca="false">IF(IFERROR(INDEX(tsk_Name,GanttView[[#This Row],[_Row]])="",TRUE()),FALSE(),INDEX(tsk_Critical,GanttView[[#This Row],[_Row]])="Yes")</f>
        <v>0</v>
      </c>
    </row>
    <row r="52" customFormat="false" ht="15" hidden="false" customHeight="false" outlineLevel="0" collapsed="false">
      <c r="A52" s="126" t="str">
        <f aca="false">IF(IFERROR(INDEX(tsk_Name,GanttView[[#This Row],[_Row]])="",TRUE()),"",INDEX(tsk_ID,GanttView[[#This Row],[_Row]]))</f>
        <v/>
      </c>
      <c r="B52" s="126" t="str">
        <f aca="false">IF(IFERROR(INDEX(tsk_Name,GanttView[[#This Row],[_Row]])="",TRUE()),"",INDEX(tsk_WBS,GanttView[[#This Row],[_Row]]))</f>
        <v/>
      </c>
      <c r="C52" s="127" t="str">
        <f aca="false">IF(IFERROR(INDEX(tsk_Name,GanttView[[#This Row],[_Row]])="",TRUE()),"",REPT("    ",INDEX(tsk_Level,GanttView[[#This Row],[_Row]])-1)&amp;INDEX(tsk_Name,GanttView[[#This Row],[_Row]]))</f>
        <v/>
      </c>
      <c r="D52" s="126" t="str">
        <f aca="false">IF(IFERROR(INDEX(tsk_Name,GanttView[[#This Row],[_Row]])="",TRUE()),"",IF(INDEX(tsk_IsSummary,GanttView[[#This Row],[_Row]]),NETWORKDAYS.INTL(INDEX(tsk_FcStart,GanttView[[#This Row],[_Row]]),INDEX(tsk_FcFinish,GanttView[[#This Row],[_Row]]),WorkWeek,Holidays),N(INDEX(tsk_Duration,GanttView[[#This Row],[_Row]]))))</f>
        <v/>
      </c>
      <c r="E52" s="128" t="str">
        <f aca="false">IF(IFERROR(INDEX(tsk_Name,GanttView[[#This Row],[_Row]])="",TRUE()),"",INDEX(tsk_PlanStart,GanttView[[#This Row],[_Row]]))</f>
        <v/>
      </c>
      <c r="F52" s="128" t="str">
        <f aca="false">IF(IFERROR(INDEX(tsk_Name,GanttView[[#This Row],[_Row]])="",TRUE()),"",INDEX(tsk_PlanFinish,GanttView[[#This Row],[_Row]]))</f>
        <v/>
      </c>
      <c r="G52" s="128" t="str">
        <f aca="false">IF(IFERROR(INDEX(tsk_Name,GanttView[[#This Row],[_Row]])="",TRUE()),"",INDEX(tsk_FcStart,GanttView[[#This Row],[_Row]]))</f>
        <v/>
      </c>
      <c r="H52" s="128" t="str">
        <f aca="false">IF(IFERROR(INDEX(tsk_Name,GanttView[[#This Row],[_Row]])="",TRUE()),"",INDEX(tsk_FcFinish,GanttView[[#This Row],[_Row]]))</f>
        <v/>
      </c>
      <c r="I52" s="129" t="str">
        <f aca="false">IF(IFERROR(INDEX(tsk_Name,GanttView[[#This Row],[_Row]])="",TRUE()),"",INDEX(tsk_Progress,GanttView[[#This Row],[_Row]]))</f>
        <v/>
      </c>
      <c r="J52" s="127" t="str">
        <f aca="false">IF(IFERROR(INDEX(tsk_Name,GanttView[[#This Row],[_Row]])="",TRUE()),"",INDEX(tsk_ResourceNames,GanttView[[#This Row],[_Row]])&amp;"")</f>
        <v/>
      </c>
      <c r="K52" s="126" t="str">
        <f aca="false">IF(IFERROR(INDEX(tsk_Name,GanttView[[#This Row],[_Row]])="",TRUE()),"",INDEX(tsk_Status,GanttView[[#This Row],[_Row]]))</f>
        <v/>
      </c>
      <c r="L52" s="126" t="str">
        <f aca="false">IF(IFERROR(INDEX(tsk_Name,GanttView[[#This Row],[_Row]])="",TRUE()),"",INDEX(tsk_Show,GanttView[[#This Row],[_Row]])&amp;"")</f>
        <v/>
      </c>
      <c r="M52" s="130" t="n">
        <f aca="false">ROW()-ROW(GanttView[[#Headers],[ID]])</f>
        <v>47</v>
      </c>
      <c r="N52" s="131" t="b">
        <f aca="false">IF(IFERROR(INDEX(tsk_Name,GanttView[[#This Row],[_Row]])="",TRUE()),FALSE(),INDEX(tsk_IsSummary,GanttView[[#This Row],[_Row]]))</f>
        <v>0</v>
      </c>
      <c r="O52" s="131" t="b">
        <f aca="false">IF(IFERROR(INDEX(tsk_Name,GanttView[[#This Row],[_Row]])="",TRUE()),FALSE(),AND(INDEX(tsk_IsLeaf,GanttView[[#This Row],[_Row]])=1,N(INDEX(tsk_Duration,GanttView[[#This Row],[_Row]]))=0))</f>
        <v>0</v>
      </c>
      <c r="P52" s="132" t="n">
        <f aca="false">IF(IFERROR(INDEX(tsk_Name,GanttView[[#This Row],[_Row]])="",TRUE()),0,IF(AND(INDEX(tsk_IsLeaf,GanttView[[#This Row],[_Row]])=1,NOT(GanttView[[#This Row],[_IsMilestone]]),N(GanttView[[#This Row],[%]])&gt;0),GanttView[[#This Row],[Forecast Start]],0))</f>
        <v>0</v>
      </c>
      <c r="Q52" s="132" t="n">
        <f aca="false">IF(GanttView[[#This Row],[_DoneFrom]]=0,0,IF(GanttView[[#This Row],[%]]&gt;=1,GanttView[[#This Row],[Forecast Finish]],MAX(GanttView[[#This Row],[_DoneFrom]],GanttView[[#This Row],[Forecast Start]]+ROUND((GanttView[[#This Row],[Forecast Finish]]-GanttView[[#This Row],[Forecast Start]]+1)*GanttView[[#This Row],[%]],0)-1)))</f>
        <v>0</v>
      </c>
      <c r="R52" s="132" t="n">
        <f aca="false">IF(IFERROR(INDEX(tsk_Name,GanttView[[#This Row],[_Row]])="",TRUE()),0,IF(OR(INDEX(tsk_IsLeaf,GanttView[[#This Row],[_Row]])&lt;&gt;1,GanttView[[#This Row],[_IsMilestone]],N(GanttView[[#This Row],[%]])&gt;=1),0,IF(GanttView[[#This Row],[_DoneTo]]&gt;0,GanttView[[#This Row],[_DoneTo]]+1,GanttView[[#This Row],[Forecast Start]])))</f>
        <v>0</v>
      </c>
      <c r="S52" s="132" t="n">
        <f aca="false">IF(GanttView[[#This Row],[_RemFrom]]=0,0,GanttView[[#This Row],[Forecast Finish]])</f>
        <v>0</v>
      </c>
      <c r="T52" s="131" t="b">
        <f aca="false">IF(IFERROR(INDEX(tsk_Name,GanttView[[#This Row],[_Row]])="",TRUE()),FALSE(),N(INDEX(tsk_Variance,GanttView[[#This Row],[_Row]]))&gt;0)</f>
        <v>0</v>
      </c>
      <c r="U52" s="132" t="n">
        <f aca="false">IF(IFERROR(INDEX(tsk_Name,GanttView[[#This Row],[_Row]])="",TRUE()),0,N(INDEX(tsk_Deadline,GanttView[[#This Row],[_Row]])))</f>
        <v>0</v>
      </c>
      <c r="V52" s="131" t="b">
        <f aca="false">IF(IFERROR(INDEX(tsk_Name,GanttView[[#This Row],[_Row]])="",TRUE()),FALSE(),INDEX(tsk_Critical,GanttView[[#This Row],[_Row]])="Yes")</f>
        <v>0</v>
      </c>
    </row>
    <row r="53" customFormat="false" ht="15" hidden="false" customHeight="false" outlineLevel="0" collapsed="false">
      <c r="A53" s="126" t="str">
        <f aca="false">IF(IFERROR(INDEX(tsk_Name,GanttView[[#This Row],[_Row]])="",TRUE()),"",INDEX(tsk_ID,GanttView[[#This Row],[_Row]]))</f>
        <v/>
      </c>
      <c r="B53" s="126" t="str">
        <f aca="false">IF(IFERROR(INDEX(tsk_Name,GanttView[[#This Row],[_Row]])="",TRUE()),"",INDEX(tsk_WBS,GanttView[[#This Row],[_Row]]))</f>
        <v/>
      </c>
      <c r="C53" s="127" t="str">
        <f aca="false">IF(IFERROR(INDEX(tsk_Name,GanttView[[#This Row],[_Row]])="",TRUE()),"",REPT("    ",INDEX(tsk_Level,GanttView[[#This Row],[_Row]])-1)&amp;INDEX(tsk_Name,GanttView[[#This Row],[_Row]]))</f>
        <v/>
      </c>
      <c r="D53" s="126" t="str">
        <f aca="false">IF(IFERROR(INDEX(tsk_Name,GanttView[[#This Row],[_Row]])="",TRUE()),"",IF(INDEX(tsk_IsSummary,GanttView[[#This Row],[_Row]]),NETWORKDAYS.INTL(INDEX(tsk_FcStart,GanttView[[#This Row],[_Row]]),INDEX(tsk_FcFinish,GanttView[[#This Row],[_Row]]),WorkWeek,Holidays),N(INDEX(tsk_Duration,GanttView[[#This Row],[_Row]]))))</f>
        <v/>
      </c>
      <c r="E53" s="128" t="str">
        <f aca="false">IF(IFERROR(INDEX(tsk_Name,GanttView[[#This Row],[_Row]])="",TRUE()),"",INDEX(tsk_PlanStart,GanttView[[#This Row],[_Row]]))</f>
        <v/>
      </c>
      <c r="F53" s="128" t="str">
        <f aca="false">IF(IFERROR(INDEX(tsk_Name,GanttView[[#This Row],[_Row]])="",TRUE()),"",INDEX(tsk_PlanFinish,GanttView[[#This Row],[_Row]]))</f>
        <v/>
      </c>
      <c r="G53" s="128" t="str">
        <f aca="false">IF(IFERROR(INDEX(tsk_Name,GanttView[[#This Row],[_Row]])="",TRUE()),"",INDEX(tsk_FcStart,GanttView[[#This Row],[_Row]]))</f>
        <v/>
      </c>
      <c r="H53" s="128" t="str">
        <f aca="false">IF(IFERROR(INDEX(tsk_Name,GanttView[[#This Row],[_Row]])="",TRUE()),"",INDEX(tsk_FcFinish,GanttView[[#This Row],[_Row]]))</f>
        <v/>
      </c>
      <c r="I53" s="129" t="str">
        <f aca="false">IF(IFERROR(INDEX(tsk_Name,GanttView[[#This Row],[_Row]])="",TRUE()),"",INDEX(tsk_Progress,GanttView[[#This Row],[_Row]]))</f>
        <v/>
      </c>
      <c r="J53" s="127" t="str">
        <f aca="false">IF(IFERROR(INDEX(tsk_Name,GanttView[[#This Row],[_Row]])="",TRUE()),"",INDEX(tsk_ResourceNames,GanttView[[#This Row],[_Row]])&amp;"")</f>
        <v/>
      </c>
      <c r="K53" s="126" t="str">
        <f aca="false">IF(IFERROR(INDEX(tsk_Name,GanttView[[#This Row],[_Row]])="",TRUE()),"",INDEX(tsk_Status,GanttView[[#This Row],[_Row]]))</f>
        <v/>
      </c>
      <c r="L53" s="126" t="str">
        <f aca="false">IF(IFERROR(INDEX(tsk_Name,GanttView[[#This Row],[_Row]])="",TRUE()),"",INDEX(tsk_Show,GanttView[[#This Row],[_Row]])&amp;"")</f>
        <v/>
      </c>
      <c r="M53" s="130" t="n">
        <f aca="false">ROW()-ROW(GanttView[[#Headers],[ID]])</f>
        <v>48</v>
      </c>
      <c r="N53" s="131" t="b">
        <f aca="false">IF(IFERROR(INDEX(tsk_Name,GanttView[[#This Row],[_Row]])="",TRUE()),FALSE(),INDEX(tsk_IsSummary,GanttView[[#This Row],[_Row]]))</f>
        <v>0</v>
      </c>
      <c r="O53" s="131" t="b">
        <f aca="false">IF(IFERROR(INDEX(tsk_Name,GanttView[[#This Row],[_Row]])="",TRUE()),FALSE(),AND(INDEX(tsk_IsLeaf,GanttView[[#This Row],[_Row]])=1,N(INDEX(tsk_Duration,GanttView[[#This Row],[_Row]]))=0))</f>
        <v>0</v>
      </c>
      <c r="P53" s="132" t="n">
        <f aca="false">IF(IFERROR(INDEX(tsk_Name,GanttView[[#This Row],[_Row]])="",TRUE()),0,IF(AND(INDEX(tsk_IsLeaf,GanttView[[#This Row],[_Row]])=1,NOT(GanttView[[#This Row],[_IsMilestone]]),N(GanttView[[#This Row],[%]])&gt;0),GanttView[[#This Row],[Forecast Start]],0))</f>
        <v>0</v>
      </c>
      <c r="Q53" s="132" t="n">
        <f aca="false">IF(GanttView[[#This Row],[_DoneFrom]]=0,0,IF(GanttView[[#This Row],[%]]&gt;=1,GanttView[[#This Row],[Forecast Finish]],MAX(GanttView[[#This Row],[_DoneFrom]],GanttView[[#This Row],[Forecast Start]]+ROUND((GanttView[[#This Row],[Forecast Finish]]-GanttView[[#This Row],[Forecast Start]]+1)*GanttView[[#This Row],[%]],0)-1)))</f>
        <v>0</v>
      </c>
      <c r="R53" s="132" t="n">
        <f aca="false">IF(IFERROR(INDEX(tsk_Name,GanttView[[#This Row],[_Row]])="",TRUE()),0,IF(OR(INDEX(tsk_IsLeaf,GanttView[[#This Row],[_Row]])&lt;&gt;1,GanttView[[#This Row],[_IsMilestone]],N(GanttView[[#This Row],[%]])&gt;=1),0,IF(GanttView[[#This Row],[_DoneTo]]&gt;0,GanttView[[#This Row],[_DoneTo]]+1,GanttView[[#This Row],[Forecast Start]])))</f>
        <v>0</v>
      </c>
      <c r="S53" s="132" t="n">
        <f aca="false">IF(GanttView[[#This Row],[_RemFrom]]=0,0,GanttView[[#This Row],[Forecast Finish]])</f>
        <v>0</v>
      </c>
      <c r="T53" s="131" t="b">
        <f aca="false">IF(IFERROR(INDEX(tsk_Name,GanttView[[#This Row],[_Row]])="",TRUE()),FALSE(),N(INDEX(tsk_Variance,GanttView[[#This Row],[_Row]]))&gt;0)</f>
        <v>0</v>
      </c>
      <c r="U53" s="132" t="n">
        <f aca="false">IF(IFERROR(INDEX(tsk_Name,GanttView[[#This Row],[_Row]])="",TRUE()),0,N(INDEX(tsk_Deadline,GanttView[[#This Row],[_Row]])))</f>
        <v>0</v>
      </c>
      <c r="V53" s="131" t="b">
        <f aca="false">IF(IFERROR(INDEX(tsk_Name,GanttView[[#This Row],[_Row]])="",TRUE()),FALSE(),INDEX(tsk_Critical,GanttView[[#This Row],[_Row]])="Yes")</f>
        <v>0</v>
      </c>
    </row>
    <row r="54" customFormat="false" ht="15" hidden="false" customHeight="false" outlineLevel="0" collapsed="false">
      <c r="A54" s="126" t="str">
        <f aca="false">IF(IFERROR(INDEX(tsk_Name,GanttView[[#This Row],[_Row]])="",TRUE()),"",INDEX(tsk_ID,GanttView[[#This Row],[_Row]]))</f>
        <v/>
      </c>
      <c r="B54" s="126" t="str">
        <f aca="false">IF(IFERROR(INDEX(tsk_Name,GanttView[[#This Row],[_Row]])="",TRUE()),"",INDEX(tsk_WBS,GanttView[[#This Row],[_Row]]))</f>
        <v/>
      </c>
      <c r="C54" s="127" t="str">
        <f aca="false">IF(IFERROR(INDEX(tsk_Name,GanttView[[#This Row],[_Row]])="",TRUE()),"",REPT("    ",INDEX(tsk_Level,GanttView[[#This Row],[_Row]])-1)&amp;INDEX(tsk_Name,GanttView[[#This Row],[_Row]]))</f>
        <v/>
      </c>
      <c r="D54" s="126" t="str">
        <f aca="false">IF(IFERROR(INDEX(tsk_Name,GanttView[[#This Row],[_Row]])="",TRUE()),"",IF(INDEX(tsk_IsSummary,GanttView[[#This Row],[_Row]]),NETWORKDAYS.INTL(INDEX(tsk_FcStart,GanttView[[#This Row],[_Row]]),INDEX(tsk_FcFinish,GanttView[[#This Row],[_Row]]),WorkWeek,Holidays),N(INDEX(tsk_Duration,GanttView[[#This Row],[_Row]]))))</f>
        <v/>
      </c>
      <c r="E54" s="128" t="str">
        <f aca="false">IF(IFERROR(INDEX(tsk_Name,GanttView[[#This Row],[_Row]])="",TRUE()),"",INDEX(tsk_PlanStart,GanttView[[#This Row],[_Row]]))</f>
        <v/>
      </c>
      <c r="F54" s="128" t="str">
        <f aca="false">IF(IFERROR(INDEX(tsk_Name,GanttView[[#This Row],[_Row]])="",TRUE()),"",INDEX(tsk_PlanFinish,GanttView[[#This Row],[_Row]]))</f>
        <v/>
      </c>
      <c r="G54" s="128" t="str">
        <f aca="false">IF(IFERROR(INDEX(tsk_Name,GanttView[[#This Row],[_Row]])="",TRUE()),"",INDEX(tsk_FcStart,GanttView[[#This Row],[_Row]]))</f>
        <v/>
      </c>
      <c r="H54" s="128" t="str">
        <f aca="false">IF(IFERROR(INDEX(tsk_Name,GanttView[[#This Row],[_Row]])="",TRUE()),"",INDEX(tsk_FcFinish,GanttView[[#This Row],[_Row]]))</f>
        <v/>
      </c>
      <c r="I54" s="129" t="str">
        <f aca="false">IF(IFERROR(INDEX(tsk_Name,GanttView[[#This Row],[_Row]])="",TRUE()),"",INDEX(tsk_Progress,GanttView[[#This Row],[_Row]]))</f>
        <v/>
      </c>
      <c r="J54" s="127" t="str">
        <f aca="false">IF(IFERROR(INDEX(tsk_Name,GanttView[[#This Row],[_Row]])="",TRUE()),"",INDEX(tsk_ResourceNames,GanttView[[#This Row],[_Row]])&amp;"")</f>
        <v/>
      </c>
      <c r="K54" s="126" t="str">
        <f aca="false">IF(IFERROR(INDEX(tsk_Name,GanttView[[#This Row],[_Row]])="",TRUE()),"",INDEX(tsk_Status,GanttView[[#This Row],[_Row]]))</f>
        <v/>
      </c>
      <c r="L54" s="126" t="str">
        <f aca="false">IF(IFERROR(INDEX(tsk_Name,GanttView[[#This Row],[_Row]])="",TRUE()),"",INDEX(tsk_Show,GanttView[[#This Row],[_Row]])&amp;"")</f>
        <v/>
      </c>
      <c r="M54" s="130" t="n">
        <f aca="false">ROW()-ROW(GanttView[[#Headers],[ID]])</f>
        <v>49</v>
      </c>
      <c r="N54" s="131" t="b">
        <f aca="false">IF(IFERROR(INDEX(tsk_Name,GanttView[[#This Row],[_Row]])="",TRUE()),FALSE(),INDEX(tsk_IsSummary,GanttView[[#This Row],[_Row]]))</f>
        <v>0</v>
      </c>
      <c r="O54" s="131" t="b">
        <f aca="false">IF(IFERROR(INDEX(tsk_Name,GanttView[[#This Row],[_Row]])="",TRUE()),FALSE(),AND(INDEX(tsk_IsLeaf,GanttView[[#This Row],[_Row]])=1,N(INDEX(tsk_Duration,GanttView[[#This Row],[_Row]]))=0))</f>
        <v>0</v>
      </c>
      <c r="P54" s="132" t="n">
        <f aca="false">IF(IFERROR(INDEX(tsk_Name,GanttView[[#This Row],[_Row]])="",TRUE()),0,IF(AND(INDEX(tsk_IsLeaf,GanttView[[#This Row],[_Row]])=1,NOT(GanttView[[#This Row],[_IsMilestone]]),N(GanttView[[#This Row],[%]])&gt;0),GanttView[[#This Row],[Forecast Start]],0))</f>
        <v>0</v>
      </c>
      <c r="Q54" s="132" t="n">
        <f aca="false">IF(GanttView[[#This Row],[_DoneFrom]]=0,0,IF(GanttView[[#This Row],[%]]&gt;=1,GanttView[[#This Row],[Forecast Finish]],MAX(GanttView[[#This Row],[_DoneFrom]],GanttView[[#This Row],[Forecast Start]]+ROUND((GanttView[[#This Row],[Forecast Finish]]-GanttView[[#This Row],[Forecast Start]]+1)*GanttView[[#This Row],[%]],0)-1)))</f>
        <v>0</v>
      </c>
      <c r="R54" s="132" t="n">
        <f aca="false">IF(IFERROR(INDEX(tsk_Name,GanttView[[#This Row],[_Row]])="",TRUE()),0,IF(OR(INDEX(tsk_IsLeaf,GanttView[[#This Row],[_Row]])&lt;&gt;1,GanttView[[#This Row],[_IsMilestone]],N(GanttView[[#This Row],[%]])&gt;=1),0,IF(GanttView[[#This Row],[_DoneTo]]&gt;0,GanttView[[#This Row],[_DoneTo]]+1,GanttView[[#This Row],[Forecast Start]])))</f>
        <v>0</v>
      </c>
      <c r="S54" s="132" t="n">
        <f aca="false">IF(GanttView[[#This Row],[_RemFrom]]=0,0,GanttView[[#This Row],[Forecast Finish]])</f>
        <v>0</v>
      </c>
      <c r="T54" s="131" t="b">
        <f aca="false">IF(IFERROR(INDEX(tsk_Name,GanttView[[#This Row],[_Row]])="",TRUE()),FALSE(),N(INDEX(tsk_Variance,GanttView[[#This Row],[_Row]]))&gt;0)</f>
        <v>0</v>
      </c>
      <c r="U54" s="132" t="n">
        <f aca="false">IF(IFERROR(INDEX(tsk_Name,GanttView[[#This Row],[_Row]])="",TRUE()),0,N(INDEX(tsk_Deadline,GanttView[[#This Row],[_Row]])))</f>
        <v>0</v>
      </c>
      <c r="V54" s="131" t="b">
        <f aca="false">IF(IFERROR(INDEX(tsk_Name,GanttView[[#This Row],[_Row]])="",TRUE()),FALSE(),INDEX(tsk_Critical,GanttView[[#This Row],[_Row]])="Yes")</f>
        <v>0</v>
      </c>
    </row>
    <row r="55" customFormat="false" ht="15" hidden="false" customHeight="false" outlineLevel="0" collapsed="false">
      <c r="A55" s="126" t="str">
        <f aca="false">IF(IFERROR(INDEX(tsk_Name,GanttView[[#This Row],[_Row]])="",TRUE()),"",INDEX(tsk_ID,GanttView[[#This Row],[_Row]]))</f>
        <v/>
      </c>
      <c r="B55" s="126" t="str">
        <f aca="false">IF(IFERROR(INDEX(tsk_Name,GanttView[[#This Row],[_Row]])="",TRUE()),"",INDEX(tsk_WBS,GanttView[[#This Row],[_Row]]))</f>
        <v/>
      </c>
      <c r="C55" s="127" t="str">
        <f aca="false">IF(IFERROR(INDEX(tsk_Name,GanttView[[#This Row],[_Row]])="",TRUE()),"",REPT("    ",INDEX(tsk_Level,GanttView[[#This Row],[_Row]])-1)&amp;INDEX(tsk_Name,GanttView[[#This Row],[_Row]]))</f>
        <v/>
      </c>
      <c r="D55" s="126" t="str">
        <f aca="false">IF(IFERROR(INDEX(tsk_Name,GanttView[[#This Row],[_Row]])="",TRUE()),"",IF(INDEX(tsk_IsSummary,GanttView[[#This Row],[_Row]]),NETWORKDAYS.INTL(INDEX(tsk_FcStart,GanttView[[#This Row],[_Row]]),INDEX(tsk_FcFinish,GanttView[[#This Row],[_Row]]),WorkWeek,Holidays),N(INDEX(tsk_Duration,GanttView[[#This Row],[_Row]]))))</f>
        <v/>
      </c>
      <c r="E55" s="128" t="str">
        <f aca="false">IF(IFERROR(INDEX(tsk_Name,GanttView[[#This Row],[_Row]])="",TRUE()),"",INDEX(tsk_PlanStart,GanttView[[#This Row],[_Row]]))</f>
        <v/>
      </c>
      <c r="F55" s="128" t="str">
        <f aca="false">IF(IFERROR(INDEX(tsk_Name,GanttView[[#This Row],[_Row]])="",TRUE()),"",INDEX(tsk_PlanFinish,GanttView[[#This Row],[_Row]]))</f>
        <v/>
      </c>
      <c r="G55" s="128" t="str">
        <f aca="false">IF(IFERROR(INDEX(tsk_Name,GanttView[[#This Row],[_Row]])="",TRUE()),"",INDEX(tsk_FcStart,GanttView[[#This Row],[_Row]]))</f>
        <v/>
      </c>
      <c r="H55" s="128" t="str">
        <f aca="false">IF(IFERROR(INDEX(tsk_Name,GanttView[[#This Row],[_Row]])="",TRUE()),"",INDEX(tsk_FcFinish,GanttView[[#This Row],[_Row]]))</f>
        <v/>
      </c>
      <c r="I55" s="129" t="str">
        <f aca="false">IF(IFERROR(INDEX(tsk_Name,GanttView[[#This Row],[_Row]])="",TRUE()),"",INDEX(tsk_Progress,GanttView[[#This Row],[_Row]]))</f>
        <v/>
      </c>
      <c r="J55" s="127" t="str">
        <f aca="false">IF(IFERROR(INDEX(tsk_Name,GanttView[[#This Row],[_Row]])="",TRUE()),"",INDEX(tsk_ResourceNames,GanttView[[#This Row],[_Row]])&amp;"")</f>
        <v/>
      </c>
      <c r="K55" s="126" t="str">
        <f aca="false">IF(IFERROR(INDEX(tsk_Name,GanttView[[#This Row],[_Row]])="",TRUE()),"",INDEX(tsk_Status,GanttView[[#This Row],[_Row]]))</f>
        <v/>
      </c>
      <c r="L55" s="126" t="str">
        <f aca="false">IF(IFERROR(INDEX(tsk_Name,GanttView[[#This Row],[_Row]])="",TRUE()),"",INDEX(tsk_Show,GanttView[[#This Row],[_Row]])&amp;"")</f>
        <v/>
      </c>
      <c r="M55" s="130" t="n">
        <f aca="false">ROW()-ROW(GanttView[[#Headers],[ID]])</f>
        <v>50</v>
      </c>
      <c r="N55" s="131" t="b">
        <f aca="false">IF(IFERROR(INDEX(tsk_Name,GanttView[[#This Row],[_Row]])="",TRUE()),FALSE(),INDEX(tsk_IsSummary,GanttView[[#This Row],[_Row]]))</f>
        <v>0</v>
      </c>
      <c r="O55" s="131" t="b">
        <f aca="false">IF(IFERROR(INDEX(tsk_Name,GanttView[[#This Row],[_Row]])="",TRUE()),FALSE(),AND(INDEX(tsk_IsLeaf,GanttView[[#This Row],[_Row]])=1,N(INDEX(tsk_Duration,GanttView[[#This Row],[_Row]]))=0))</f>
        <v>0</v>
      </c>
      <c r="P55" s="132" t="n">
        <f aca="false">IF(IFERROR(INDEX(tsk_Name,GanttView[[#This Row],[_Row]])="",TRUE()),0,IF(AND(INDEX(tsk_IsLeaf,GanttView[[#This Row],[_Row]])=1,NOT(GanttView[[#This Row],[_IsMilestone]]),N(GanttView[[#This Row],[%]])&gt;0),GanttView[[#This Row],[Forecast Start]],0))</f>
        <v>0</v>
      </c>
      <c r="Q55" s="132" t="n">
        <f aca="false">IF(GanttView[[#This Row],[_DoneFrom]]=0,0,IF(GanttView[[#This Row],[%]]&gt;=1,GanttView[[#This Row],[Forecast Finish]],MAX(GanttView[[#This Row],[_DoneFrom]],GanttView[[#This Row],[Forecast Start]]+ROUND((GanttView[[#This Row],[Forecast Finish]]-GanttView[[#This Row],[Forecast Start]]+1)*GanttView[[#This Row],[%]],0)-1)))</f>
        <v>0</v>
      </c>
      <c r="R55" s="132" t="n">
        <f aca="false">IF(IFERROR(INDEX(tsk_Name,GanttView[[#This Row],[_Row]])="",TRUE()),0,IF(OR(INDEX(tsk_IsLeaf,GanttView[[#This Row],[_Row]])&lt;&gt;1,GanttView[[#This Row],[_IsMilestone]],N(GanttView[[#This Row],[%]])&gt;=1),0,IF(GanttView[[#This Row],[_DoneTo]]&gt;0,GanttView[[#This Row],[_DoneTo]]+1,GanttView[[#This Row],[Forecast Start]])))</f>
        <v>0</v>
      </c>
      <c r="S55" s="132" t="n">
        <f aca="false">IF(GanttView[[#This Row],[_RemFrom]]=0,0,GanttView[[#This Row],[Forecast Finish]])</f>
        <v>0</v>
      </c>
      <c r="T55" s="131" t="b">
        <f aca="false">IF(IFERROR(INDEX(tsk_Name,GanttView[[#This Row],[_Row]])="",TRUE()),FALSE(),N(INDEX(tsk_Variance,GanttView[[#This Row],[_Row]]))&gt;0)</f>
        <v>0</v>
      </c>
      <c r="U55" s="132" t="n">
        <f aca="false">IF(IFERROR(INDEX(tsk_Name,GanttView[[#This Row],[_Row]])="",TRUE()),0,N(INDEX(tsk_Deadline,GanttView[[#This Row],[_Row]])))</f>
        <v>0</v>
      </c>
      <c r="V55" s="131" t="b">
        <f aca="false">IF(IFERROR(INDEX(tsk_Name,GanttView[[#This Row],[_Row]])="",TRUE()),FALSE(),INDEX(tsk_Critical,GanttView[[#This Row],[_Row]])="Yes")</f>
        <v>0</v>
      </c>
    </row>
    <row r="56" customFormat="false" ht="15" hidden="false" customHeight="false" outlineLevel="0" collapsed="false">
      <c r="A56" s="126" t="str">
        <f aca="false">IF(IFERROR(INDEX(tsk_Name,GanttView[[#This Row],[_Row]])="",TRUE()),"",INDEX(tsk_ID,GanttView[[#This Row],[_Row]]))</f>
        <v/>
      </c>
      <c r="B56" s="126" t="str">
        <f aca="false">IF(IFERROR(INDEX(tsk_Name,GanttView[[#This Row],[_Row]])="",TRUE()),"",INDEX(tsk_WBS,GanttView[[#This Row],[_Row]]))</f>
        <v/>
      </c>
      <c r="C56" s="127" t="str">
        <f aca="false">IF(IFERROR(INDEX(tsk_Name,GanttView[[#This Row],[_Row]])="",TRUE()),"",REPT("    ",INDEX(tsk_Level,GanttView[[#This Row],[_Row]])-1)&amp;INDEX(tsk_Name,GanttView[[#This Row],[_Row]]))</f>
        <v/>
      </c>
      <c r="D56" s="126" t="str">
        <f aca="false">IF(IFERROR(INDEX(tsk_Name,GanttView[[#This Row],[_Row]])="",TRUE()),"",IF(INDEX(tsk_IsSummary,GanttView[[#This Row],[_Row]]),NETWORKDAYS.INTL(INDEX(tsk_FcStart,GanttView[[#This Row],[_Row]]),INDEX(tsk_FcFinish,GanttView[[#This Row],[_Row]]),WorkWeek,Holidays),N(INDEX(tsk_Duration,GanttView[[#This Row],[_Row]]))))</f>
        <v/>
      </c>
      <c r="E56" s="128" t="str">
        <f aca="false">IF(IFERROR(INDEX(tsk_Name,GanttView[[#This Row],[_Row]])="",TRUE()),"",INDEX(tsk_PlanStart,GanttView[[#This Row],[_Row]]))</f>
        <v/>
      </c>
      <c r="F56" s="128" t="str">
        <f aca="false">IF(IFERROR(INDEX(tsk_Name,GanttView[[#This Row],[_Row]])="",TRUE()),"",INDEX(tsk_PlanFinish,GanttView[[#This Row],[_Row]]))</f>
        <v/>
      </c>
      <c r="G56" s="128" t="str">
        <f aca="false">IF(IFERROR(INDEX(tsk_Name,GanttView[[#This Row],[_Row]])="",TRUE()),"",INDEX(tsk_FcStart,GanttView[[#This Row],[_Row]]))</f>
        <v/>
      </c>
      <c r="H56" s="128" t="str">
        <f aca="false">IF(IFERROR(INDEX(tsk_Name,GanttView[[#This Row],[_Row]])="",TRUE()),"",INDEX(tsk_FcFinish,GanttView[[#This Row],[_Row]]))</f>
        <v/>
      </c>
      <c r="I56" s="129" t="str">
        <f aca="false">IF(IFERROR(INDEX(tsk_Name,GanttView[[#This Row],[_Row]])="",TRUE()),"",INDEX(tsk_Progress,GanttView[[#This Row],[_Row]]))</f>
        <v/>
      </c>
      <c r="J56" s="127" t="str">
        <f aca="false">IF(IFERROR(INDEX(tsk_Name,GanttView[[#This Row],[_Row]])="",TRUE()),"",INDEX(tsk_ResourceNames,GanttView[[#This Row],[_Row]])&amp;"")</f>
        <v/>
      </c>
      <c r="K56" s="126" t="str">
        <f aca="false">IF(IFERROR(INDEX(tsk_Name,GanttView[[#This Row],[_Row]])="",TRUE()),"",INDEX(tsk_Status,GanttView[[#This Row],[_Row]]))</f>
        <v/>
      </c>
      <c r="L56" s="126" t="str">
        <f aca="false">IF(IFERROR(INDEX(tsk_Name,GanttView[[#This Row],[_Row]])="",TRUE()),"",INDEX(tsk_Show,GanttView[[#This Row],[_Row]])&amp;"")</f>
        <v/>
      </c>
      <c r="M56" s="130" t="n">
        <f aca="false">ROW()-ROW(GanttView[[#Headers],[ID]])</f>
        <v>51</v>
      </c>
      <c r="N56" s="131" t="b">
        <f aca="false">IF(IFERROR(INDEX(tsk_Name,GanttView[[#This Row],[_Row]])="",TRUE()),FALSE(),INDEX(tsk_IsSummary,GanttView[[#This Row],[_Row]]))</f>
        <v>0</v>
      </c>
      <c r="O56" s="131" t="b">
        <f aca="false">IF(IFERROR(INDEX(tsk_Name,GanttView[[#This Row],[_Row]])="",TRUE()),FALSE(),AND(INDEX(tsk_IsLeaf,GanttView[[#This Row],[_Row]])=1,N(INDEX(tsk_Duration,GanttView[[#This Row],[_Row]]))=0))</f>
        <v>0</v>
      </c>
      <c r="P56" s="132" t="n">
        <f aca="false">IF(IFERROR(INDEX(tsk_Name,GanttView[[#This Row],[_Row]])="",TRUE()),0,IF(AND(INDEX(tsk_IsLeaf,GanttView[[#This Row],[_Row]])=1,NOT(GanttView[[#This Row],[_IsMilestone]]),N(GanttView[[#This Row],[%]])&gt;0),GanttView[[#This Row],[Forecast Start]],0))</f>
        <v>0</v>
      </c>
      <c r="Q56" s="132" t="n">
        <f aca="false">IF(GanttView[[#This Row],[_DoneFrom]]=0,0,IF(GanttView[[#This Row],[%]]&gt;=1,GanttView[[#This Row],[Forecast Finish]],MAX(GanttView[[#This Row],[_DoneFrom]],GanttView[[#This Row],[Forecast Start]]+ROUND((GanttView[[#This Row],[Forecast Finish]]-GanttView[[#This Row],[Forecast Start]]+1)*GanttView[[#This Row],[%]],0)-1)))</f>
        <v>0</v>
      </c>
      <c r="R56" s="132" t="n">
        <f aca="false">IF(IFERROR(INDEX(tsk_Name,GanttView[[#This Row],[_Row]])="",TRUE()),0,IF(OR(INDEX(tsk_IsLeaf,GanttView[[#This Row],[_Row]])&lt;&gt;1,GanttView[[#This Row],[_IsMilestone]],N(GanttView[[#This Row],[%]])&gt;=1),0,IF(GanttView[[#This Row],[_DoneTo]]&gt;0,GanttView[[#This Row],[_DoneTo]]+1,GanttView[[#This Row],[Forecast Start]])))</f>
        <v>0</v>
      </c>
      <c r="S56" s="132" t="n">
        <f aca="false">IF(GanttView[[#This Row],[_RemFrom]]=0,0,GanttView[[#This Row],[Forecast Finish]])</f>
        <v>0</v>
      </c>
      <c r="T56" s="131" t="b">
        <f aca="false">IF(IFERROR(INDEX(tsk_Name,GanttView[[#This Row],[_Row]])="",TRUE()),FALSE(),N(INDEX(tsk_Variance,GanttView[[#This Row],[_Row]]))&gt;0)</f>
        <v>0</v>
      </c>
      <c r="U56" s="132" t="n">
        <f aca="false">IF(IFERROR(INDEX(tsk_Name,GanttView[[#This Row],[_Row]])="",TRUE()),0,N(INDEX(tsk_Deadline,GanttView[[#This Row],[_Row]])))</f>
        <v>0</v>
      </c>
      <c r="V56" s="131" t="b">
        <f aca="false">IF(IFERROR(INDEX(tsk_Name,GanttView[[#This Row],[_Row]])="",TRUE()),FALSE(),INDEX(tsk_Critical,GanttView[[#This Row],[_Row]])="Yes")</f>
        <v>0</v>
      </c>
    </row>
    <row r="57" customFormat="false" ht="15" hidden="false" customHeight="false" outlineLevel="0" collapsed="false">
      <c r="A57" s="126" t="str">
        <f aca="false">IF(IFERROR(INDEX(tsk_Name,GanttView[[#This Row],[_Row]])="",TRUE()),"",INDEX(tsk_ID,GanttView[[#This Row],[_Row]]))</f>
        <v/>
      </c>
      <c r="B57" s="126" t="str">
        <f aca="false">IF(IFERROR(INDEX(tsk_Name,GanttView[[#This Row],[_Row]])="",TRUE()),"",INDEX(tsk_WBS,GanttView[[#This Row],[_Row]]))</f>
        <v/>
      </c>
      <c r="C57" s="127" t="str">
        <f aca="false">IF(IFERROR(INDEX(tsk_Name,GanttView[[#This Row],[_Row]])="",TRUE()),"",REPT("    ",INDEX(tsk_Level,GanttView[[#This Row],[_Row]])-1)&amp;INDEX(tsk_Name,GanttView[[#This Row],[_Row]]))</f>
        <v/>
      </c>
      <c r="D57" s="126" t="str">
        <f aca="false">IF(IFERROR(INDEX(tsk_Name,GanttView[[#This Row],[_Row]])="",TRUE()),"",IF(INDEX(tsk_IsSummary,GanttView[[#This Row],[_Row]]),NETWORKDAYS.INTL(INDEX(tsk_FcStart,GanttView[[#This Row],[_Row]]),INDEX(tsk_FcFinish,GanttView[[#This Row],[_Row]]),WorkWeek,Holidays),N(INDEX(tsk_Duration,GanttView[[#This Row],[_Row]]))))</f>
        <v/>
      </c>
      <c r="E57" s="128" t="str">
        <f aca="false">IF(IFERROR(INDEX(tsk_Name,GanttView[[#This Row],[_Row]])="",TRUE()),"",INDEX(tsk_PlanStart,GanttView[[#This Row],[_Row]]))</f>
        <v/>
      </c>
      <c r="F57" s="128" t="str">
        <f aca="false">IF(IFERROR(INDEX(tsk_Name,GanttView[[#This Row],[_Row]])="",TRUE()),"",INDEX(tsk_PlanFinish,GanttView[[#This Row],[_Row]]))</f>
        <v/>
      </c>
      <c r="G57" s="128" t="str">
        <f aca="false">IF(IFERROR(INDEX(tsk_Name,GanttView[[#This Row],[_Row]])="",TRUE()),"",INDEX(tsk_FcStart,GanttView[[#This Row],[_Row]]))</f>
        <v/>
      </c>
      <c r="H57" s="128" t="str">
        <f aca="false">IF(IFERROR(INDEX(tsk_Name,GanttView[[#This Row],[_Row]])="",TRUE()),"",INDEX(tsk_FcFinish,GanttView[[#This Row],[_Row]]))</f>
        <v/>
      </c>
      <c r="I57" s="129" t="str">
        <f aca="false">IF(IFERROR(INDEX(tsk_Name,GanttView[[#This Row],[_Row]])="",TRUE()),"",INDEX(tsk_Progress,GanttView[[#This Row],[_Row]]))</f>
        <v/>
      </c>
      <c r="J57" s="127" t="str">
        <f aca="false">IF(IFERROR(INDEX(tsk_Name,GanttView[[#This Row],[_Row]])="",TRUE()),"",INDEX(tsk_ResourceNames,GanttView[[#This Row],[_Row]])&amp;"")</f>
        <v/>
      </c>
      <c r="K57" s="126" t="str">
        <f aca="false">IF(IFERROR(INDEX(tsk_Name,GanttView[[#This Row],[_Row]])="",TRUE()),"",INDEX(tsk_Status,GanttView[[#This Row],[_Row]]))</f>
        <v/>
      </c>
      <c r="L57" s="126" t="str">
        <f aca="false">IF(IFERROR(INDEX(tsk_Name,GanttView[[#This Row],[_Row]])="",TRUE()),"",INDEX(tsk_Show,GanttView[[#This Row],[_Row]])&amp;"")</f>
        <v/>
      </c>
      <c r="M57" s="130" t="n">
        <f aca="false">ROW()-ROW(GanttView[[#Headers],[ID]])</f>
        <v>52</v>
      </c>
      <c r="N57" s="131" t="b">
        <f aca="false">IF(IFERROR(INDEX(tsk_Name,GanttView[[#This Row],[_Row]])="",TRUE()),FALSE(),INDEX(tsk_IsSummary,GanttView[[#This Row],[_Row]]))</f>
        <v>0</v>
      </c>
      <c r="O57" s="131" t="b">
        <f aca="false">IF(IFERROR(INDEX(tsk_Name,GanttView[[#This Row],[_Row]])="",TRUE()),FALSE(),AND(INDEX(tsk_IsLeaf,GanttView[[#This Row],[_Row]])=1,N(INDEX(tsk_Duration,GanttView[[#This Row],[_Row]]))=0))</f>
        <v>0</v>
      </c>
      <c r="P57" s="132" t="n">
        <f aca="false">IF(IFERROR(INDEX(tsk_Name,GanttView[[#This Row],[_Row]])="",TRUE()),0,IF(AND(INDEX(tsk_IsLeaf,GanttView[[#This Row],[_Row]])=1,NOT(GanttView[[#This Row],[_IsMilestone]]),N(GanttView[[#This Row],[%]])&gt;0),GanttView[[#This Row],[Forecast Start]],0))</f>
        <v>0</v>
      </c>
      <c r="Q57" s="132" t="n">
        <f aca="false">IF(GanttView[[#This Row],[_DoneFrom]]=0,0,IF(GanttView[[#This Row],[%]]&gt;=1,GanttView[[#This Row],[Forecast Finish]],MAX(GanttView[[#This Row],[_DoneFrom]],GanttView[[#This Row],[Forecast Start]]+ROUND((GanttView[[#This Row],[Forecast Finish]]-GanttView[[#This Row],[Forecast Start]]+1)*GanttView[[#This Row],[%]],0)-1)))</f>
        <v>0</v>
      </c>
      <c r="R57" s="132" t="n">
        <f aca="false">IF(IFERROR(INDEX(tsk_Name,GanttView[[#This Row],[_Row]])="",TRUE()),0,IF(OR(INDEX(tsk_IsLeaf,GanttView[[#This Row],[_Row]])&lt;&gt;1,GanttView[[#This Row],[_IsMilestone]],N(GanttView[[#This Row],[%]])&gt;=1),0,IF(GanttView[[#This Row],[_DoneTo]]&gt;0,GanttView[[#This Row],[_DoneTo]]+1,GanttView[[#This Row],[Forecast Start]])))</f>
        <v>0</v>
      </c>
      <c r="S57" s="132" t="n">
        <f aca="false">IF(GanttView[[#This Row],[_RemFrom]]=0,0,GanttView[[#This Row],[Forecast Finish]])</f>
        <v>0</v>
      </c>
      <c r="T57" s="131" t="b">
        <f aca="false">IF(IFERROR(INDEX(tsk_Name,GanttView[[#This Row],[_Row]])="",TRUE()),FALSE(),N(INDEX(tsk_Variance,GanttView[[#This Row],[_Row]]))&gt;0)</f>
        <v>0</v>
      </c>
      <c r="U57" s="132" t="n">
        <f aca="false">IF(IFERROR(INDEX(tsk_Name,GanttView[[#This Row],[_Row]])="",TRUE()),0,N(INDEX(tsk_Deadline,GanttView[[#This Row],[_Row]])))</f>
        <v>0</v>
      </c>
      <c r="V57" s="131" t="b">
        <f aca="false">IF(IFERROR(INDEX(tsk_Name,GanttView[[#This Row],[_Row]])="",TRUE()),FALSE(),INDEX(tsk_Critical,GanttView[[#This Row],[_Row]])="Yes")</f>
        <v>0</v>
      </c>
    </row>
    <row r="58" customFormat="false" ht="15" hidden="false" customHeight="false" outlineLevel="0" collapsed="false">
      <c r="A58" s="126" t="str">
        <f aca="false">IF(IFERROR(INDEX(tsk_Name,GanttView[[#This Row],[_Row]])="",TRUE()),"",INDEX(tsk_ID,GanttView[[#This Row],[_Row]]))</f>
        <v/>
      </c>
      <c r="B58" s="126" t="str">
        <f aca="false">IF(IFERROR(INDEX(tsk_Name,GanttView[[#This Row],[_Row]])="",TRUE()),"",INDEX(tsk_WBS,GanttView[[#This Row],[_Row]]))</f>
        <v/>
      </c>
      <c r="C58" s="127" t="str">
        <f aca="false">IF(IFERROR(INDEX(tsk_Name,GanttView[[#This Row],[_Row]])="",TRUE()),"",REPT("    ",INDEX(tsk_Level,GanttView[[#This Row],[_Row]])-1)&amp;INDEX(tsk_Name,GanttView[[#This Row],[_Row]]))</f>
        <v/>
      </c>
      <c r="D58" s="126" t="str">
        <f aca="false">IF(IFERROR(INDEX(tsk_Name,GanttView[[#This Row],[_Row]])="",TRUE()),"",IF(INDEX(tsk_IsSummary,GanttView[[#This Row],[_Row]]),NETWORKDAYS.INTL(INDEX(tsk_FcStart,GanttView[[#This Row],[_Row]]),INDEX(tsk_FcFinish,GanttView[[#This Row],[_Row]]),WorkWeek,Holidays),N(INDEX(tsk_Duration,GanttView[[#This Row],[_Row]]))))</f>
        <v/>
      </c>
      <c r="E58" s="128" t="str">
        <f aca="false">IF(IFERROR(INDEX(tsk_Name,GanttView[[#This Row],[_Row]])="",TRUE()),"",INDEX(tsk_PlanStart,GanttView[[#This Row],[_Row]]))</f>
        <v/>
      </c>
      <c r="F58" s="128" t="str">
        <f aca="false">IF(IFERROR(INDEX(tsk_Name,GanttView[[#This Row],[_Row]])="",TRUE()),"",INDEX(tsk_PlanFinish,GanttView[[#This Row],[_Row]]))</f>
        <v/>
      </c>
      <c r="G58" s="128" t="str">
        <f aca="false">IF(IFERROR(INDEX(tsk_Name,GanttView[[#This Row],[_Row]])="",TRUE()),"",INDEX(tsk_FcStart,GanttView[[#This Row],[_Row]]))</f>
        <v/>
      </c>
      <c r="H58" s="128" t="str">
        <f aca="false">IF(IFERROR(INDEX(tsk_Name,GanttView[[#This Row],[_Row]])="",TRUE()),"",INDEX(tsk_FcFinish,GanttView[[#This Row],[_Row]]))</f>
        <v/>
      </c>
      <c r="I58" s="129" t="str">
        <f aca="false">IF(IFERROR(INDEX(tsk_Name,GanttView[[#This Row],[_Row]])="",TRUE()),"",INDEX(tsk_Progress,GanttView[[#This Row],[_Row]]))</f>
        <v/>
      </c>
      <c r="J58" s="127" t="str">
        <f aca="false">IF(IFERROR(INDEX(tsk_Name,GanttView[[#This Row],[_Row]])="",TRUE()),"",INDEX(tsk_ResourceNames,GanttView[[#This Row],[_Row]])&amp;"")</f>
        <v/>
      </c>
      <c r="K58" s="126" t="str">
        <f aca="false">IF(IFERROR(INDEX(tsk_Name,GanttView[[#This Row],[_Row]])="",TRUE()),"",INDEX(tsk_Status,GanttView[[#This Row],[_Row]]))</f>
        <v/>
      </c>
      <c r="L58" s="126" t="str">
        <f aca="false">IF(IFERROR(INDEX(tsk_Name,GanttView[[#This Row],[_Row]])="",TRUE()),"",INDEX(tsk_Show,GanttView[[#This Row],[_Row]])&amp;"")</f>
        <v/>
      </c>
      <c r="M58" s="130" t="n">
        <f aca="false">ROW()-ROW(GanttView[[#Headers],[ID]])</f>
        <v>53</v>
      </c>
      <c r="N58" s="131" t="b">
        <f aca="false">IF(IFERROR(INDEX(tsk_Name,GanttView[[#This Row],[_Row]])="",TRUE()),FALSE(),INDEX(tsk_IsSummary,GanttView[[#This Row],[_Row]]))</f>
        <v>0</v>
      </c>
      <c r="O58" s="131" t="b">
        <f aca="false">IF(IFERROR(INDEX(tsk_Name,GanttView[[#This Row],[_Row]])="",TRUE()),FALSE(),AND(INDEX(tsk_IsLeaf,GanttView[[#This Row],[_Row]])=1,N(INDEX(tsk_Duration,GanttView[[#This Row],[_Row]]))=0))</f>
        <v>0</v>
      </c>
      <c r="P58" s="132" t="n">
        <f aca="false">IF(IFERROR(INDEX(tsk_Name,GanttView[[#This Row],[_Row]])="",TRUE()),0,IF(AND(INDEX(tsk_IsLeaf,GanttView[[#This Row],[_Row]])=1,NOT(GanttView[[#This Row],[_IsMilestone]]),N(GanttView[[#This Row],[%]])&gt;0),GanttView[[#This Row],[Forecast Start]],0))</f>
        <v>0</v>
      </c>
      <c r="Q58" s="132" t="n">
        <f aca="false">IF(GanttView[[#This Row],[_DoneFrom]]=0,0,IF(GanttView[[#This Row],[%]]&gt;=1,GanttView[[#This Row],[Forecast Finish]],MAX(GanttView[[#This Row],[_DoneFrom]],GanttView[[#This Row],[Forecast Start]]+ROUND((GanttView[[#This Row],[Forecast Finish]]-GanttView[[#This Row],[Forecast Start]]+1)*GanttView[[#This Row],[%]],0)-1)))</f>
        <v>0</v>
      </c>
      <c r="R58" s="132" t="n">
        <f aca="false">IF(IFERROR(INDEX(tsk_Name,GanttView[[#This Row],[_Row]])="",TRUE()),0,IF(OR(INDEX(tsk_IsLeaf,GanttView[[#This Row],[_Row]])&lt;&gt;1,GanttView[[#This Row],[_IsMilestone]],N(GanttView[[#This Row],[%]])&gt;=1),0,IF(GanttView[[#This Row],[_DoneTo]]&gt;0,GanttView[[#This Row],[_DoneTo]]+1,GanttView[[#This Row],[Forecast Start]])))</f>
        <v>0</v>
      </c>
      <c r="S58" s="132" t="n">
        <f aca="false">IF(GanttView[[#This Row],[_RemFrom]]=0,0,GanttView[[#This Row],[Forecast Finish]])</f>
        <v>0</v>
      </c>
      <c r="T58" s="131" t="b">
        <f aca="false">IF(IFERROR(INDEX(tsk_Name,GanttView[[#This Row],[_Row]])="",TRUE()),FALSE(),N(INDEX(tsk_Variance,GanttView[[#This Row],[_Row]]))&gt;0)</f>
        <v>0</v>
      </c>
      <c r="U58" s="132" t="n">
        <f aca="false">IF(IFERROR(INDEX(tsk_Name,GanttView[[#This Row],[_Row]])="",TRUE()),0,N(INDEX(tsk_Deadline,GanttView[[#This Row],[_Row]])))</f>
        <v>0</v>
      </c>
      <c r="V58" s="131" t="b">
        <f aca="false">IF(IFERROR(INDEX(tsk_Name,GanttView[[#This Row],[_Row]])="",TRUE()),FALSE(),INDEX(tsk_Critical,GanttView[[#This Row],[_Row]])="Yes")</f>
        <v>0</v>
      </c>
    </row>
    <row r="59" customFormat="false" ht="15" hidden="false" customHeight="false" outlineLevel="0" collapsed="false">
      <c r="A59" s="126" t="str">
        <f aca="false">IF(IFERROR(INDEX(tsk_Name,GanttView[[#This Row],[_Row]])="",TRUE()),"",INDEX(tsk_ID,GanttView[[#This Row],[_Row]]))</f>
        <v/>
      </c>
      <c r="B59" s="126" t="str">
        <f aca="false">IF(IFERROR(INDEX(tsk_Name,GanttView[[#This Row],[_Row]])="",TRUE()),"",INDEX(tsk_WBS,GanttView[[#This Row],[_Row]]))</f>
        <v/>
      </c>
      <c r="C59" s="127" t="str">
        <f aca="false">IF(IFERROR(INDEX(tsk_Name,GanttView[[#This Row],[_Row]])="",TRUE()),"",REPT("    ",INDEX(tsk_Level,GanttView[[#This Row],[_Row]])-1)&amp;INDEX(tsk_Name,GanttView[[#This Row],[_Row]]))</f>
        <v/>
      </c>
      <c r="D59" s="126" t="str">
        <f aca="false">IF(IFERROR(INDEX(tsk_Name,GanttView[[#This Row],[_Row]])="",TRUE()),"",IF(INDEX(tsk_IsSummary,GanttView[[#This Row],[_Row]]),NETWORKDAYS.INTL(INDEX(tsk_FcStart,GanttView[[#This Row],[_Row]]),INDEX(tsk_FcFinish,GanttView[[#This Row],[_Row]]),WorkWeek,Holidays),N(INDEX(tsk_Duration,GanttView[[#This Row],[_Row]]))))</f>
        <v/>
      </c>
      <c r="E59" s="128" t="str">
        <f aca="false">IF(IFERROR(INDEX(tsk_Name,GanttView[[#This Row],[_Row]])="",TRUE()),"",INDEX(tsk_PlanStart,GanttView[[#This Row],[_Row]]))</f>
        <v/>
      </c>
      <c r="F59" s="128" t="str">
        <f aca="false">IF(IFERROR(INDEX(tsk_Name,GanttView[[#This Row],[_Row]])="",TRUE()),"",INDEX(tsk_PlanFinish,GanttView[[#This Row],[_Row]]))</f>
        <v/>
      </c>
      <c r="G59" s="128" t="str">
        <f aca="false">IF(IFERROR(INDEX(tsk_Name,GanttView[[#This Row],[_Row]])="",TRUE()),"",INDEX(tsk_FcStart,GanttView[[#This Row],[_Row]]))</f>
        <v/>
      </c>
      <c r="H59" s="128" t="str">
        <f aca="false">IF(IFERROR(INDEX(tsk_Name,GanttView[[#This Row],[_Row]])="",TRUE()),"",INDEX(tsk_FcFinish,GanttView[[#This Row],[_Row]]))</f>
        <v/>
      </c>
      <c r="I59" s="129" t="str">
        <f aca="false">IF(IFERROR(INDEX(tsk_Name,GanttView[[#This Row],[_Row]])="",TRUE()),"",INDEX(tsk_Progress,GanttView[[#This Row],[_Row]]))</f>
        <v/>
      </c>
      <c r="J59" s="127" t="str">
        <f aca="false">IF(IFERROR(INDEX(tsk_Name,GanttView[[#This Row],[_Row]])="",TRUE()),"",INDEX(tsk_ResourceNames,GanttView[[#This Row],[_Row]])&amp;"")</f>
        <v/>
      </c>
      <c r="K59" s="126" t="str">
        <f aca="false">IF(IFERROR(INDEX(tsk_Name,GanttView[[#This Row],[_Row]])="",TRUE()),"",INDEX(tsk_Status,GanttView[[#This Row],[_Row]]))</f>
        <v/>
      </c>
      <c r="L59" s="126" t="str">
        <f aca="false">IF(IFERROR(INDEX(tsk_Name,GanttView[[#This Row],[_Row]])="",TRUE()),"",INDEX(tsk_Show,GanttView[[#This Row],[_Row]])&amp;"")</f>
        <v/>
      </c>
      <c r="M59" s="130" t="n">
        <f aca="false">ROW()-ROW(GanttView[[#Headers],[ID]])</f>
        <v>54</v>
      </c>
      <c r="N59" s="131" t="b">
        <f aca="false">IF(IFERROR(INDEX(tsk_Name,GanttView[[#This Row],[_Row]])="",TRUE()),FALSE(),INDEX(tsk_IsSummary,GanttView[[#This Row],[_Row]]))</f>
        <v>0</v>
      </c>
      <c r="O59" s="131" t="b">
        <f aca="false">IF(IFERROR(INDEX(tsk_Name,GanttView[[#This Row],[_Row]])="",TRUE()),FALSE(),AND(INDEX(tsk_IsLeaf,GanttView[[#This Row],[_Row]])=1,N(INDEX(tsk_Duration,GanttView[[#This Row],[_Row]]))=0))</f>
        <v>0</v>
      </c>
      <c r="P59" s="132" t="n">
        <f aca="false">IF(IFERROR(INDEX(tsk_Name,GanttView[[#This Row],[_Row]])="",TRUE()),0,IF(AND(INDEX(tsk_IsLeaf,GanttView[[#This Row],[_Row]])=1,NOT(GanttView[[#This Row],[_IsMilestone]]),N(GanttView[[#This Row],[%]])&gt;0),GanttView[[#This Row],[Forecast Start]],0))</f>
        <v>0</v>
      </c>
      <c r="Q59" s="132" t="n">
        <f aca="false">IF(GanttView[[#This Row],[_DoneFrom]]=0,0,IF(GanttView[[#This Row],[%]]&gt;=1,GanttView[[#This Row],[Forecast Finish]],MAX(GanttView[[#This Row],[_DoneFrom]],GanttView[[#This Row],[Forecast Start]]+ROUND((GanttView[[#This Row],[Forecast Finish]]-GanttView[[#This Row],[Forecast Start]]+1)*GanttView[[#This Row],[%]],0)-1)))</f>
        <v>0</v>
      </c>
      <c r="R59" s="132" t="n">
        <f aca="false">IF(IFERROR(INDEX(tsk_Name,GanttView[[#This Row],[_Row]])="",TRUE()),0,IF(OR(INDEX(tsk_IsLeaf,GanttView[[#This Row],[_Row]])&lt;&gt;1,GanttView[[#This Row],[_IsMilestone]],N(GanttView[[#This Row],[%]])&gt;=1),0,IF(GanttView[[#This Row],[_DoneTo]]&gt;0,GanttView[[#This Row],[_DoneTo]]+1,GanttView[[#This Row],[Forecast Start]])))</f>
        <v>0</v>
      </c>
      <c r="S59" s="132" t="n">
        <f aca="false">IF(GanttView[[#This Row],[_RemFrom]]=0,0,GanttView[[#This Row],[Forecast Finish]])</f>
        <v>0</v>
      </c>
      <c r="T59" s="131" t="b">
        <f aca="false">IF(IFERROR(INDEX(tsk_Name,GanttView[[#This Row],[_Row]])="",TRUE()),FALSE(),N(INDEX(tsk_Variance,GanttView[[#This Row],[_Row]]))&gt;0)</f>
        <v>0</v>
      </c>
      <c r="U59" s="132" t="n">
        <f aca="false">IF(IFERROR(INDEX(tsk_Name,GanttView[[#This Row],[_Row]])="",TRUE()),0,N(INDEX(tsk_Deadline,GanttView[[#This Row],[_Row]])))</f>
        <v>0</v>
      </c>
      <c r="V59" s="131" t="b">
        <f aca="false">IF(IFERROR(INDEX(tsk_Name,GanttView[[#This Row],[_Row]])="",TRUE()),FALSE(),INDEX(tsk_Critical,GanttView[[#This Row],[_Row]])="Yes")</f>
        <v>0</v>
      </c>
    </row>
    <row r="60" customFormat="false" ht="15" hidden="false" customHeight="false" outlineLevel="0" collapsed="false">
      <c r="A60" s="126" t="str">
        <f aca="false">IF(IFERROR(INDEX(tsk_Name,GanttView[[#This Row],[_Row]])="",TRUE()),"",INDEX(tsk_ID,GanttView[[#This Row],[_Row]]))</f>
        <v/>
      </c>
      <c r="B60" s="126" t="str">
        <f aca="false">IF(IFERROR(INDEX(tsk_Name,GanttView[[#This Row],[_Row]])="",TRUE()),"",INDEX(tsk_WBS,GanttView[[#This Row],[_Row]]))</f>
        <v/>
      </c>
      <c r="C60" s="127" t="str">
        <f aca="false">IF(IFERROR(INDEX(tsk_Name,GanttView[[#This Row],[_Row]])="",TRUE()),"",REPT("    ",INDEX(tsk_Level,GanttView[[#This Row],[_Row]])-1)&amp;INDEX(tsk_Name,GanttView[[#This Row],[_Row]]))</f>
        <v/>
      </c>
      <c r="D60" s="126" t="str">
        <f aca="false">IF(IFERROR(INDEX(tsk_Name,GanttView[[#This Row],[_Row]])="",TRUE()),"",IF(INDEX(tsk_IsSummary,GanttView[[#This Row],[_Row]]),NETWORKDAYS.INTL(INDEX(tsk_FcStart,GanttView[[#This Row],[_Row]]),INDEX(tsk_FcFinish,GanttView[[#This Row],[_Row]]),WorkWeek,Holidays),N(INDEX(tsk_Duration,GanttView[[#This Row],[_Row]]))))</f>
        <v/>
      </c>
      <c r="E60" s="128" t="str">
        <f aca="false">IF(IFERROR(INDEX(tsk_Name,GanttView[[#This Row],[_Row]])="",TRUE()),"",INDEX(tsk_PlanStart,GanttView[[#This Row],[_Row]]))</f>
        <v/>
      </c>
      <c r="F60" s="128" t="str">
        <f aca="false">IF(IFERROR(INDEX(tsk_Name,GanttView[[#This Row],[_Row]])="",TRUE()),"",INDEX(tsk_PlanFinish,GanttView[[#This Row],[_Row]]))</f>
        <v/>
      </c>
      <c r="G60" s="128" t="str">
        <f aca="false">IF(IFERROR(INDEX(tsk_Name,GanttView[[#This Row],[_Row]])="",TRUE()),"",INDEX(tsk_FcStart,GanttView[[#This Row],[_Row]]))</f>
        <v/>
      </c>
      <c r="H60" s="128" t="str">
        <f aca="false">IF(IFERROR(INDEX(tsk_Name,GanttView[[#This Row],[_Row]])="",TRUE()),"",INDEX(tsk_FcFinish,GanttView[[#This Row],[_Row]]))</f>
        <v/>
      </c>
      <c r="I60" s="129" t="str">
        <f aca="false">IF(IFERROR(INDEX(tsk_Name,GanttView[[#This Row],[_Row]])="",TRUE()),"",INDEX(tsk_Progress,GanttView[[#This Row],[_Row]]))</f>
        <v/>
      </c>
      <c r="J60" s="127" t="str">
        <f aca="false">IF(IFERROR(INDEX(tsk_Name,GanttView[[#This Row],[_Row]])="",TRUE()),"",INDEX(tsk_ResourceNames,GanttView[[#This Row],[_Row]])&amp;"")</f>
        <v/>
      </c>
      <c r="K60" s="126" t="str">
        <f aca="false">IF(IFERROR(INDEX(tsk_Name,GanttView[[#This Row],[_Row]])="",TRUE()),"",INDEX(tsk_Status,GanttView[[#This Row],[_Row]]))</f>
        <v/>
      </c>
      <c r="L60" s="126" t="str">
        <f aca="false">IF(IFERROR(INDEX(tsk_Name,GanttView[[#This Row],[_Row]])="",TRUE()),"",INDEX(tsk_Show,GanttView[[#This Row],[_Row]])&amp;"")</f>
        <v/>
      </c>
      <c r="M60" s="130" t="n">
        <f aca="false">ROW()-ROW(GanttView[[#Headers],[ID]])</f>
        <v>55</v>
      </c>
      <c r="N60" s="131" t="b">
        <f aca="false">IF(IFERROR(INDEX(tsk_Name,GanttView[[#This Row],[_Row]])="",TRUE()),FALSE(),INDEX(tsk_IsSummary,GanttView[[#This Row],[_Row]]))</f>
        <v>0</v>
      </c>
      <c r="O60" s="131" t="b">
        <f aca="false">IF(IFERROR(INDEX(tsk_Name,GanttView[[#This Row],[_Row]])="",TRUE()),FALSE(),AND(INDEX(tsk_IsLeaf,GanttView[[#This Row],[_Row]])=1,N(INDEX(tsk_Duration,GanttView[[#This Row],[_Row]]))=0))</f>
        <v>0</v>
      </c>
      <c r="P60" s="132" t="n">
        <f aca="false">IF(IFERROR(INDEX(tsk_Name,GanttView[[#This Row],[_Row]])="",TRUE()),0,IF(AND(INDEX(tsk_IsLeaf,GanttView[[#This Row],[_Row]])=1,NOT(GanttView[[#This Row],[_IsMilestone]]),N(GanttView[[#This Row],[%]])&gt;0),GanttView[[#This Row],[Forecast Start]],0))</f>
        <v>0</v>
      </c>
      <c r="Q60" s="132" t="n">
        <f aca="false">IF(GanttView[[#This Row],[_DoneFrom]]=0,0,IF(GanttView[[#This Row],[%]]&gt;=1,GanttView[[#This Row],[Forecast Finish]],MAX(GanttView[[#This Row],[_DoneFrom]],GanttView[[#This Row],[Forecast Start]]+ROUND((GanttView[[#This Row],[Forecast Finish]]-GanttView[[#This Row],[Forecast Start]]+1)*GanttView[[#This Row],[%]],0)-1)))</f>
        <v>0</v>
      </c>
      <c r="R60" s="132" t="n">
        <f aca="false">IF(IFERROR(INDEX(tsk_Name,GanttView[[#This Row],[_Row]])="",TRUE()),0,IF(OR(INDEX(tsk_IsLeaf,GanttView[[#This Row],[_Row]])&lt;&gt;1,GanttView[[#This Row],[_IsMilestone]],N(GanttView[[#This Row],[%]])&gt;=1),0,IF(GanttView[[#This Row],[_DoneTo]]&gt;0,GanttView[[#This Row],[_DoneTo]]+1,GanttView[[#This Row],[Forecast Start]])))</f>
        <v>0</v>
      </c>
      <c r="S60" s="132" t="n">
        <f aca="false">IF(GanttView[[#This Row],[_RemFrom]]=0,0,GanttView[[#This Row],[Forecast Finish]])</f>
        <v>0</v>
      </c>
      <c r="T60" s="131" t="b">
        <f aca="false">IF(IFERROR(INDEX(tsk_Name,GanttView[[#This Row],[_Row]])="",TRUE()),FALSE(),N(INDEX(tsk_Variance,GanttView[[#This Row],[_Row]]))&gt;0)</f>
        <v>0</v>
      </c>
      <c r="U60" s="132" t="n">
        <f aca="false">IF(IFERROR(INDEX(tsk_Name,GanttView[[#This Row],[_Row]])="",TRUE()),0,N(INDEX(tsk_Deadline,GanttView[[#This Row],[_Row]])))</f>
        <v>0</v>
      </c>
      <c r="V60" s="131" t="b">
        <f aca="false">IF(IFERROR(INDEX(tsk_Name,GanttView[[#This Row],[_Row]])="",TRUE()),FALSE(),INDEX(tsk_Critical,GanttView[[#This Row],[_Row]])="Yes")</f>
        <v>0</v>
      </c>
    </row>
    <row r="61" customFormat="false" ht="15" hidden="false" customHeight="false" outlineLevel="0" collapsed="false">
      <c r="A61" s="126" t="str">
        <f aca="false">IF(IFERROR(INDEX(tsk_Name,GanttView[[#This Row],[_Row]])="",TRUE()),"",INDEX(tsk_ID,GanttView[[#This Row],[_Row]]))</f>
        <v/>
      </c>
      <c r="B61" s="126" t="str">
        <f aca="false">IF(IFERROR(INDEX(tsk_Name,GanttView[[#This Row],[_Row]])="",TRUE()),"",INDEX(tsk_WBS,GanttView[[#This Row],[_Row]]))</f>
        <v/>
      </c>
      <c r="C61" s="127" t="str">
        <f aca="false">IF(IFERROR(INDEX(tsk_Name,GanttView[[#This Row],[_Row]])="",TRUE()),"",REPT("    ",INDEX(tsk_Level,GanttView[[#This Row],[_Row]])-1)&amp;INDEX(tsk_Name,GanttView[[#This Row],[_Row]]))</f>
        <v/>
      </c>
      <c r="D61" s="126" t="str">
        <f aca="false">IF(IFERROR(INDEX(tsk_Name,GanttView[[#This Row],[_Row]])="",TRUE()),"",IF(INDEX(tsk_IsSummary,GanttView[[#This Row],[_Row]]),NETWORKDAYS.INTL(INDEX(tsk_FcStart,GanttView[[#This Row],[_Row]]),INDEX(tsk_FcFinish,GanttView[[#This Row],[_Row]]),WorkWeek,Holidays),N(INDEX(tsk_Duration,GanttView[[#This Row],[_Row]]))))</f>
        <v/>
      </c>
      <c r="E61" s="128" t="str">
        <f aca="false">IF(IFERROR(INDEX(tsk_Name,GanttView[[#This Row],[_Row]])="",TRUE()),"",INDEX(tsk_PlanStart,GanttView[[#This Row],[_Row]]))</f>
        <v/>
      </c>
      <c r="F61" s="128" t="str">
        <f aca="false">IF(IFERROR(INDEX(tsk_Name,GanttView[[#This Row],[_Row]])="",TRUE()),"",INDEX(tsk_PlanFinish,GanttView[[#This Row],[_Row]]))</f>
        <v/>
      </c>
      <c r="G61" s="128" t="str">
        <f aca="false">IF(IFERROR(INDEX(tsk_Name,GanttView[[#This Row],[_Row]])="",TRUE()),"",INDEX(tsk_FcStart,GanttView[[#This Row],[_Row]]))</f>
        <v/>
      </c>
      <c r="H61" s="128" t="str">
        <f aca="false">IF(IFERROR(INDEX(tsk_Name,GanttView[[#This Row],[_Row]])="",TRUE()),"",INDEX(tsk_FcFinish,GanttView[[#This Row],[_Row]]))</f>
        <v/>
      </c>
      <c r="I61" s="129" t="str">
        <f aca="false">IF(IFERROR(INDEX(tsk_Name,GanttView[[#This Row],[_Row]])="",TRUE()),"",INDEX(tsk_Progress,GanttView[[#This Row],[_Row]]))</f>
        <v/>
      </c>
      <c r="J61" s="127" t="str">
        <f aca="false">IF(IFERROR(INDEX(tsk_Name,GanttView[[#This Row],[_Row]])="",TRUE()),"",INDEX(tsk_ResourceNames,GanttView[[#This Row],[_Row]])&amp;"")</f>
        <v/>
      </c>
      <c r="K61" s="126" t="str">
        <f aca="false">IF(IFERROR(INDEX(tsk_Name,GanttView[[#This Row],[_Row]])="",TRUE()),"",INDEX(tsk_Status,GanttView[[#This Row],[_Row]]))</f>
        <v/>
      </c>
      <c r="L61" s="126" t="str">
        <f aca="false">IF(IFERROR(INDEX(tsk_Name,GanttView[[#This Row],[_Row]])="",TRUE()),"",INDEX(tsk_Show,GanttView[[#This Row],[_Row]])&amp;"")</f>
        <v/>
      </c>
      <c r="M61" s="130" t="n">
        <f aca="false">ROW()-ROW(GanttView[[#Headers],[ID]])</f>
        <v>56</v>
      </c>
      <c r="N61" s="131" t="b">
        <f aca="false">IF(IFERROR(INDEX(tsk_Name,GanttView[[#This Row],[_Row]])="",TRUE()),FALSE(),INDEX(tsk_IsSummary,GanttView[[#This Row],[_Row]]))</f>
        <v>0</v>
      </c>
      <c r="O61" s="131" t="b">
        <f aca="false">IF(IFERROR(INDEX(tsk_Name,GanttView[[#This Row],[_Row]])="",TRUE()),FALSE(),AND(INDEX(tsk_IsLeaf,GanttView[[#This Row],[_Row]])=1,N(INDEX(tsk_Duration,GanttView[[#This Row],[_Row]]))=0))</f>
        <v>0</v>
      </c>
      <c r="P61" s="132" t="n">
        <f aca="false">IF(IFERROR(INDEX(tsk_Name,GanttView[[#This Row],[_Row]])="",TRUE()),0,IF(AND(INDEX(tsk_IsLeaf,GanttView[[#This Row],[_Row]])=1,NOT(GanttView[[#This Row],[_IsMilestone]]),N(GanttView[[#This Row],[%]])&gt;0),GanttView[[#This Row],[Forecast Start]],0))</f>
        <v>0</v>
      </c>
      <c r="Q61" s="132" t="n">
        <f aca="false">IF(GanttView[[#This Row],[_DoneFrom]]=0,0,IF(GanttView[[#This Row],[%]]&gt;=1,GanttView[[#This Row],[Forecast Finish]],MAX(GanttView[[#This Row],[_DoneFrom]],GanttView[[#This Row],[Forecast Start]]+ROUND((GanttView[[#This Row],[Forecast Finish]]-GanttView[[#This Row],[Forecast Start]]+1)*GanttView[[#This Row],[%]],0)-1)))</f>
        <v>0</v>
      </c>
      <c r="R61" s="132" t="n">
        <f aca="false">IF(IFERROR(INDEX(tsk_Name,GanttView[[#This Row],[_Row]])="",TRUE()),0,IF(OR(INDEX(tsk_IsLeaf,GanttView[[#This Row],[_Row]])&lt;&gt;1,GanttView[[#This Row],[_IsMilestone]],N(GanttView[[#This Row],[%]])&gt;=1),0,IF(GanttView[[#This Row],[_DoneTo]]&gt;0,GanttView[[#This Row],[_DoneTo]]+1,GanttView[[#This Row],[Forecast Start]])))</f>
        <v>0</v>
      </c>
      <c r="S61" s="132" t="n">
        <f aca="false">IF(GanttView[[#This Row],[_RemFrom]]=0,0,GanttView[[#This Row],[Forecast Finish]])</f>
        <v>0</v>
      </c>
      <c r="T61" s="131" t="b">
        <f aca="false">IF(IFERROR(INDEX(tsk_Name,GanttView[[#This Row],[_Row]])="",TRUE()),FALSE(),N(INDEX(tsk_Variance,GanttView[[#This Row],[_Row]]))&gt;0)</f>
        <v>0</v>
      </c>
      <c r="U61" s="132" t="n">
        <f aca="false">IF(IFERROR(INDEX(tsk_Name,GanttView[[#This Row],[_Row]])="",TRUE()),0,N(INDEX(tsk_Deadline,GanttView[[#This Row],[_Row]])))</f>
        <v>0</v>
      </c>
      <c r="V61" s="131" t="b">
        <f aca="false">IF(IFERROR(INDEX(tsk_Name,GanttView[[#This Row],[_Row]])="",TRUE()),FALSE(),INDEX(tsk_Critical,GanttView[[#This Row],[_Row]])="Yes")</f>
        <v>0</v>
      </c>
    </row>
    <row r="62" customFormat="false" ht="15" hidden="false" customHeight="false" outlineLevel="0" collapsed="false">
      <c r="A62" s="126" t="str">
        <f aca="false">IF(IFERROR(INDEX(tsk_Name,GanttView[[#This Row],[_Row]])="",TRUE()),"",INDEX(tsk_ID,GanttView[[#This Row],[_Row]]))</f>
        <v/>
      </c>
      <c r="B62" s="126" t="str">
        <f aca="false">IF(IFERROR(INDEX(tsk_Name,GanttView[[#This Row],[_Row]])="",TRUE()),"",INDEX(tsk_WBS,GanttView[[#This Row],[_Row]]))</f>
        <v/>
      </c>
      <c r="C62" s="127" t="str">
        <f aca="false">IF(IFERROR(INDEX(tsk_Name,GanttView[[#This Row],[_Row]])="",TRUE()),"",REPT("    ",INDEX(tsk_Level,GanttView[[#This Row],[_Row]])-1)&amp;INDEX(tsk_Name,GanttView[[#This Row],[_Row]]))</f>
        <v/>
      </c>
      <c r="D62" s="126" t="str">
        <f aca="false">IF(IFERROR(INDEX(tsk_Name,GanttView[[#This Row],[_Row]])="",TRUE()),"",IF(INDEX(tsk_IsSummary,GanttView[[#This Row],[_Row]]),NETWORKDAYS.INTL(INDEX(tsk_FcStart,GanttView[[#This Row],[_Row]]),INDEX(tsk_FcFinish,GanttView[[#This Row],[_Row]]),WorkWeek,Holidays),N(INDEX(tsk_Duration,GanttView[[#This Row],[_Row]]))))</f>
        <v/>
      </c>
      <c r="E62" s="128" t="str">
        <f aca="false">IF(IFERROR(INDEX(tsk_Name,GanttView[[#This Row],[_Row]])="",TRUE()),"",INDEX(tsk_PlanStart,GanttView[[#This Row],[_Row]]))</f>
        <v/>
      </c>
      <c r="F62" s="128" t="str">
        <f aca="false">IF(IFERROR(INDEX(tsk_Name,GanttView[[#This Row],[_Row]])="",TRUE()),"",INDEX(tsk_PlanFinish,GanttView[[#This Row],[_Row]]))</f>
        <v/>
      </c>
      <c r="G62" s="128" t="str">
        <f aca="false">IF(IFERROR(INDEX(tsk_Name,GanttView[[#This Row],[_Row]])="",TRUE()),"",INDEX(tsk_FcStart,GanttView[[#This Row],[_Row]]))</f>
        <v/>
      </c>
      <c r="H62" s="128" t="str">
        <f aca="false">IF(IFERROR(INDEX(tsk_Name,GanttView[[#This Row],[_Row]])="",TRUE()),"",INDEX(tsk_FcFinish,GanttView[[#This Row],[_Row]]))</f>
        <v/>
      </c>
      <c r="I62" s="129" t="str">
        <f aca="false">IF(IFERROR(INDEX(tsk_Name,GanttView[[#This Row],[_Row]])="",TRUE()),"",INDEX(tsk_Progress,GanttView[[#This Row],[_Row]]))</f>
        <v/>
      </c>
      <c r="J62" s="127" t="str">
        <f aca="false">IF(IFERROR(INDEX(tsk_Name,GanttView[[#This Row],[_Row]])="",TRUE()),"",INDEX(tsk_ResourceNames,GanttView[[#This Row],[_Row]])&amp;"")</f>
        <v/>
      </c>
      <c r="K62" s="126" t="str">
        <f aca="false">IF(IFERROR(INDEX(tsk_Name,GanttView[[#This Row],[_Row]])="",TRUE()),"",INDEX(tsk_Status,GanttView[[#This Row],[_Row]]))</f>
        <v/>
      </c>
      <c r="L62" s="126" t="str">
        <f aca="false">IF(IFERROR(INDEX(tsk_Name,GanttView[[#This Row],[_Row]])="",TRUE()),"",INDEX(tsk_Show,GanttView[[#This Row],[_Row]])&amp;"")</f>
        <v/>
      </c>
      <c r="M62" s="130" t="n">
        <f aca="false">ROW()-ROW(GanttView[[#Headers],[ID]])</f>
        <v>57</v>
      </c>
      <c r="N62" s="131" t="b">
        <f aca="false">IF(IFERROR(INDEX(tsk_Name,GanttView[[#This Row],[_Row]])="",TRUE()),FALSE(),INDEX(tsk_IsSummary,GanttView[[#This Row],[_Row]]))</f>
        <v>0</v>
      </c>
      <c r="O62" s="131" t="b">
        <f aca="false">IF(IFERROR(INDEX(tsk_Name,GanttView[[#This Row],[_Row]])="",TRUE()),FALSE(),AND(INDEX(tsk_IsLeaf,GanttView[[#This Row],[_Row]])=1,N(INDEX(tsk_Duration,GanttView[[#This Row],[_Row]]))=0))</f>
        <v>0</v>
      </c>
      <c r="P62" s="132" t="n">
        <f aca="false">IF(IFERROR(INDEX(tsk_Name,GanttView[[#This Row],[_Row]])="",TRUE()),0,IF(AND(INDEX(tsk_IsLeaf,GanttView[[#This Row],[_Row]])=1,NOT(GanttView[[#This Row],[_IsMilestone]]),N(GanttView[[#This Row],[%]])&gt;0),GanttView[[#This Row],[Forecast Start]],0))</f>
        <v>0</v>
      </c>
      <c r="Q62" s="132" t="n">
        <f aca="false">IF(GanttView[[#This Row],[_DoneFrom]]=0,0,IF(GanttView[[#This Row],[%]]&gt;=1,GanttView[[#This Row],[Forecast Finish]],MAX(GanttView[[#This Row],[_DoneFrom]],GanttView[[#This Row],[Forecast Start]]+ROUND((GanttView[[#This Row],[Forecast Finish]]-GanttView[[#This Row],[Forecast Start]]+1)*GanttView[[#This Row],[%]],0)-1)))</f>
        <v>0</v>
      </c>
      <c r="R62" s="132" t="n">
        <f aca="false">IF(IFERROR(INDEX(tsk_Name,GanttView[[#This Row],[_Row]])="",TRUE()),0,IF(OR(INDEX(tsk_IsLeaf,GanttView[[#This Row],[_Row]])&lt;&gt;1,GanttView[[#This Row],[_IsMilestone]],N(GanttView[[#This Row],[%]])&gt;=1),0,IF(GanttView[[#This Row],[_DoneTo]]&gt;0,GanttView[[#This Row],[_DoneTo]]+1,GanttView[[#This Row],[Forecast Start]])))</f>
        <v>0</v>
      </c>
      <c r="S62" s="132" t="n">
        <f aca="false">IF(GanttView[[#This Row],[_RemFrom]]=0,0,GanttView[[#This Row],[Forecast Finish]])</f>
        <v>0</v>
      </c>
      <c r="T62" s="131" t="b">
        <f aca="false">IF(IFERROR(INDEX(tsk_Name,GanttView[[#This Row],[_Row]])="",TRUE()),FALSE(),N(INDEX(tsk_Variance,GanttView[[#This Row],[_Row]]))&gt;0)</f>
        <v>0</v>
      </c>
      <c r="U62" s="132" t="n">
        <f aca="false">IF(IFERROR(INDEX(tsk_Name,GanttView[[#This Row],[_Row]])="",TRUE()),0,N(INDEX(tsk_Deadline,GanttView[[#This Row],[_Row]])))</f>
        <v>0</v>
      </c>
      <c r="V62" s="131" t="b">
        <f aca="false">IF(IFERROR(INDEX(tsk_Name,GanttView[[#This Row],[_Row]])="",TRUE()),FALSE(),INDEX(tsk_Critical,GanttView[[#This Row],[_Row]])="Yes")</f>
        <v>0</v>
      </c>
    </row>
    <row r="63" customFormat="false" ht="15" hidden="false" customHeight="false" outlineLevel="0" collapsed="false">
      <c r="A63" s="126" t="str">
        <f aca="false">IF(IFERROR(INDEX(tsk_Name,GanttView[[#This Row],[_Row]])="",TRUE()),"",INDEX(tsk_ID,GanttView[[#This Row],[_Row]]))</f>
        <v/>
      </c>
      <c r="B63" s="126" t="str">
        <f aca="false">IF(IFERROR(INDEX(tsk_Name,GanttView[[#This Row],[_Row]])="",TRUE()),"",INDEX(tsk_WBS,GanttView[[#This Row],[_Row]]))</f>
        <v/>
      </c>
      <c r="C63" s="127" t="str">
        <f aca="false">IF(IFERROR(INDEX(tsk_Name,GanttView[[#This Row],[_Row]])="",TRUE()),"",REPT("    ",INDEX(tsk_Level,GanttView[[#This Row],[_Row]])-1)&amp;INDEX(tsk_Name,GanttView[[#This Row],[_Row]]))</f>
        <v/>
      </c>
      <c r="D63" s="126" t="str">
        <f aca="false">IF(IFERROR(INDEX(tsk_Name,GanttView[[#This Row],[_Row]])="",TRUE()),"",IF(INDEX(tsk_IsSummary,GanttView[[#This Row],[_Row]]),NETWORKDAYS.INTL(INDEX(tsk_FcStart,GanttView[[#This Row],[_Row]]),INDEX(tsk_FcFinish,GanttView[[#This Row],[_Row]]),WorkWeek,Holidays),N(INDEX(tsk_Duration,GanttView[[#This Row],[_Row]]))))</f>
        <v/>
      </c>
      <c r="E63" s="128" t="str">
        <f aca="false">IF(IFERROR(INDEX(tsk_Name,GanttView[[#This Row],[_Row]])="",TRUE()),"",INDEX(tsk_PlanStart,GanttView[[#This Row],[_Row]]))</f>
        <v/>
      </c>
      <c r="F63" s="128" t="str">
        <f aca="false">IF(IFERROR(INDEX(tsk_Name,GanttView[[#This Row],[_Row]])="",TRUE()),"",INDEX(tsk_PlanFinish,GanttView[[#This Row],[_Row]]))</f>
        <v/>
      </c>
      <c r="G63" s="128" t="str">
        <f aca="false">IF(IFERROR(INDEX(tsk_Name,GanttView[[#This Row],[_Row]])="",TRUE()),"",INDEX(tsk_FcStart,GanttView[[#This Row],[_Row]]))</f>
        <v/>
      </c>
      <c r="H63" s="128" t="str">
        <f aca="false">IF(IFERROR(INDEX(tsk_Name,GanttView[[#This Row],[_Row]])="",TRUE()),"",INDEX(tsk_FcFinish,GanttView[[#This Row],[_Row]]))</f>
        <v/>
      </c>
      <c r="I63" s="129" t="str">
        <f aca="false">IF(IFERROR(INDEX(tsk_Name,GanttView[[#This Row],[_Row]])="",TRUE()),"",INDEX(tsk_Progress,GanttView[[#This Row],[_Row]]))</f>
        <v/>
      </c>
      <c r="J63" s="127" t="str">
        <f aca="false">IF(IFERROR(INDEX(tsk_Name,GanttView[[#This Row],[_Row]])="",TRUE()),"",INDEX(tsk_ResourceNames,GanttView[[#This Row],[_Row]])&amp;"")</f>
        <v/>
      </c>
      <c r="K63" s="126" t="str">
        <f aca="false">IF(IFERROR(INDEX(tsk_Name,GanttView[[#This Row],[_Row]])="",TRUE()),"",INDEX(tsk_Status,GanttView[[#This Row],[_Row]]))</f>
        <v/>
      </c>
      <c r="L63" s="126" t="str">
        <f aca="false">IF(IFERROR(INDEX(tsk_Name,GanttView[[#This Row],[_Row]])="",TRUE()),"",INDEX(tsk_Show,GanttView[[#This Row],[_Row]])&amp;"")</f>
        <v/>
      </c>
      <c r="M63" s="130" t="n">
        <f aca="false">ROW()-ROW(GanttView[[#Headers],[ID]])</f>
        <v>58</v>
      </c>
      <c r="N63" s="131" t="b">
        <f aca="false">IF(IFERROR(INDEX(tsk_Name,GanttView[[#This Row],[_Row]])="",TRUE()),FALSE(),INDEX(tsk_IsSummary,GanttView[[#This Row],[_Row]]))</f>
        <v>0</v>
      </c>
      <c r="O63" s="131" t="b">
        <f aca="false">IF(IFERROR(INDEX(tsk_Name,GanttView[[#This Row],[_Row]])="",TRUE()),FALSE(),AND(INDEX(tsk_IsLeaf,GanttView[[#This Row],[_Row]])=1,N(INDEX(tsk_Duration,GanttView[[#This Row],[_Row]]))=0))</f>
        <v>0</v>
      </c>
      <c r="P63" s="132" t="n">
        <f aca="false">IF(IFERROR(INDEX(tsk_Name,GanttView[[#This Row],[_Row]])="",TRUE()),0,IF(AND(INDEX(tsk_IsLeaf,GanttView[[#This Row],[_Row]])=1,NOT(GanttView[[#This Row],[_IsMilestone]]),N(GanttView[[#This Row],[%]])&gt;0),GanttView[[#This Row],[Forecast Start]],0))</f>
        <v>0</v>
      </c>
      <c r="Q63" s="132" t="n">
        <f aca="false">IF(GanttView[[#This Row],[_DoneFrom]]=0,0,IF(GanttView[[#This Row],[%]]&gt;=1,GanttView[[#This Row],[Forecast Finish]],MAX(GanttView[[#This Row],[_DoneFrom]],GanttView[[#This Row],[Forecast Start]]+ROUND((GanttView[[#This Row],[Forecast Finish]]-GanttView[[#This Row],[Forecast Start]]+1)*GanttView[[#This Row],[%]],0)-1)))</f>
        <v>0</v>
      </c>
      <c r="R63" s="132" t="n">
        <f aca="false">IF(IFERROR(INDEX(tsk_Name,GanttView[[#This Row],[_Row]])="",TRUE()),0,IF(OR(INDEX(tsk_IsLeaf,GanttView[[#This Row],[_Row]])&lt;&gt;1,GanttView[[#This Row],[_IsMilestone]],N(GanttView[[#This Row],[%]])&gt;=1),0,IF(GanttView[[#This Row],[_DoneTo]]&gt;0,GanttView[[#This Row],[_DoneTo]]+1,GanttView[[#This Row],[Forecast Start]])))</f>
        <v>0</v>
      </c>
      <c r="S63" s="132" t="n">
        <f aca="false">IF(GanttView[[#This Row],[_RemFrom]]=0,0,GanttView[[#This Row],[Forecast Finish]])</f>
        <v>0</v>
      </c>
      <c r="T63" s="131" t="b">
        <f aca="false">IF(IFERROR(INDEX(tsk_Name,GanttView[[#This Row],[_Row]])="",TRUE()),FALSE(),N(INDEX(tsk_Variance,GanttView[[#This Row],[_Row]]))&gt;0)</f>
        <v>0</v>
      </c>
      <c r="U63" s="132" t="n">
        <f aca="false">IF(IFERROR(INDEX(tsk_Name,GanttView[[#This Row],[_Row]])="",TRUE()),0,N(INDEX(tsk_Deadline,GanttView[[#This Row],[_Row]])))</f>
        <v>0</v>
      </c>
      <c r="V63" s="131" t="b">
        <f aca="false">IF(IFERROR(INDEX(tsk_Name,GanttView[[#This Row],[_Row]])="",TRUE()),FALSE(),INDEX(tsk_Critical,GanttView[[#This Row],[_Row]])="Yes")</f>
        <v>0</v>
      </c>
    </row>
    <row r="64" customFormat="false" ht="15" hidden="false" customHeight="false" outlineLevel="0" collapsed="false">
      <c r="A64" s="126" t="str">
        <f aca="false">IF(IFERROR(INDEX(tsk_Name,GanttView[[#This Row],[_Row]])="",TRUE()),"",INDEX(tsk_ID,GanttView[[#This Row],[_Row]]))</f>
        <v/>
      </c>
      <c r="B64" s="126" t="str">
        <f aca="false">IF(IFERROR(INDEX(tsk_Name,GanttView[[#This Row],[_Row]])="",TRUE()),"",INDEX(tsk_WBS,GanttView[[#This Row],[_Row]]))</f>
        <v/>
      </c>
      <c r="C64" s="127" t="str">
        <f aca="false">IF(IFERROR(INDEX(tsk_Name,GanttView[[#This Row],[_Row]])="",TRUE()),"",REPT("    ",INDEX(tsk_Level,GanttView[[#This Row],[_Row]])-1)&amp;INDEX(tsk_Name,GanttView[[#This Row],[_Row]]))</f>
        <v/>
      </c>
      <c r="D64" s="126" t="str">
        <f aca="false">IF(IFERROR(INDEX(tsk_Name,GanttView[[#This Row],[_Row]])="",TRUE()),"",IF(INDEX(tsk_IsSummary,GanttView[[#This Row],[_Row]]),NETWORKDAYS.INTL(INDEX(tsk_FcStart,GanttView[[#This Row],[_Row]]),INDEX(tsk_FcFinish,GanttView[[#This Row],[_Row]]),WorkWeek,Holidays),N(INDEX(tsk_Duration,GanttView[[#This Row],[_Row]]))))</f>
        <v/>
      </c>
      <c r="E64" s="128" t="str">
        <f aca="false">IF(IFERROR(INDEX(tsk_Name,GanttView[[#This Row],[_Row]])="",TRUE()),"",INDEX(tsk_PlanStart,GanttView[[#This Row],[_Row]]))</f>
        <v/>
      </c>
      <c r="F64" s="128" t="str">
        <f aca="false">IF(IFERROR(INDEX(tsk_Name,GanttView[[#This Row],[_Row]])="",TRUE()),"",INDEX(tsk_PlanFinish,GanttView[[#This Row],[_Row]]))</f>
        <v/>
      </c>
      <c r="G64" s="128" t="str">
        <f aca="false">IF(IFERROR(INDEX(tsk_Name,GanttView[[#This Row],[_Row]])="",TRUE()),"",INDEX(tsk_FcStart,GanttView[[#This Row],[_Row]]))</f>
        <v/>
      </c>
      <c r="H64" s="128" t="str">
        <f aca="false">IF(IFERROR(INDEX(tsk_Name,GanttView[[#This Row],[_Row]])="",TRUE()),"",INDEX(tsk_FcFinish,GanttView[[#This Row],[_Row]]))</f>
        <v/>
      </c>
      <c r="I64" s="129" t="str">
        <f aca="false">IF(IFERROR(INDEX(tsk_Name,GanttView[[#This Row],[_Row]])="",TRUE()),"",INDEX(tsk_Progress,GanttView[[#This Row],[_Row]]))</f>
        <v/>
      </c>
      <c r="J64" s="127" t="str">
        <f aca="false">IF(IFERROR(INDEX(tsk_Name,GanttView[[#This Row],[_Row]])="",TRUE()),"",INDEX(tsk_ResourceNames,GanttView[[#This Row],[_Row]])&amp;"")</f>
        <v/>
      </c>
      <c r="K64" s="126" t="str">
        <f aca="false">IF(IFERROR(INDEX(tsk_Name,GanttView[[#This Row],[_Row]])="",TRUE()),"",INDEX(tsk_Status,GanttView[[#This Row],[_Row]]))</f>
        <v/>
      </c>
      <c r="L64" s="126" t="str">
        <f aca="false">IF(IFERROR(INDEX(tsk_Name,GanttView[[#This Row],[_Row]])="",TRUE()),"",INDEX(tsk_Show,GanttView[[#This Row],[_Row]])&amp;"")</f>
        <v/>
      </c>
      <c r="M64" s="130" t="n">
        <f aca="false">ROW()-ROW(GanttView[[#Headers],[ID]])</f>
        <v>59</v>
      </c>
      <c r="N64" s="131" t="b">
        <f aca="false">IF(IFERROR(INDEX(tsk_Name,GanttView[[#This Row],[_Row]])="",TRUE()),FALSE(),INDEX(tsk_IsSummary,GanttView[[#This Row],[_Row]]))</f>
        <v>0</v>
      </c>
      <c r="O64" s="131" t="b">
        <f aca="false">IF(IFERROR(INDEX(tsk_Name,GanttView[[#This Row],[_Row]])="",TRUE()),FALSE(),AND(INDEX(tsk_IsLeaf,GanttView[[#This Row],[_Row]])=1,N(INDEX(tsk_Duration,GanttView[[#This Row],[_Row]]))=0))</f>
        <v>0</v>
      </c>
      <c r="P64" s="132" t="n">
        <f aca="false">IF(IFERROR(INDEX(tsk_Name,GanttView[[#This Row],[_Row]])="",TRUE()),0,IF(AND(INDEX(tsk_IsLeaf,GanttView[[#This Row],[_Row]])=1,NOT(GanttView[[#This Row],[_IsMilestone]]),N(GanttView[[#This Row],[%]])&gt;0),GanttView[[#This Row],[Forecast Start]],0))</f>
        <v>0</v>
      </c>
      <c r="Q64" s="132" t="n">
        <f aca="false">IF(GanttView[[#This Row],[_DoneFrom]]=0,0,IF(GanttView[[#This Row],[%]]&gt;=1,GanttView[[#This Row],[Forecast Finish]],MAX(GanttView[[#This Row],[_DoneFrom]],GanttView[[#This Row],[Forecast Start]]+ROUND((GanttView[[#This Row],[Forecast Finish]]-GanttView[[#This Row],[Forecast Start]]+1)*GanttView[[#This Row],[%]],0)-1)))</f>
        <v>0</v>
      </c>
      <c r="R64" s="132" t="n">
        <f aca="false">IF(IFERROR(INDEX(tsk_Name,GanttView[[#This Row],[_Row]])="",TRUE()),0,IF(OR(INDEX(tsk_IsLeaf,GanttView[[#This Row],[_Row]])&lt;&gt;1,GanttView[[#This Row],[_IsMilestone]],N(GanttView[[#This Row],[%]])&gt;=1),0,IF(GanttView[[#This Row],[_DoneTo]]&gt;0,GanttView[[#This Row],[_DoneTo]]+1,GanttView[[#This Row],[Forecast Start]])))</f>
        <v>0</v>
      </c>
      <c r="S64" s="132" t="n">
        <f aca="false">IF(GanttView[[#This Row],[_RemFrom]]=0,0,GanttView[[#This Row],[Forecast Finish]])</f>
        <v>0</v>
      </c>
      <c r="T64" s="131" t="b">
        <f aca="false">IF(IFERROR(INDEX(tsk_Name,GanttView[[#This Row],[_Row]])="",TRUE()),FALSE(),N(INDEX(tsk_Variance,GanttView[[#This Row],[_Row]]))&gt;0)</f>
        <v>0</v>
      </c>
      <c r="U64" s="132" t="n">
        <f aca="false">IF(IFERROR(INDEX(tsk_Name,GanttView[[#This Row],[_Row]])="",TRUE()),0,N(INDEX(tsk_Deadline,GanttView[[#This Row],[_Row]])))</f>
        <v>0</v>
      </c>
      <c r="V64" s="131" t="b">
        <f aca="false">IF(IFERROR(INDEX(tsk_Name,GanttView[[#This Row],[_Row]])="",TRUE()),FALSE(),INDEX(tsk_Critical,GanttView[[#This Row],[_Row]])="Yes")</f>
        <v>0</v>
      </c>
    </row>
    <row r="65" customFormat="false" ht="15" hidden="false" customHeight="false" outlineLevel="0" collapsed="false">
      <c r="A65" s="126" t="str">
        <f aca="false">IF(IFERROR(INDEX(tsk_Name,GanttView[[#This Row],[_Row]])="",TRUE()),"",INDEX(tsk_ID,GanttView[[#This Row],[_Row]]))</f>
        <v/>
      </c>
      <c r="B65" s="126" t="str">
        <f aca="false">IF(IFERROR(INDEX(tsk_Name,GanttView[[#This Row],[_Row]])="",TRUE()),"",INDEX(tsk_WBS,GanttView[[#This Row],[_Row]]))</f>
        <v/>
      </c>
      <c r="C65" s="127" t="str">
        <f aca="false">IF(IFERROR(INDEX(tsk_Name,GanttView[[#This Row],[_Row]])="",TRUE()),"",REPT("    ",INDEX(tsk_Level,GanttView[[#This Row],[_Row]])-1)&amp;INDEX(tsk_Name,GanttView[[#This Row],[_Row]]))</f>
        <v/>
      </c>
      <c r="D65" s="126" t="str">
        <f aca="false">IF(IFERROR(INDEX(tsk_Name,GanttView[[#This Row],[_Row]])="",TRUE()),"",IF(INDEX(tsk_IsSummary,GanttView[[#This Row],[_Row]]),NETWORKDAYS.INTL(INDEX(tsk_FcStart,GanttView[[#This Row],[_Row]]),INDEX(tsk_FcFinish,GanttView[[#This Row],[_Row]]),WorkWeek,Holidays),N(INDEX(tsk_Duration,GanttView[[#This Row],[_Row]]))))</f>
        <v/>
      </c>
      <c r="E65" s="128" t="str">
        <f aca="false">IF(IFERROR(INDEX(tsk_Name,GanttView[[#This Row],[_Row]])="",TRUE()),"",INDEX(tsk_PlanStart,GanttView[[#This Row],[_Row]]))</f>
        <v/>
      </c>
      <c r="F65" s="128" t="str">
        <f aca="false">IF(IFERROR(INDEX(tsk_Name,GanttView[[#This Row],[_Row]])="",TRUE()),"",INDEX(tsk_PlanFinish,GanttView[[#This Row],[_Row]]))</f>
        <v/>
      </c>
      <c r="G65" s="128" t="str">
        <f aca="false">IF(IFERROR(INDEX(tsk_Name,GanttView[[#This Row],[_Row]])="",TRUE()),"",INDEX(tsk_FcStart,GanttView[[#This Row],[_Row]]))</f>
        <v/>
      </c>
      <c r="H65" s="128" t="str">
        <f aca="false">IF(IFERROR(INDEX(tsk_Name,GanttView[[#This Row],[_Row]])="",TRUE()),"",INDEX(tsk_FcFinish,GanttView[[#This Row],[_Row]]))</f>
        <v/>
      </c>
      <c r="I65" s="129" t="str">
        <f aca="false">IF(IFERROR(INDEX(tsk_Name,GanttView[[#This Row],[_Row]])="",TRUE()),"",INDEX(tsk_Progress,GanttView[[#This Row],[_Row]]))</f>
        <v/>
      </c>
      <c r="J65" s="127" t="str">
        <f aca="false">IF(IFERROR(INDEX(tsk_Name,GanttView[[#This Row],[_Row]])="",TRUE()),"",INDEX(tsk_ResourceNames,GanttView[[#This Row],[_Row]])&amp;"")</f>
        <v/>
      </c>
      <c r="K65" s="126" t="str">
        <f aca="false">IF(IFERROR(INDEX(tsk_Name,GanttView[[#This Row],[_Row]])="",TRUE()),"",INDEX(tsk_Status,GanttView[[#This Row],[_Row]]))</f>
        <v/>
      </c>
      <c r="L65" s="126" t="str">
        <f aca="false">IF(IFERROR(INDEX(tsk_Name,GanttView[[#This Row],[_Row]])="",TRUE()),"",INDEX(tsk_Show,GanttView[[#This Row],[_Row]])&amp;"")</f>
        <v/>
      </c>
      <c r="M65" s="130" t="n">
        <f aca="false">ROW()-ROW(GanttView[[#Headers],[ID]])</f>
        <v>60</v>
      </c>
      <c r="N65" s="131" t="b">
        <f aca="false">IF(IFERROR(INDEX(tsk_Name,GanttView[[#This Row],[_Row]])="",TRUE()),FALSE(),INDEX(tsk_IsSummary,GanttView[[#This Row],[_Row]]))</f>
        <v>0</v>
      </c>
      <c r="O65" s="131" t="b">
        <f aca="false">IF(IFERROR(INDEX(tsk_Name,GanttView[[#This Row],[_Row]])="",TRUE()),FALSE(),AND(INDEX(tsk_IsLeaf,GanttView[[#This Row],[_Row]])=1,N(INDEX(tsk_Duration,GanttView[[#This Row],[_Row]]))=0))</f>
        <v>0</v>
      </c>
      <c r="P65" s="132" t="n">
        <f aca="false">IF(IFERROR(INDEX(tsk_Name,GanttView[[#This Row],[_Row]])="",TRUE()),0,IF(AND(INDEX(tsk_IsLeaf,GanttView[[#This Row],[_Row]])=1,NOT(GanttView[[#This Row],[_IsMilestone]]),N(GanttView[[#This Row],[%]])&gt;0),GanttView[[#This Row],[Forecast Start]],0))</f>
        <v>0</v>
      </c>
      <c r="Q65" s="132" t="n">
        <f aca="false">IF(GanttView[[#This Row],[_DoneFrom]]=0,0,IF(GanttView[[#This Row],[%]]&gt;=1,GanttView[[#This Row],[Forecast Finish]],MAX(GanttView[[#This Row],[_DoneFrom]],GanttView[[#This Row],[Forecast Start]]+ROUND((GanttView[[#This Row],[Forecast Finish]]-GanttView[[#This Row],[Forecast Start]]+1)*GanttView[[#This Row],[%]],0)-1)))</f>
        <v>0</v>
      </c>
      <c r="R65" s="132" t="n">
        <f aca="false">IF(IFERROR(INDEX(tsk_Name,GanttView[[#This Row],[_Row]])="",TRUE()),0,IF(OR(INDEX(tsk_IsLeaf,GanttView[[#This Row],[_Row]])&lt;&gt;1,GanttView[[#This Row],[_IsMilestone]],N(GanttView[[#This Row],[%]])&gt;=1),0,IF(GanttView[[#This Row],[_DoneTo]]&gt;0,GanttView[[#This Row],[_DoneTo]]+1,GanttView[[#This Row],[Forecast Start]])))</f>
        <v>0</v>
      </c>
      <c r="S65" s="132" t="n">
        <f aca="false">IF(GanttView[[#This Row],[_RemFrom]]=0,0,GanttView[[#This Row],[Forecast Finish]])</f>
        <v>0</v>
      </c>
      <c r="T65" s="131" t="b">
        <f aca="false">IF(IFERROR(INDEX(tsk_Name,GanttView[[#This Row],[_Row]])="",TRUE()),FALSE(),N(INDEX(tsk_Variance,GanttView[[#This Row],[_Row]]))&gt;0)</f>
        <v>0</v>
      </c>
      <c r="U65" s="132" t="n">
        <f aca="false">IF(IFERROR(INDEX(tsk_Name,GanttView[[#This Row],[_Row]])="",TRUE()),0,N(INDEX(tsk_Deadline,GanttView[[#This Row],[_Row]])))</f>
        <v>0</v>
      </c>
      <c r="V65" s="131" t="b">
        <f aca="false">IF(IFERROR(INDEX(tsk_Name,GanttView[[#This Row],[_Row]])="",TRUE()),FALSE(),INDEX(tsk_Critical,GanttView[[#This Row],[_Row]])="Yes")</f>
        <v>0</v>
      </c>
    </row>
    <row r="66" customFormat="false" ht="15" hidden="false" customHeight="false" outlineLevel="0" collapsed="false">
      <c r="A66" s="126" t="str">
        <f aca="false">IF(IFERROR(INDEX(tsk_Name,GanttView[[#This Row],[_Row]])="",TRUE()),"",INDEX(tsk_ID,GanttView[[#This Row],[_Row]]))</f>
        <v/>
      </c>
      <c r="B66" s="126" t="str">
        <f aca="false">IF(IFERROR(INDEX(tsk_Name,GanttView[[#This Row],[_Row]])="",TRUE()),"",INDEX(tsk_WBS,GanttView[[#This Row],[_Row]]))</f>
        <v/>
      </c>
      <c r="C66" s="127" t="str">
        <f aca="false">IF(IFERROR(INDEX(tsk_Name,GanttView[[#This Row],[_Row]])="",TRUE()),"",REPT("    ",INDEX(tsk_Level,GanttView[[#This Row],[_Row]])-1)&amp;INDEX(tsk_Name,GanttView[[#This Row],[_Row]]))</f>
        <v/>
      </c>
      <c r="D66" s="126" t="str">
        <f aca="false">IF(IFERROR(INDEX(tsk_Name,GanttView[[#This Row],[_Row]])="",TRUE()),"",IF(INDEX(tsk_IsSummary,GanttView[[#This Row],[_Row]]),NETWORKDAYS.INTL(INDEX(tsk_FcStart,GanttView[[#This Row],[_Row]]),INDEX(tsk_FcFinish,GanttView[[#This Row],[_Row]]),WorkWeek,Holidays),N(INDEX(tsk_Duration,GanttView[[#This Row],[_Row]]))))</f>
        <v/>
      </c>
      <c r="E66" s="128" t="str">
        <f aca="false">IF(IFERROR(INDEX(tsk_Name,GanttView[[#This Row],[_Row]])="",TRUE()),"",INDEX(tsk_PlanStart,GanttView[[#This Row],[_Row]]))</f>
        <v/>
      </c>
      <c r="F66" s="128" t="str">
        <f aca="false">IF(IFERROR(INDEX(tsk_Name,GanttView[[#This Row],[_Row]])="",TRUE()),"",INDEX(tsk_PlanFinish,GanttView[[#This Row],[_Row]]))</f>
        <v/>
      </c>
      <c r="G66" s="128" t="str">
        <f aca="false">IF(IFERROR(INDEX(tsk_Name,GanttView[[#This Row],[_Row]])="",TRUE()),"",INDEX(tsk_FcStart,GanttView[[#This Row],[_Row]]))</f>
        <v/>
      </c>
      <c r="H66" s="128" t="str">
        <f aca="false">IF(IFERROR(INDEX(tsk_Name,GanttView[[#This Row],[_Row]])="",TRUE()),"",INDEX(tsk_FcFinish,GanttView[[#This Row],[_Row]]))</f>
        <v/>
      </c>
      <c r="I66" s="129" t="str">
        <f aca="false">IF(IFERROR(INDEX(tsk_Name,GanttView[[#This Row],[_Row]])="",TRUE()),"",INDEX(tsk_Progress,GanttView[[#This Row],[_Row]]))</f>
        <v/>
      </c>
      <c r="J66" s="127" t="str">
        <f aca="false">IF(IFERROR(INDEX(tsk_Name,GanttView[[#This Row],[_Row]])="",TRUE()),"",INDEX(tsk_ResourceNames,GanttView[[#This Row],[_Row]])&amp;"")</f>
        <v/>
      </c>
      <c r="K66" s="126" t="str">
        <f aca="false">IF(IFERROR(INDEX(tsk_Name,GanttView[[#This Row],[_Row]])="",TRUE()),"",INDEX(tsk_Status,GanttView[[#This Row],[_Row]]))</f>
        <v/>
      </c>
      <c r="L66" s="126" t="str">
        <f aca="false">IF(IFERROR(INDEX(tsk_Name,GanttView[[#This Row],[_Row]])="",TRUE()),"",INDEX(tsk_Show,GanttView[[#This Row],[_Row]])&amp;"")</f>
        <v/>
      </c>
      <c r="M66" s="130" t="n">
        <f aca="false">ROW()-ROW(GanttView[[#Headers],[ID]])</f>
        <v>61</v>
      </c>
      <c r="N66" s="131" t="b">
        <f aca="false">IF(IFERROR(INDEX(tsk_Name,GanttView[[#This Row],[_Row]])="",TRUE()),FALSE(),INDEX(tsk_IsSummary,GanttView[[#This Row],[_Row]]))</f>
        <v>0</v>
      </c>
      <c r="O66" s="131" t="b">
        <f aca="false">IF(IFERROR(INDEX(tsk_Name,GanttView[[#This Row],[_Row]])="",TRUE()),FALSE(),AND(INDEX(tsk_IsLeaf,GanttView[[#This Row],[_Row]])=1,N(INDEX(tsk_Duration,GanttView[[#This Row],[_Row]]))=0))</f>
        <v>0</v>
      </c>
      <c r="P66" s="132" t="n">
        <f aca="false">IF(IFERROR(INDEX(tsk_Name,GanttView[[#This Row],[_Row]])="",TRUE()),0,IF(AND(INDEX(tsk_IsLeaf,GanttView[[#This Row],[_Row]])=1,NOT(GanttView[[#This Row],[_IsMilestone]]),N(GanttView[[#This Row],[%]])&gt;0),GanttView[[#This Row],[Forecast Start]],0))</f>
        <v>0</v>
      </c>
      <c r="Q66" s="132" t="n">
        <f aca="false">IF(GanttView[[#This Row],[_DoneFrom]]=0,0,IF(GanttView[[#This Row],[%]]&gt;=1,GanttView[[#This Row],[Forecast Finish]],MAX(GanttView[[#This Row],[_DoneFrom]],GanttView[[#This Row],[Forecast Start]]+ROUND((GanttView[[#This Row],[Forecast Finish]]-GanttView[[#This Row],[Forecast Start]]+1)*GanttView[[#This Row],[%]],0)-1)))</f>
        <v>0</v>
      </c>
      <c r="R66" s="132" t="n">
        <f aca="false">IF(IFERROR(INDEX(tsk_Name,GanttView[[#This Row],[_Row]])="",TRUE()),0,IF(OR(INDEX(tsk_IsLeaf,GanttView[[#This Row],[_Row]])&lt;&gt;1,GanttView[[#This Row],[_IsMilestone]],N(GanttView[[#This Row],[%]])&gt;=1),0,IF(GanttView[[#This Row],[_DoneTo]]&gt;0,GanttView[[#This Row],[_DoneTo]]+1,GanttView[[#This Row],[Forecast Start]])))</f>
        <v>0</v>
      </c>
      <c r="S66" s="132" t="n">
        <f aca="false">IF(GanttView[[#This Row],[_RemFrom]]=0,0,GanttView[[#This Row],[Forecast Finish]])</f>
        <v>0</v>
      </c>
      <c r="T66" s="131" t="b">
        <f aca="false">IF(IFERROR(INDEX(tsk_Name,GanttView[[#This Row],[_Row]])="",TRUE()),FALSE(),N(INDEX(tsk_Variance,GanttView[[#This Row],[_Row]]))&gt;0)</f>
        <v>0</v>
      </c>
      <c r="U66" s="132" t="n">
        <f aca="false">IF(IFERROR(INDEX(tsk_Name,GanttView[[#This Row],[_Row]])="",TRUE()),0,N(INDEX(tsk_Deadline,GanttView[[#This Row],[_Row]])))</f>
        <v>0</v>
      </c>
      <c r="V66" s="131" t="b">
        <f aca="false">IF(IFERROR(INDEX(tsk_Name,GanttView[[#This Row],[_Row]])="",TRUE()),FALSE(),INDEX(tsk_Critical,GanttView[[#This Row],[_Row]])="Yes")</f>
        <v>0</v>
      </c>
    </row>
    <row r="67" customFormat="false" ht="15" hidden="false" customHeight="false" outlineLevel="0" collapsed="false">
      <c r="A67" s="126" t="str">
        <f aca="false">IF(IFERROR(INDEX(tsk_Name,GanttView[[#This Row],[_Row]])="",TRUE()),"",INDEX(tsk_ID,GanttView[[#This Row],[_Row]]))</f>
        <v/>
      </c>
      <c r="B67" s="126" t="str">
        <f aca="false">IF(IFERROR(INDEX(tsk_Name,GanttView[[#This Row],[_Row]])="",TRUE()),"",INDEX(tsk_WBS,GanttView[[#This Row],[_Row]]))</f>
        <v/>
      </c>
      <c r="C67" s="127" t="str">
        <f aca="false">IF(IFERROR(INDEX(tsk_Name,GanttView[[#This Row],[_Row]])="",TRUE()),"",REPT("    ",INDEX(tsk_Level,GanttView[[#This Row],[_Row]])-1)&amp;INDEX(tsk_Name,GanttView[[#This Row],[_Row]]))</f>
        <v/>
      </c>
      <c r="D67" s="126" t="str">
        <f aca="false">IF(IFERROR(INDEX(tsk_Name,GanttView[[#This Row],[_Row]])="",TRUE()),"",IF(INDEX(tsk_IsSummary,GanttView[[#This Row],[_Row]]),NETWORKDAYS.INTL(INDEX(tsk_FcStart,GanttView[[#This Row],[_Row]]),INDEX(tsk_FcFinish,GanttView[[#This Row],[_Row]]),WorkWeek,Holidays),N(INDEX(tsk_Duration,GanttView[[#This Row],[_Row]]))))</f>
        <v/>
      </c>
      <c r="E67" s="128" t="str">
        <f aca="false">IF(IFERROR(INDEX(tsk_Name,GanttView[[#This Row],[_Row]])="",TRUE()),"",INDEX(tsk_PlanStart,GanttView[[#This Row],[_Row]]))</f>
        <v/>
      </c>
      <c r="F67" s="128" t="str">
        <f aca="false">IF(IFERROR(INDEX(tsk_Name,GanttView[[#This Row],[_Row]])="",TRUE()),"",INDEX(tsk_PlanFinish,GanttView[[#This Row],[_Row]]))</f>
        <v/>
      </c>
      <c r="G67" s="128" t="str">
        <f aca="false">IF(IFERROR(INDEX(tsk_Name,GanttView[[#This Row],[_Row]])="",TRUE()),"",INDEX(tsk_FcStart,GanttView[[#This Row],[_Row]]))</f>
        <v/>
      </c>
      <c r="H67" s="128" t="str">
        <f aca="false">IF(IFERROR(INDEX(tsk_Name,GanttView[[#This Row],[_Row]])="",TRUE()),"",INDEX(tsk_FcFinish,GanttView[[#This Row],[_Row]]))</f>
        <v/>
      </c>
      <c r="I67" s="129" t="str">
        <f aca="false">IF(IFERROR(INDEX(tsk_Name,GanttView[[#This Row],[_Row]])="",TRUE()),"",INDEX(tsk_Progress,GanttView[[#This Row],[_Row]]))</f>
        <v/>
      </c>
      <c r="J67" s="127" t="str">
        <f aca="false">IF(IFERROR(INDEX(tsk_Name,GanttView[[#This Row],[_Row]])="",TRUE()),"",INDEX(tsk_ResourceNames,GanttView[[#This Row],[_Row]])&amp;"")</f>
        <v/>
      </c>
      <c r="K67" s="126" t="str">
        <f aca="false">IF(IFERROR(INDEX(tsk_Name,GanttView[[#This Row],[_Row]])="",TRUE()),"",INDEX(tsk_Status,GanttView[[#This Row],[_Row]]))</f>
        <v/>
      </c>
      <c r="L67" s="126" t="str">
        <f aca="false">IF(IFERROR(INDEX(tsk_Name,GanttView[[#This Row],[_Row]])="",TRUE()),"",INDEX(tsk_Show,GanttView[[#This Row],[_Row]])&amp;"")</f>
        <v/>
      </c>
      <c r="M67" s="130" t="n">
        <f aca="false">ROW()-ROW(GanttView[[#Headers],[ID]])</f>
        <v>62</v>
      </c>
      <c r="N67" s="131" t="b">
        <f aca="false">IF(IFERROR(INDEX(tsk_Name,GanttView[[#This Row],[_Row]])="",TRUE()),FALSE(),INDEX(tsk_IsSummary,GanttView[[#This Row],[_Row]]))</f>
        <v>0</v>
      </c>
      <c r="O67" s="131" t="b">
        <f aca="false">IF(IFERROR(INDEX(tsk_Name,GanttView[[#This Row],[_Row]])="",TRUE()),FALSE(),AND(INDEX(tsk_IsLeaf,GanttView[[#This Row],[_Row]])=1,N(INDEX(tsk_Duration,GanttView[[#This Row],[_Row]]))=0))</f>
        <v>0</v>
      </c>
      <c r="P67" s="132" t="n">
        <f aca="false">IF(IFERROR(INDEX(tsk_Name,GanttView[[#This Row],[_Row]])="",TRUE()),0,IF(AND(INDEX(tsk_IsLeaf,GanttView[[#This Row],[_Row]])=1,NOT(GanttView[[#This Row],[_IsMilestone]]),N(GanttView[[#This Row],[%]])&gt;0),GanttView[[#This Row],[Forecast Start]],0))</f>
        <v>0</v>
      </c>
      <c r="Q67" s="132" t="n">
        <f aca="false">IF(GanttView[[#This Row],[_DoneFrom]]=0,0,IF(GanttView[[#This Row],[%]]&gt;=1,GanttView[[#This Row],[Forecast Finish]],MAX(GanttView[[#This Row],[_DoneFrom]],GanttView[[#This Row],[Forecast Start]]+ROUND((GanttView[[#This Row],[Forecast Finish]]-GanttView[[#This Row],[Forecast Start]]+1)*GanttView[[#This Row],[%]],0)-1)))</f>
        <v>0</v>
      </c>
      <c r="R67" s="132" t="n">
        <f aca="false">IF(IFERROR(INDEX(tsk_Name,GanttView[[#This Row],[_Row]])="",TRUE()),0,IF(OR(INDEX(tsk_IsLeaf,GanttView[[#This Row],[_Row]])&lt;&gt;1,GanttView[[#This Row],[_IsMilestone]],N(GanttView[[#This Row],[%]])&gt;=1),0,IF(GanttView[[#This Row],[_DoneTo]]&gt;0,GanttView[[#This Row],[_DoneTo]]+1,GanttView[[#This Row],[Forecast Start]])))</f>
        <v>0</v>
      </c>
      <c r="S67" s="132" t="n">
        <f aca="false">IF(GanttView[[#This Row],[_RemFrom]]=0,0,GanttView[[#This Row],[Forecast Finish]])</f>
        <v>0</v>
      </c>
      <c r="T67" s="131" t="b">
        <f aca="false">IF(IFERROR(INDEX(tsk_Name,GanttView[[#This Row],[_Row]])="",TRUE()),FALSE(),N(INDEX(tsk_Variance,GanttView[[#This Row],[_Row]]))&gt;0)</f>
        <v>0</v>
      </c>
      <c r="U67" s="132" t="n">
        <f aca="false">IF(IFERROR(INDEX(tsk_Name,GanttView[[#This Row],[_Row]])="",TRUE()),0,N(INDEX(tsk_Deadline,GanttView[[#This Row],[_Row]])))</f>
        <v>0</v>
      </c>
      <c r="V67" s="131" t="b">
        <f aca="false">IF(IFERROR(INDEX(tsk_Name,GanttView[[#This Row],[_Row]])="",TRUE()),FALSE(),INDEX(tsk_Critical,GanttView[[#This Row],[_Row]])="Yes")</f>
        <v>0</v>
      </c>
    </row>
    <row r="68" customFormat="false" ht="15" hidden="false" customHeight="false" outlineLevel="0" collapsed="false">
      <c r="A68" s="126" t="str">
        <f aca="false">IF(IFERROR(INDEX(tsk_Name,GanttView[[#This Row],[_Row]])="",TRUE()),"",INDEX(tsk_ID,GanttView[[#This Row],[_Row]]))</f>
        <v/>
      </c>
      <c r="B68" s="126" t="str">
        <f aca="false">IF(IFERROR(INDEX(tsk_Name,GanttView[[#This Row],[_Row]])="",TRUE()),"",INDEX(tsk_WBS,GanttView[[#This Row],[_Row]]))</f>
        <v/>
      </c>
      <c r="C68" s="127" t="str">
        <f aca="false">IF(IFERROR(INDEX(tsk_Name,GanttView[[#This Row],[_Row]])="",TRUE()),"",REPT("    ",INDEX(tsk_Level,GanttView[[#This Row],[_Row]])-1)&amp;INDEX(tsk_Name,GanttView[[#This Row],[_Row]]))</f>
        <v/>
      </c>
      <c r="D68" s="126" t="str">
        <f aca="false">IF(IFERROR(INDEX(tsk_Name,GanttView[[#This Row],[_Row]])="",TRUE()),"",IF(INDEX(tsk_IsSummary,GanttView[[#This Row],[_Row]]),NETWORKDAYS.INTL(INDEX(tsk_FcStart,GanttView[[#This Row],[_Row]]),INDEX(tsk_FcFinish,GanttView[[#This Row],[_Row]]),WorkWeek,Holidays),N(INDEX(tsk_Duration,GanttView[[#This Row],[_Row]]))))</f>
        <v/>
      </c>
      <c r="E68" s="128" t="str">
        <f aca="false">IF(IFERROR(INDEX(tsk_Name,GanttView[[#This Row],[_Row]])="",TRUE()),"",INDEX(tsk_PlanStart,GanttView[[#This Row],[_Row]]))</f>
        <v/>
      </c>
      <c r="F68" s="128" t="str">
        <f aca="false">IF(IFERROR(INDEX(tsk_Name,GanttView[[#This Row],[_Row]])="",TRUE()),"",INDEX(tsk_PlanFinish,GanttView[[#This Row],[_Row]]))</f>
        <v/>
      </c>
      <c r="G68" s="128" t="str">
        <f aca="false">IF(IFERROR(INDEX(tsk_Name,GanttView[[#This Row],[_Row]])="",TRUE()),"",INDEX(tsk_FcStart,GanttView[[#This Row],[_Row]]))</f>
        <v/>
      </c>
      <c r="H68" s="128" t="str">
        <f aca="false">IF(IFERROR(INDEX(tsk_Name,GanttView[[#This Row],[_Row]])="",TRUE()),"",INDEX(tsk_FcFinish,GanttView[[#This Row],[_Row]]))</f>
        <v/>
      </c>
      <c r="I68" s="129" t="str">
        <f aca="false">IF(IFERROR(INDEX(tsk_Name,GanttView[[#This Row],[_Row]])="",TRUE()),"",INDEX(tsk_Progress,GanttView[[#This Row],[_Row]]))</f>
        <v/>
      </c>
      <c r="J68" s="127" t="str">
        <f aca="false">IF(IFERROR(INDEX(tsk_Name,GanttView[[#This Row],[_Row]])="",TRUE()),"",INDEX(tsk_ResourceNames,GanttView[[#This Row],[_Row]])&amp;"")</f>
        <v/>
      </c>
      <c r="K68" s="126" t="str">
        <f aca="false">IF(IFERROR(INDEX(tsk_Name,GanttView[[#This Row],[_Row]])="",TRUE()),"",INDEX(tsk_Status,GanttView[[#This Row],[_Row]]))</f>
        <v/>
      </c>
      <c r="L68" s="126" t="str">
        <f aca="false">IF(IFERROR(INDEX(tsk_Name,GanttView[[#This Row],[_Row]])="",TRUE()),"",INDEX(tsk_Show,GanttView[[#This Row],[_Row]])&amp;"")</f>
        <v/>
      </c>
      <c r="M68" s="130" t="n">
        <f aca="false">ROW()-ROW(GanttView[[#Headers],[ID]])</f>
        <v>63</v>
      </c>
      <c r="N68" s="131" t="b">
        <f aca="false">IF(IFERROR(INDEX(tsk_Name,GanttView[[#This Row],[_Row]])="",TRUE()),FALSE(),INDEX(tsk_IsSummary,GanttView[[#This Row],[_Row]]))</f>
        <v>0</v>
      </c>
      <c r="O68" s="131" t="b">
        <f aca="false">IF(IFERROR(INDEX(tsk_Name,GanttView[[#This Row],[_Row]])="",TRUE()),FALSE(),AND(INDEX(tsk_IsLeaf,GanttView[[#This Row],[_Row]])=1,N(INDEX(tsk_Duration,GanttView[[#This Row],[_Row]]))=0))</f>
        <v>0</v>
      </c>
      <c r="P68" s="132" t="n">
        <f aca="false">IF(IFERROR(INDEX(tsk_Name,GanttView[[#This Row],[_Row]])="",TRUE()),0,IF(AND(INDEX(tsk_IsLeaf,GanttView[[#This Row],[_Row]])=1,NOT(GanttView[[#This Row],[_IsMilestone]]),N(GanttView[[#This Row],[%]])&gt;0),GanttView[[#This Row],[Forecast Start]],0))</f>
        <v>0</v>
      </c>
      <c r="Q68" s="132" t="n">
        <f aca="false">IF(GanttView[[#This Row],[_DoneFrom]]=0,0,IF(GanttView[[#This Row],[%]]&gt;=1,GanttView[[#This Row],[Forecast Finish]],MAX(GanttView[[#This Row],[_DoneFrom]],GanttView[[#This Row],[Forecast Start]]+ROUND((GanttView[[#This Row],[Forecast Finish]]-GanttView[[#This Row],[Forecast Start]]+1)*GanttView[[#This Row],[%]],0)-1)))</f>
        <v>0</v>
      </c>
      <c r="R68" s="132" t="n">
        <f aca="false">IF(IFERROR(INDEX(tsk_Name,GanttView[[#This Row],[_Row]])="",TRUE()),0,IF(OR(INDEX(tsk_IsLeaf,GanttView[[#This Row],[_Row]])&lt;&gt;1,GanttView[[#This Row],[_IsMilestone]],N(GanttView[[#This Row],[%]])&gt;=1),0,IF(GanttView[[#This Row],[_DoneTo]]&gt;0,GanttView[[#This Row],[_DoneTo]]+1,GanttView[[#This Row],[Forecast Start]])))</f>
        <v>0</v>
      </c>
      <c r="S68" s="132" t="n">
        <f aca="false">IF(GanttView[[#This Row],[_RemFrom]]=0,0,GanttView[[#This Row],[Forecast Finish]])</f>
        <v>0</v>
      </c>
      <c r="T68" s="131" t="b">
        <f aca="false">IF(IFERROR(INDEX(tsk_Name,GanttView[[#This Row],[_Row]])="",TRUE()),FALSE(),N(INDEX(tsk_Variance,GanttView[[#This Row],[_Row]]))&gt;0)</f>
        <v>0</v>
      </c>
      <c r="U68" s="132" t="n">
        <f aca="false">IF(IFERROR(INDEX(tsk_Name,GanttView[[#This Row],[_Row]])="",TRUE()),0,N(INDEX(tsk_Deadline,GanttView[[#This Row],[_Row]])))</f>
        <v>0</v>
      </c>
      <c r="V68" s="131" t="b">
        <f aca="false">IF(IFERROR(INDEX(tsk_Name,GanttView[[#This Row],[_Row]])="",TRUE()),FALSE(),INDEX(tsk_Critical,GanttView[[#This Row],[_Row]])="Yes")</f>
        <v>0</v>
      </c>
    </row>
    <row r="69" customFormat="false" ht="15" hidden="false" customHeight="false" outlineLevel="0" collapsed="false">
      <c r="A69" s="126" t="str">
        <f aca="false">IF(IFERROR(INDEX(tsk_Name,GanttView[[#This Row],[_Row]])="",TRUE()),"",INDEX(tsk_ID,GanttView[[#This Row],[_Row]]))</f>
        <v/>
      </c>
      <c r="B69" s="126" t="str">
        <f aca="false">IF(IFERROR(INDEX(tsk_Name,GanttView[[#This Row],[_Row]])="",TRUE()),"",INDEX(tsk_WBS,GanttView[[#This Row],[_Row]]))</f>
        <v/>
      </c>
      <c r="C69" s="127" t="str">
        <f aca="false">IF(IFERROR(INDEX(tsk_Name,GanttView[[#This Row],[_Row]])="",TRUE()),"",REPT("    ",INDEX(tsk_Level,GanttView[[#This Row],[_Row]])-1)&amp;INDEX(tsk_Name,GanttView[[#This Row],[_Row]]))</f>
        <v/>
      </c>
      <c r="D69" s="126" t="str">
        <f aca="false">IF(IFERROR(INDEX(tsk_Name,GanttView[[#This Row],[_Row]])="",TRUE()),"",IF(INDEX(tsk_IsSummary,GanttView[[#This Row],[_Row]]),NETWORKDAYS.INTL(INDEX(tsk_FcStart,GanttView[[#This Row],[_Row]]),INDEX(tsk_FcFinish,GanttView[[#This Row],[_Row]]),WorkWeek,Holidays),N(INDEX(tsk_Duration,GanttView[[#This Row],[_Row]]))))</f>
        <v/>
      </c>
      <c r="E69" s="128" t="str">
        <f aca="false">IF(IFERROR(INDEX(tsk_Name,GanttView[[#This Row],[_Row]])="",TRUE()),"",INDEX(tsk_PlanStart,GanttView[[#This Row],[_Row]]))</f>
        <v/>
      </c>
      <c r="F69" s="128" t="str">
        <f aca="false">IF(IFERROR(INDEX(tsk_Name,GanttView[[#This Row],[_Row]])="",TRUE()),"",INDEX(tsk_PlanFinish,GanttView[[#This Row],[_Row]]))</f>
        <v/>
      </c>
      <c r="G69" s="128" t="str">
        <f aca="false">IF(IFERROR(INDEX(tsk_Name,GanttView[[#This Row],[_Row]])="",TRUE()),"",INDEX(tsk_FcStart,GanttView[[#This Row],[_Row]]))</f>
        <v/>
      </c>
      <c r="H69" s="128" t="str">
        <f aca="false">IF(IFERROR(INDEX(tsk_Name,GanttView[[#This Row],[_Row]])="",TRUE()),"",INDEX(tsk_FcFinish,GanttView[[#This Row],[_Row]]))</f>
        <v/>
      </c>
      <c r="I69" s="129" t="str">
        <f aca="false">IF(IFERROR(INDEX(tsk_Name,GanttView[[#This Row],[_Row]])="",TRUE()),"",INDEX(tsk_Progress,GanttView[[#This Row],[_Row]]))</f>
        <v/>
      </c>
      <c r="J69" s="127" t="str">
        <f aca="false">IF(IFERROR(INDEX(tsk_Name,GanttView[[#This Row],[_Row]])="",TRUE()),"",INDEX(tsk_ResourceNames,GanttView[[#This Row],[_Row]])&amp;"")</f>
        <v/>
      </c>
      <c r="K69" s="126" t="str">
        <f aca="false">IF(IFERROR(INDEX(tsk_Name,GanttView[[#This Row],[_Row]])="",TRUE()),"",INDEX(tsk_Status,GanttView[[#This Row],[_Row]]))</f>
        <v/>
      </c>
      <c r="L69" s="126" t="str">
        <f aca="false">IF(IFERROR(INDEX(tsk_Name,GanttView[[#This Row],[_Row]])="",TRUE()),"",INDEX(tsk_Show,GanttView[[#This Row],[_Row]])&amp;"")</f>
        <v/>
      </c>
      <c r="M69" s="130" t="n">
        <f aca="false">ROW()-ROW(GanttView[[#Headers],[ID]])</f>
        <v>64</v>
      </c>
      <c r="N69" s="131" t="b">
        <f aca="false">IF(IFERROR(INDEX(tsk_Name,GanttView[[#This Row],[_Row]])="",TRUE()),FALSE(),INDEX(tsk_IsSummary,GanttView[[#This Row],[_Row]]))</f>
        <v>0</v>
      </c>
      <c r="O69" s="131" t="b">
        <f aca="false">IF(IFERROR(INDEX(tsk_Name,GanttView[[#This Row],[_Row]])="",TRUE()),FALSE(),AND(INDEX(tsk_IsLeaf,GanttView[[#This Row],[_Row]])=1,N(INDEX(tsk_Duration,GanttView[[#This Row],[_Row]]))=0))</f>
        <v>0</v>
      </c>
      <c r="P69" s="132" t="n">
        <f aca="false">IF(IFERROR(INDEX(tsk_Name,GanttView[[#This Row],[_Row]])="",TRUE()),0,IF(AND(INDEX(tsk_IsLeaf,GanttView[[#This Row],[_Row]])=1,NOT(GanttView[[#This Row],[_IsMilestone]]),N(GanttView[[#This Row],[%]])&gt;0),GanttView[[#This Row],[Forecast Start]],0))</f>
        <v>0</v>
      </c>
      <c r="Q69" s="132" t="n">
        <f aca="false">IF(GanttView[[#This Row],[_DoneFrom]]=0,0,IF(GanttView[[#This Row],[%]]&gt;=1,GanttView[[#This Row],[Forecast Finish]],MAX(GanttView[[#This Row],[_DoneFrom]],GanttView[[#This Row],[Forecast Start]]+ROUND((GanttView[[#This Row],[Forecast Finish]]-GanttView[[#This Row],[Forecast Start]]+1)*GanttView[[#This Row],[%]],0)-1)))</f>
        <v>0</v>
      </c>
      <c r="R69" s="132" t="n">
        <f aca="false">IF(IFERROR(INDEX(tsk_Name,GanttView[[#This Row],[_Row]])="",TRUE()),0,IF(OR(INDEX(tsk_IsLeaf,GanttView[[#This Row],[_Row]])&lt;&gt;1,GanttView[[#This Row],[_IsMilestone]],N(GanttView[[#This Row],[%]])&gt;=1),0,IF(GanttView[[#This Row],[_DoneTo]]&gt;0,GanttView[[#This Row],[_DoneTo]]+1,GanttView[[#This Row],[Forecast Start]])))</f>
        <v>0</v>
      </c>
      <c r="S69" s="132" t="n">
        <f aca="false">IF(GanttView[[#This Row],[_RemFrom]]=0,0,GanttView[[#This Row],[Forecast Finish]])</f>
        <v>0</v>
      </c>
      <c r="T69" s="131" t="b">
        <f aca="false">IF(IFERROR(INDEX(tsk_Name,GanttView[[#This Row],[_Row]])="",TRUE()),FALSE(),N(INDEX(tsk_Variance,GanttView[[#This Row],[_Row]]))&gt;0)</f>
        <v>0</v>
      </c>
      <c r="U69" s="132" t="n">
        <f aca="false">IF(IFERROR(INDEX(tsk_Name,GanttView[[#This Row],[_Row]])="",TRUE()),0,N(INDEX(tsk_Deadline,GanttView[[#This Row],[_Row]])))</f>
        <v>0</v>
      </c>
      <c r="V69" s="131" t="b">
        <f aca="false">IF(IFERROR(INDEX(tsk_Name,GanttView[[#This Row],[_Row]])="",TRUE()),FALSE(),INDEX(tsk_Critical,GanttView[[#This Row],[_Row]])="Yes")</f>
        <v>0</v>
      </c>
    </row>
    <row r="70" customFormat="false" ht="15" hidden="false" customHeight="false" outlineLevel="0" collapsed="false">
      <c r="A70" s="126" t="str">
        <f aca="false">IF(IFERROR(INDEX(tsk_Name,GanttView[[#This Row],[_Row]])="",TRUE()),"",INDEX(tsk_ID,GanttView[[#This Row],[_Row]]))</f>
        <v/>
      </c>
      <c r="B70" s="126" t="str">
        <f aca="false">IF(IFERROR(INDEX(tsk_Name,GanttView[[#This Row],[_Row]])="",TRUE()),"",INDEX(tsk_WBS,GanttView[[#This Row],[_Row]]))</f>
        <v/>
      </c>
      <c r="C70" s="127" t="str">
        <f aca="false">IF(IFERROR(INDEX(tsk_Name,GanttView[[#This Row],[_Row]])="",TRUE()),"",REPT("    ",INDEX(tsk_Level,GanttView[[#This Row],[_Row]])-1)&amp;INDEX(tsk_Name,GanttView[[#This Row],[_Row]]))</f>
        <v/>
      </c>
      <c r="D70" s="126" t="str">
        <f aca="false">IF(IFERROR(INDEX(tsk_Name,GanttView[[#This Row],[_Row]])="",TRUE()),"",IF(INDEX(tsk_IsSummary,GanttView[[#This Row],[_Row]]),NETWORKDAYS.INTL(INDEX(tsk_FcStart,GanttView[[#This Row],[_Row]]),INDEX(tsk_FcFinish,GanttView[[#This Row],[_Row]]),WorkWeek,Holidays),N(INDEX(tsk_Duration,GanttView[[#This Row],[_Row]]))))</f>
        <v/>
      </c>
      <c r="E70" s="128" t="str">
        <f aca="false">IF(IFERROR(INDEX(tsk_Name,GanttView[[#This Row],[_Row]])="",TRUE()),"",INDEX(tsk_PlanStart,GanttView[[#This Row],[_Row]]))</f>
        <v/>
      </c>
      <c r="F70" s="128" t="str">
        <f aca="false">IF(IFERROR(INDEX(tsk_Name,GanttView[[#This Row],[_Row]])="",TRUE()),"",INDEX(tsk_PlanFinish,GanttView[[#This Row],[_Row]]))</f>
        <v/>
      </c>
      <c r="G70" s="128" t="str">
        <f aca="false">IF(IFERROR(INDEX(tsk_Name,GanttView[[#This Row],[_Row]])="",TRUE()),"",INDEX(tsk_FcStart,GanttView[[#This Row],[_Row]]))</f>
        <v/>
      </c>
      <c r="H70" s="128" t="str">
        <f aca="false">IF(IFERROR(INDEX(tsk_Name,GanttView[[#This Row],[_Row]])="",TRUE()),"",INDEX(tsk_FcFinish,GanttView[[#This Row],[_Row]]))</f>
        <v/>
      </c>
      <c r="I70" s="129" t="str">
        <f aca="false">IF(IFERROR(INDEX(tsk_Name,GanttView[[#This Row],[_Row]])="",TRUE()),"",INDEX(tsk_Progress,GanttView[[#This Row],[_Row]]))</f>
        <v/>
      </c>
      <c r="J70" s="127" t="str">
        <f aca="false">IF(IFERROR(INDEX(tsk_Name,GanttView[[#This Row],[_Row]])="",TRUE()),"",INDEX(tsk_ResourceNames,GanttView[[#This Row],[_Row]])&amp;"")</f>
        <v/>
      </c>
      <c r="K70" s="126" t="str">
        <f aca="false">IF(IFERROR(INDEX(tsk_Name,GanttView[[#This Row],[_Row]])="",TRUE()),"",INDEX(tsk_Status,GanttView[[#This Row],[_Row]]))</f>
        <v/>
      </c>
      <c r="L70" s="126" t="str">
        <f aca="false">IF(IFERROR(INDEX(tsk_Name,GanttView[[#This Row],[_Row]])="",TRUE()),"",INDEX(tsk_Show,GanttView[[#This Row],[_Row]])&amp;"")</f>
        <v/>
      </c>
      <c r="M70" s="130" t="n">
        <f aca="false">ROW()-ROW(GanttView[[#Headers],[ID]])</f>
        <v>65</v>
      </c>
      <c r="N70" s="131" t="b">
        <f aca="false">IF(IFERROR(INDEX(tsk_Name,GanttView[[#This Row],[_Row]])="",TRUE()),FALSE(),INDEX(tsk_IsSummary,GanttView[[#This Row],[_Row]]))</f>
        <v>0</v>
      </c>
      <c r="O70" s="131" t="b">
        <f aca="false">IF(IFERROR(INDEX(tsk_Name,GanttView[[#This Row],[_Row]])="",TRUE()),FALSE(),AND(INDEX(tsk_IsLeaf,GanttView[[#This Row],[_Row]])=1,N(INDEX(tsk_Duration,GanttView[[#This Row],[_Row]]))=0))</f>
        <v>0</v>
      </c>
      <c r="P70" s="132" t="n">
        <f aca="false">IF(IFERROR(INDEX(tsk_Name,GanttView[[#This Row],[_Row]])="",TRUE()),0,IF(AND(INDEX(tsk_IsLeaf,GanttView[[#This Row],[_Row]])=1,NOT(GanttView[[#This Row],[_IsMilestone]]),N(GanttView[[#This Row],[%]])&gt;0),GanttView[[#This Row],[Forecast Start]],0))</f>
        <v>0</v>
      </c>
      <c r="Q70" s="132" t="n">
        <f aca="false">IF(GanttView[[#This Row],[_DoneFrom]]=0,0,IF(GanttView[[#This Row],[%]]&gt;=1,GanttView[[#This Row],[Forecast Finish]],MAX(GanttView[[#This Row],[_DoneFrom]],GanttView[[#This Row],[Forecast Start]]+ROUND((GanttView[[#This Row],[Forecast Finish]]-GanttView[[#This Row],[Forecast Start]]+1)*GanttView[[#This Row],[%]],0)-1)))</f>
        <v>0</v>
      </c>
      <c r="R70" s="132" t="n">
        <f aca="false">IF(IFERROR(INDEX(tsk_Name,GanttView[[#This Row],[_Row]])="",TRUE()),0,IF(OR(INDEX(tsk_IsLeaf,GanttView[[#This Row],[_Row]])&lt;&gt;1,GanttView[[#This Row],[_IsMilestone]],N(GanttView[[#This Row],[%]])&gt;=1),0,IF(GanttView[[#This Row],[_DoneTo]]&gt;0,GanttView[[#This Row],[_DoneTo]]+1,GanttView[[#This Row],[Forecast Start]])))</f>
        <v>0</v>
      </c>
      <c r="S70" s="132" t="n">
        <f aca="false">IF(GanttView[[#This Row],[_RemFrom]]=0,0,GanttView[[#This Row],[Forecast Finish]])</f>
        <v>0</v>
      </c>
      <c r="T70" s="131" t="b">
        <f aca="false">IF(IFERROR(INDEX(tsk_Name,GanttView[[#This Row],[_Row]])="",TRUE()),FALSE(),N(INDEX(tsk_Variance,GanttView[[#This Row],[_Row]]))&gt;0)</f>
        <v>0</v>
      </c>
      <c r="U70" s="132" t="n">
        <f aca="false">IF(IFERROR(INDEX(tsk_Name,GanttView[[#This Row],[_Row]])="",TRUE()),0,N(INDEX(tsk_Deadline,GanttView[[#This Row],[_Row]])))</f>
        <v>0</v>
      </c>
      <c r="V70" s="131" t="b">
        <f aca="false">IF(IFERROR(INDEX(tsk_Name,GanttView[[#This Row],[_Row]])="",TRUE()),FALSE(),INDEX(tsk_Critical,GanttView[[#This Row],[_Row]])="Yes")</f>
        <v>0</v>
      </c>
    </row>
    <row r="71" customFormat="false" ht="15" hidden="false" customHeight="false" outlineLevel="0" collapsed="false">
      <c r="A71" s="126" t="str">
        <f aca="false">IF(IFERROR(INDEX(tsk_Name,GanttView[[#This Row],[_Row]])="",TRUE()),"",INDEX(tsk_ID,GanttView[[#This Row],[_Row]]))</f>
        <v/>
      </c>
      <c r="B71" s="126" t="str">
        <f aca="false">IF(IFERROR(INDEX(tsk_Name,GanttView[[#This Row],[_Row]])="",TRUE()),"",INDEX(tsk_WBS,GanttView[[#This Row],[_Row]]))</f>
        <v/>
      </c>
      <c r="C71" s="127" t="str">
        <f aca="false">IF(IFERROR(INDEX(tsk_Name,GanttView[[#This Row],[_Row]])="",TRUE()),"",REPT("    ",INDEX(tsk_Level,GanttView[[#This Row],[_Row]])-1)&amp;INDEX(tsk_Name,GanttView[[#This Row],[_Row]]))</f>
        <v/>
      </c>
      <c r="D71" s="126" t="str">
        <f aca="false">IF(IFERROR(INDEX(tsk_Name,GanttView[[#This Row],[_Row]])="",TRUE()),"",IF(INDEX(tsk_IsSummary,GanttView[[#This Row],[_Row]]),NETWORKDAYS.INTL(INDEX(tsk_FcStart,GanttView[[#This Row],[_Row]]),INDEX(tsk_FcFinish,GanttView[[#This Row],[_Row]]),WorkWeek,Holidays),N(INDEX(tsk_Duration,GanttView[[#This Row],[_Row]]))))</f>
        <v/>
      </c>
      <c r="E71" s="128" t="str">
        <f aca="false">IF(IFERROR(INDEX(tsk_Name,GanttView[[#This Row],[_Row]])="",TRUE()),"",INDEX(tsk_PlanStart,GanttView[[#This Row],[_Row]]))</f>
        <v/>
      </c>
      <c r="F71" s="128" t="str">
        <f aca="false">IF(IFERROR(INDEX(tsk_Name,GanttView[[#This Row],[_Row]])="",TRUE()),"",INDEX(tsk_PlanFinish,GanttView[[#This Row],[_Row]]))</f>
        <v/>
      </c>
      <c r="G71" s="128" t="str">
        <f aca="false">IF(IFERROR(INDEX(tsk_Name,GanttView[[#This Row],[_Row]])="",TRUE()),"",INDEX(tsk_FcStart,GanttView[[#This Row],[_Row]]))</f>
        <v/>
      </c>
      <c r="H71" s="128" t="str">
        <f aca="false">IF(IFERROR(INDEX(tsk_Name,GanttView[[#This Row],[_Row]])="",TRUE()),"",INDEX(tsk_FcFinish,GanttView[[#This Row],[_Row]]))</f>
        <v/>
      </c>
      <c r="I71" s="129" t="str">
        <f aca="false">IF(IFERROR(INDEX(tsk_Name,GanttView[[#This Row],[_Row]])="",TRUE()),"",INDEX(tsk_Progress,GanttView[[#This Row],[_Row]]))</f>
        <v/>
      </c>
      <c r="J71" s="127" t="str">
        <f aca="false">IF(IFERROR(INDEX(tsk_Name,GanttView[[#This Row],[_Row]])="",TRUE()),"",INDEX(tsk_ResourceNames,GanttView[[#This Row],[_Row]])&amp;"")</f>
        <v/>
      </c>
      <c r="K71" s="126" t="str">
        <f aca="false">IF(IFERROR(INDEX(tsk_Name,GanttView[[#This Row],[_Row]])="",TRUE()),"",INDEX(tsk_Status,GanttView[[#This Row],[_Row]]))</f>
        <v/>
      </c>
      <c r="L71" s="126" t="str">
        <f aca="false">IF(IFERROR(INDEX(tsk_Name,GanttView[[#This Row],[_Row]])="",TRUE()),"",INDEX(tsk_Show,GanttView[[#This Row],[_Row]])&amp;"")</f>
        <v/>
      </c>
      <c r="M71" s="130" t="n">
        <f aca="false">ROW()-ROW(GanttView[[#Headers],[ID]])</f>
        <v>66</v>
      </c>
      <c r="N71" s="131" t="b">
        <f aca="false">IF(IFERROR(INDEX(tsk_Name,GanttView[[#This Row],[_Row]])="",TRUE()),FALSE(),INDEX(tsk_IsSummary,GanttView[[#This Row],[_Row]]))</f>
        <v>0</v>
      </c>
      <c r="O71" s="131" t="b">
        <f aca="false">IF(IFERROR(INDEX(tsk_Name,GanttView[[#This Row],[_Row]])="",TRUE()),FALSE(),AND(INDEX(tsk_IsLeaf,GanttView[[#This Row],[_Row]])=1,N(INDEX(tsk_Duration,GanttView[[#This Row],[_Row]]))=0))</f>
        <v>0</v>
      </c>
      <c r="P71" s="132" t="n">
        <f aca="false">IF(IFERROR(INDEX(tsk_Name,GanttView[[#This Row],[_Row]])="",TRUE()),0,IF(AND(INDEX(tsk_IsLeaf,GanttView[[#This Row],[_Row]])=1,NOT(GanttView[[#This Row],[_IsMilestone]]),N(GanttView[[#This Row],[%]])&gt;0),GanttView[[#This Row],[Forecast Start]],0))</f>
        <v>0</v>
      </c>
      <c r="Q71" s="132" t="n">
        <f aca="false">IF(GanttView[[#This Row],[_DoneFrom]]=0,0,IF(GanttView[[#This Row],[%]]&gt;=1,GanttView[[#This Row],[Forecast Finish]],MAX(GanttView[[#This Row],[_DoneFrom]],GanttView[[#This Row],[Forecast Start]]+ROUND((GanttView[[#This Row],[Forecast Finish]]-GanttView[[#This Row],[Forecast Start]]+1)*GanttView[[#This Row],[%]],0)-1)))</f>
        <v>0</v>
      </c>
      <c r="R71" s="132" t="n">
        <f aca="false">IF(IFERROR(INDEX(tsk_Name,GanttView[[#This Row],[_Row]])="",TRUE()),0,IF(OR(INDEX(tsk_IsLeaf,GanttView[[#This Row],[_Row]])&lt;&gt;1,GanttView[[#This Row],[_IsMilestone]],N(GanttView[[#This Row],[%]])&gt;=1),0,IF(GanttView[[#This Row],[_DoneTo]]&gt;0,GanttView[[#This Row],[_DoneTo]]+1,GanttView[[#This Row],[Forecast Start]])))</f>
        <v>0</v>
      </c>
      <c r="S71" s="132" t="n">
        <f aca="false">IF(GanttView[[#This Row],[_RemFrom]]=0,0,GanttView[[#This Row],[Forecast Finish]])</f>
        <v>0</v>
      </c>
      <c r="T71" s="131" t="b">
        <f aca="false">IF(IFERROR(INDEX(tsk_Name,GanttView[[#This Row],[_Row]])="",TRUE()),FALSE(),N(INDEX(tsk_Variance,GanttView[[#This Row],[_Row]]))&gt;0)</f>
        <v>0</v>
      </c>
      <c r="U71" s="132" t="n">
        <f aca="false">IF(IFERROR(INDEX(tsk_Name,GanttView[[#This Row],[_Row]])="",TRUE()),0,N(INDEX(tsk_Deadline,GanttView[[#This Row],[_Row]])))</f>
        <v>0</v>
      </c>
      <c r="V71" s="131" t="b">
        <f aca="false">IF(IFERROR(INDEX(tsk_Name,GanttView[[#This Row],[_Row]])="",TRUE()),FALSE(),INDEX(tsk_Critical,GanttView[[#This Row],[_Row]])="Yes")</f>
        <v>0</v>
      </c>
    </row>
    <row r="72" customFormat="false" ht="15" hidden="false" customHeight="false" outlineLevel="0" collapsed="false">
      <c r="A72" s="126" t="str">
        <f aca="false">IF(IFERROR(INDEX(tsk_Name,GanttView[[#This Row],[_Row]])="",TRUE()),"",INDEX(tsk_ID,GanttView[[#This Row],[_Row]]))</f>
        <v/>
      </c>
      <c r="B72" s="126" t="str">
        <f aca="false">IF(IFERROR(INDEX(tsk_Name,GanttView[[#This Row],[_Row]])="",TRUE()),"",INDEX(tsk_WBS,GanttView[[#This Row],[_Row]]))</f>
        <v/>
      </c>
      <c r="C72" s="127" t="str">
        <f aca="false">IF(IFERROR(INDEX(tsk_Name,GanttView[[#This Row],[_Row]])="",TRUE()),"",REPT("    ",INDEX(tsk_Level,GanttView[[#This Row],[_Row]])-1)&amp;INDEX(tsk_Name,GanttView[[#This Row],[_Row]]))</f>
        <v/>
      </c>
      <c r="D72" s="126" t="str">
        <f aca="false">IF(IFERROR(INDEX(tsk_Name,GanttView[[#This Row],[_Row]])="",TRUE()),"",IF(INDEX(tsk_IsSummary,GanttView[[#This Row],[_Row]]),NETWORKDAYS.INTL(INDEX(tsk_FcStart,GanttView[[#This Row],[_Row]]),INDEX(tsk_FcFinish,GanttView[[#This Row],[_Row]]),WorkWeek,Holidays),N(INDEX(tsk_Duration,GanttView[[#This Row],[_Row]]))))</f>
        <v/>
      </c>
      <c r="E72" s="128" t="str">
        <f aca="false">IF(IFERROR(INDEX(tsk_Name,GanttView[[#This Row],[_Row]])="",TRUE()),"",INDEX(tsk_PlanStart,GanttView[[#This Row],[_Row]]))</f>
        <v/>
      </c>
      <c r="F72" s="128" t="str">
        <f aca="false">IF(IFERROR(INDEX(tsk_Name,GanttView[[#This Row],[_Row]])="",TRUE()),"",INDEX(tsk_PlanFinish,GanttView[[#This Row],[_Row]]))</f>
        <v/>
      </c>
      <c r="G72" s="128" t="str">
        <f aca="false">IF(IFERROR(INDEX(tsk_Name,GanttView[[#This Row],[_Row]])="",TRUE()),"",INDEX(tsk_FcStart,GanttView[[#This Row],[_Row]]))</f>
        <v/>
      </c>
      <c r="H72" s="128" t="str">
        <f aca="false">IF(IFERROR(INDEX(tsk_Name,GanttView[[#This Row],[_Row]])="",TRUE()),"",INDEX(tsk_FcFinish,GanttView[[#This Row],[_Row]]))</f>
        <v/>
      </c>
      <c r="I72" s="129" t="str">
        <f aca="false">IF(IFERROR(INDEX(tsk_Name,GanttView[[#This Row],[_Row]])="",TRUE()),"",INDEX(tsk_Progress,GanttView[[#This Row],[_Row]]))</f>
        <v/>
      </c>
      <c r="J72" s="127" t="str">
        <f aca="false">IF(IFERROR(INDEX(tsk_Name,GanttView[[#This Row],[_Row]])="",TRUE()),"",INDEX(tsk_ResourceNames,GanttView[[#This Row],[_Row]])&amp;"")</f>
        <v/>
      </c>
      <c r="K72" s="126" t="str">
        <f aca="false">IF(IFERROR(INDEX(tsk_Name,GanttView[[#This Row],[_Row]])="",TRUE()),"",INDEX(tsk_Status,GanttView[[#This Row],[_Row]]))</f>
        <v/>
      </c>
      <c r="L72" s="126" t="str">
        <f aca="false">IF(IFERROR(INDEX(tsk_Name,GanttView[[#This Row],[_Row]])="",TRUE()),"",INDEX(tsk_Show,GanttView[[#This Row],[_Row]])&amp;"")</f>
        <v/>
      </c>
      <c r="M72" s="130" t="n">
        <f aca="false">ROW()-ROW(GanttView[[#Headers],[ID]])</f>
        <v>67</v>
      </c>
      <c r="N72" s="131" t="b">
        <f aca="false">IF(IFERROR(INDEX(tsk_Name,GanttView[[#This Row],[_Row]])="",TRUE()),FALSE(),INDEX(tsk_IsSummary,GanttView[[#This Row],[_Row]]))</f>
        <v>0</v>
      </c>
      <c r="O72" s="131" t="b">
        <f aca="false">IF(IFERROR(INDEX(tsk_Name,GanttView[[#This Row],[_Row]])="",TRUE()),FALSE(),AND(INDEX(tsk_IsLeaf,GanttView[[#This Row],[_Row]])=1,N(INDEX(tsk_Duration,GanttView[[#This Row],[_Row]]))=0))</f>
        <v>0</v>
      </c>
      <c r="P72" s="132" t="n">
        <f aca="false">IF(IFERROR(INDEX(tsk_Name,GanttView[[#This Row],[_Row]])="",TRUE()),0,IF(AND(INDEX(tsk_IsLeaf,GanttView[[#This Row],[_Row]])=1,NOT(GanttView[[#This Row],[_IsMilestone]]),N(GanttView[[#This Row],[%]])&gt;0),GanttView[[#This Row],[Forecast Start]],0))</f>
        <v>0</v>
      </c>
      <c r="Q72" s="132" t="n">
        <f aca="false">IF(GanttView[[#This Row],[_DoneFrom]]=0,0,IF(GanttView[[#This Row],[%]]&gt;=1,GanttView[[#This Row],[Forecast Finish]],MAX(GanttView[[#This Row],[_DoneFrom]],GanttView[[#This Row],[Forecast Start]]+ROUND((GanttView[[#This Row],[Forecast Finish]]-GanttView[[#This Row],[Forecast Start]]+1)*GanttView[[#This Row],[%]],0)-1)))</f>
        <v>0</v>
      </c>
      <c r="R72" s="132" t="n">
        <f aca="false">IF(IFERROR(INDEX(tsk_Name,GanttView[[#This Row],[_Row]])="",TRUE()),0,IF(OR(INDEX(tsk_IsLeaf,GanttView[[#This Row],[_Row]])&lt;&gt;1,GanttView[[#This Row],[_IsMilestone]],N(GanttView[[#This Row],[%]])&gt;=1),0,IF(GanttView[[#This Row],[_DoneTo]]&gt;0,GanttView[[#This Row],[_DoneTo]]+1,GanttView[[#This Row],[Forecast Start]])))</f>
        <v>0</v>
      </c>
      <c r="S72" s="132" t="n">
        <f aca="false">IF(GanttView[[#This Row],[_RemFrom]]=0,0,GanttView[[#This Row],[Forecast Finish]])</f>
        <v>0</v>
      </c>
      <c r="T72" s="131" t="b">
        <f aca="false">IF(IFERROR(INDEX(tsk_Name,GanttView[[#This Row],[_Row]])="",TRUE()),FALSE(),N(INDEX(tsk_Variance,GanttView[[#This Row],[_Row]]))&gt;0)</f>
        <v>0</v>
      </c>
      <c r="U72" s="132" t="n">
        <f aca="false">IF(IFERROR(INDEX(tsk_Name,GanttView[[#This Row],[_Row]])="",TRUE()),0,N(INDEX(tsk_Deadline,GanttView[[#This Row],[_Row]])))</f>
        <v>0</v>
      </c>
      <c r="V72" s="131" t="b">
        <f aca="false">IF(IFERROR(INDEX(tsk_Name,GanttView[[#This Row],[_Row]])="",TRUE()),FALSE(),INDEX(tsk_Critical,GanttView[[#This Row],[_Row]])="Yes")</f>
        <v>0</v>
      </c>
    </row>
    <row r="73" customFormat="false" ht="15" hidden="false" customHeight="false" outlineLevel="0" collapsed="false">
      <c r="A73" s="126" t="str">
        <f aca="false">IF(IFERROR(INDEX(tsk_Name,GanttView[[#This Row],[_Row]])="",TRUE()),"",INDEX(tsk_ID,GanttView[[#This Row],[_Row]]))</f>
        <v/>
      </c>
      <c r="B73" s="126" t="str">
        <f aca="false">IF(IFERROR(INDEX(tsk_Name,GanttView[[#This Row],[_Row]])="",TRUE()),"",INDEX(tsk_WBS,GanttView[[#This Row],[_Row]]))</f>
        <v/>
      </c>
      <c r="C73" s="127" t="str">
        <f aca="false">IF(IFERROR(INDEX(tsk_Name,GanttView[[#This Row],[_Row]])="",TRUE()),"",REPT("    ",INDEX(tsk_Level,GanttView[[#This Row],[_Row]])-1)&amp;INDEX(tsk_Name,GanttView[[#This Row],[_Row]]))</f>
        <v/>
      </c>
      <c r="D73" s="126" t="str">
        <f aca="false">IF(IFERROR(INDEX(tsk_Name,GanttView[[#This Row],[_Row]])="",TRUE()),"",IF(INDEX(tsk_IsSummary,GanttView[[#This Row],[_Row]]),NETWORKDAYS.INTL(INDEX(tsk_FcStart,GanttView[[#This Row],[_Row]]),INDEX(tsk_FcFinish,GanttView[[#This Row],[_Row]]),WorkWeek,Holidays),N(INDEX(tsk_Duration,GanttView[[#This Row],[_Row]]))))</f>
        <v/>
      </c>
      <c r="E73" s="128" t="str">
        <f aca="false">IF(IFERROR(INDEX(tsk_Name,GanttView[[#This Row],[_Row]])="",TRUE()),"",INDEX(tsk_PlanStart,GanttView[[#This Row],[_Row]]))</f>
        <v/>
      </c>
      <c r="F73" s="128" t="str">
        <f aca="false">IF(IFERROR(INDEX(tsk_Name,GanttView[[#This Row],[_Row]])="",TRUE()),"",INDEX(tsk_PlanFinish,GanttView[[#This Row],[_Row]]))</f>
        <v/>
      </c>
      <c r="G73" s="128" t="str">
        <f aca="false">IF(IFERROR(INDEX(tsk_Name,GanttView[[#This Row],[_Row]])="",TRUE()),"",INDEX(tsk_FcStart,GanttView[[#This Row],[_Row]]))</f>
        <v/>
      </c>
      <c r="H73" s="128" t="str">
        <f aca="false">IF(IFERROR(INDEX(tsk_Name,GanttView[[#This Row],[_Row]])="",TRUE()),"",INDEX(tsk_FcFinish,GanttView[[#This Row],[_Row]]))</f>
        <v/>
      </c>
      <c r="I73" s="129" t="str">
        <f aca="false">IF(IFERROR(INDEX(tsk_Name,GanttView[[#This Row],[_Row]])="",TRUE()),"",INDEX(tsk_Progress,GanttView[[#This Row],[_Row]]))</f>
        <v/>
      </c>
      <c r="J73" s="127" t="str">
        <f aca="false">IF(IFERROR(INDEX(tsk_Name,GanttView[[#This Row],[_Row]])="",TRUE()),"",INDEX(tsk_ResourceNames,GanttView[[#This Row],[_Row]])&amp;"")</f>
        <v/>
      </c>
      <c r="K73" s="126" t="str">
        <f aca="false">IF(IFERROR(INDEX(tsk_Name,GanttView[[#This Row],[_Row]])="",TRUE()),"",INDEX(tsk_Status,GanttView[[#This Row],[_Row]]))</f>
        <v/>
      </c>
      <c r="L73" s="126" t="str">
        <f aca="false">IF(IFERROR(INDEX(tsk_Name,GanttView[[#This Row],[_Row]])="",TRUE()),"",INDEX(tsk_Show,GanttView[[#This Row],[_Row]])&amp;"")</f>
        <v/>
      </c>
      <c r="M73" s="130" t="n">
        <f aca="false">ROW()-ROW(GanttView[[#Headers],[ID]])</f>
        <v>68</v>
      </c>
      <c r="N73" s="131" t="b">
        <f aca="false">IF(IFERROR(INDEX(tsk_Name,GanttView[[#This Row],[_Row]])="",TRUE()),FALSE(),INDEX(tsk_IsSummary,GanttView[[#This Row],[_Row]]))</f>
        <v>0</v>
      </c>
      <c r="O73" s="131" t="b">
        <f aca="false">IF(IFERROR(INDEX(tsk_Name,GanttView[[#This Row],[_Row]])="",TRUE()),FALSE(),AND(INDEX(tsk_IsLeaf,GanttView[[#This Row],[_Row]])=1,N(INDEX(tsk_Duration,GanttView[[#This Row],[_Row]]))=0))</f>
        <v>0</v>
      </c>
      <c r="P73" s="132" t="n">
        <f aca="false">IF(IFERROR(INDEX(tsk_Name,GanttView[[#This Row],[_Row]])="",TRUE()),0,IF(AND(INDEX(tsk_IsLeaf,GanttView[[#This Row],[_Row]])=1,NOT(GanttView[[#This Row],[_IsMilestone]]),N(GanttView[[#This Row],[%]])&gt;0),GanttView[[#This Row],[Forecast Start]],0))</f>
        <v>0</v>
      </c>
      <c r="Q73" s="132" t="n">
        <f aca="false">IF(GanttView[[#This Row],[_DoneFrom]]=0,0,IF(GanttView[[#This Row],[%]]&gt;=1,GanttView[[#This Row],[Forecast Finish]],MAX(GanttView[[#This Row],[_DoneFrom]],GanttView[[#This Row],[Forecast Start]]+ROUND((GanttView[[#This Row],[Forecast Finish]]-GanttView[[#This Row],[Forecast Start]]+1)*GanttView[[#This Row],[%]],0)-1)))</f>
        <v>0</v>
      </c>
      <c r="R73" s="132" t="n">
        <f aca="false">IF(IFERROR(INDEX(tsk_Name,GanttView[[#This Row],[_Row]])="",TRUE()),0,IF(OR(INDEX(tsk_IsLeaf,GanttView[[#This Row],[_Row]])&lt;&gt;1,GanttView[[#This Row],[_IsMilestone]],N(GanttView[[#This Row],[%]])&gt;=1),0,IF(GanttView[[#This Row],[_DoneTo]]&gt;0,GanttView[[#This Row],[_DoneTo]]+1,GanttView[[#This Row],[Forecast Start]])))</f>
        <v>0</v>
      </c>
      <c r="S73" s="132" t="n">
        <f aca="false">IF(GanttView[[#This Row],[_RemFrom]]=0,0,GanttView[[#This Row],[Forecast Finish]])</f>
        <v>0</v>
      </c>
      <c r="T73" s="131" t="b">
        <f aca="false">IF(IFERROR(INDEX(tsk_Name,GanttView[[#This Row],[_Row]])="",TRUE()),FALSE(),N(INDEX(tsk_Variance,GanttView[[#This Row],[_Row]]))&gt;0)</f>
        <v>0</v>
      </c>
      <c r="U73" s="132" t="n">
        <f aca="false">IF(IFERROR(INDEX(tsk_Name,GanttView[[#This Row],[_Row]])="",TRUE()),0,N(INDEX(tsk_Deadline,GanttView[[#This Row],[_Row]])))</f>
        <v>0</v>
      </c>
      <c r="V73" s="131" t="b">
        <f aca="false">IF(IFERROR(INDEX(tsk_Name,GanttView[[#This Row],[_Row]])="",TRUE()),FALSE(),INDEX(tsk_Critical,GanttView[[#This Row],[_Row]])="Yes")</f>
        <v>0</v>
      </c>
    </row>
    <row r="74" customFormat="false" ht="15" hidden="false" customHeight="false" outlineLevel="0" collapsed="false">
      <c r="A74" s="126" t="str">
        <f aca="false">IF(IFERROR(INDEX(tsk_Name,GanttView[[#This Row],[_Row]])="",TRUE()),"",INDEX(tsk_ID,GanttView[[#This Row],[_Row]]))</f>
        <v/>
      </c>
      <c r="B74" s="126" t="str">
        <f aca="false">IF(IFERROR(INDEX(tsk_Name,GanttView[[#This Row],[_Row]])="",TRUE()),"",INDEX(tsk_WBS,GanttView[[#This Row],[_Row]]))</f>
        <v/>
      </c>
      <c r="C74" s="127" t="str">
        <f aca="false">IF(IFERROR(INDEX(tsk_Name,GanttView[[#This Row],[_Row]])="",TRUE()),"",REPT("    ",INDEX(tsk_Level,GanttView[[#This Row],[_Row]])-1)&amp;INDEX(tsk_Name,GanttView[[#This Row],[_Row]]))</f>
        <v/>
      </c>
      <c r="D74" s="126" t="str">
        <f aca="false">IF(IFERROR(INDEX(tsk_Name,GanttView[[#This Row],[_Row]])="",TRUE()),"",IF(INDEX(tsk_IsSummary,GanttView[[#This Row],[_Row]]),NETWORKDAYS.INTL(INDEX(tsk_FcStart,GanttView[[#This Row],[_Row]]),INDEX(tsk_FcFinish,GanttView[[#This Row],[_Row]]),WorkWeek,Holidays),N(INDEX(tsk_Duration,GanttView[[#This Row],[_Row]]))))</f>
        <v/>
      </c>
      <c r="E74" s="128" t="str">
        <f aca="false">IF(IFERROR(INDEX(tsk_Name,GanttView[[#This Row],[_Row]])="",TRUE()),"",INDEX(tsk_PlanStart,GanttView[[#This Row],[_Row]]))</f>
        <v/>
      </c>
      <c r="F74" s="128" t="str">
        <f aca="false">IF(IFERROR(INDEX(tsk_Name,GanttView[[#This Row],[_Row]])="",TRUE()),"",INDEX(tsk_PlanFinish,GanttView[[#This Row],[_Row]]))</f>
        <v/>
      </c>
      <c r="G74" s="128" t="str">
        <f aca="false">IF(IFERROR(INDEX(tsk_Name,GanttView[[#This Row],[_Row]])="",TRUE()),"",INDEX(tsk_FcStart,GanttView[[#This Row],[_Row]]))</f>
        <v/>
      </c>
      <c r="H74" s="128" t="str">
        <f aca="false">IF(IFERROR(INDEX(tsk_Name,GanttView[[#This Row],[_Row]])="",TRUE()),"",INDEX(tsk_FcFinish,GanttView[[#This Row],[_Row]]))</f>
        <v/>
      </c>
      <c r="I74" s="129" t="str">
        <f aca="false">IF(IFERROR(INDEX(tsk_Name,GanttView[[#This Row],[_Row]])="",TRUE()),"",INDEX(tsk_Progress,GanttView[[#This Row],[_Row]]))</f>
        <v/>
      </c>
      <c r="J74" s="127" t="str">
        <f aca="false">IF(IFERROR(INDEX(tsk_Name,GanttView[[#This Row],[_Row]])="",TRUE()),"",INDEX(tsk_ResourceNames,GanttView[[#This Row],[_Row]])&amp;"")</f>
        <v/>
      </c>
      <c r="K74" s="126" t="str">
        <f aca="false">IF(IFERROR(INDEX(tsk_Name,GanttView[[#This Row],[_Row]])="",TRUE()),"",INDEX(tsk_Status,GanttView[[#This Row],[_Row]]))</f>
        <v/>
      </c>
      <c r="L74" s="126" t="str">
        <f aca="false">IF(IFERROR(INDEX(tsk_Name,GanttView[[#This Row],[_Row]])="",TRUE()),"",INDEX(tsk_Show,GanttView[[#This Row],[_Row]])&amp;"")</f>
        <v/>
      </c>
      <c r="M74" s="130" t="n">
        <f aca="false">ROW()-ROW(GanttView[[#Headers],[ID]])</f>
        <v>69</v>
      </c>
      <c r="N74" s="131" t="b">
        <f aca="false">IF(IFERROR(INDEX(tsk_Name,GanttView[[#This Row],[_Row]])="",TRUE()),FALSE(),INDEX(tsk_IsSummary,GanttView[[#This Row],[_Row]]))</f>
        <v>0</v>
      </c>
      <c r="O74" s="131" t="b">
        <f aca="false">IF(IFERROR(INDEX(tsk_Name,GanttView[[#This Row],[_Row]])="",TRUE()),FALSE(),AND(INDEX(tsk_IsLeaf,GanttView[[#This Row],[_Row]])=1,N(INDEX(tsk_Duration,GanttView[[#This Row],[_Row]]))=0))</f>
        <v>0</v>
      </c>
      <c r="P74" s="132" t="n">
        <f aca="false">IF(IFERROR(INDEX(tsk_Name,GanttView[[#This Row],[_Row]])="",TRUE()),0,IF(AND(INDEX(tsk_IsLeaf,GanttView[[#This Row],[_Row]])=1,NOT(GanttView[[#This Row],[_IsMilestone]]),N(GanttView[[#This Row],[%]])&gt;0),GanttView[[#This Row],[Forecast Start]],0))</f>
        <v>0</v>
      </c>
      <c r="Q74" s="132" t="n">
        <f aca="false">IF(GanttView[[#This Row],[_DoneFrom]]=0,0,IF(GanttView[[#This Row],[%]]&gt;=1,GanttView[[#This Row],[Forecast Finish]],MAX(GanttView[[#This Row],[_DoneFrom]],GanttView[[#This Row],[Forecast Start]]+ROUND((GanttView[[#This Row],[Forecast Finish]]-GanttView[[#This Row],[Forecast Start]]+1)*GanttView[[#This Row],[%]],0)-1)))</f>
        <v>0</v>
      </c>
      <c r="R74" s="132" t="n">
        <f aca="false">IF(IFERROR(INDEX(tsk_Name,GanttView[[#This Row],[_Row]])="",TRUE()),0,IF(OR(INDEX(tsk_IsLeaf,GanttView[[#This Row],[_Row]])&lt;&gt;1,GanttView[[#This Row],[_IsMilestone]],N(GanttView[[#This Row],[%]])&gt;=1),0,IF(GanttView[[#This Row],[_DoneTo]]&gt;0,GanttView[[#This Row],[_DoneTo]]+1,GanttView[[#This Row],[Forecast Start]])))</f>
        <v>0</v>
      </c>
      <c r="S74" s="132" t="n">
        <f aca="false">IF(GanttView[[#This Row],[_RemFrom]]=0,0,GanttView[[#This Row],[Forecast Finish]])</f>
        <v>0</v>
      </c>
      <c r="T74" s="131" t="b">
        <f aca="false">IF(IFERROR(INDEX(tsk_Name,GanttView[[#This Row],[_Row]])="",TRUE()),FALSE(),N(INDEX(tsk_Variance,GanttView[[#This Row],[_Row]]))&gt;0)</f>
        <v>0</v>
      </c>
      <c r="U74" s="132" t="n">
        <f aca="false">IF(IFERROR(INDEX(tsk_Name,GanttView[[#This Row],[_Row]])="",TRUE()),0,N(INDEX(tsk_Deadline,GanttView[[#This Row],[_Row]])))</f>
        <v>0</v>
      </c>
      <c r="V74" s="131" t="b">
        <f aca="false">IF(IFERROR(INDEX(tsk_Name,GanttView[[#This Row],[_Row]])="",TRUE()),FALSE(),INDEX(tsk_Critical,GanttView[[#This Row],[_Row]])="Yes")</f>
        <v>0</v>
      </c>
    </row>
    <row r="75" customFormat="false" ht="15" hidden="false" customHeight="false" outlineLevel="0" collapsed="false">
      <c r="A75" s="126" t="str">
        <f aca="false">IF(IFERROR(INDEX(tsk_Name,GanttView[[#This Row],[_Row]])="",TRUE()),"",INDEX(tsk_ID,GanttView[[#This Row],[_Row]]))</f>
        <v/>
      </c>
      <c r="B75" s="126" t="str">
        <f aca="false">IF(IFERROR(INDEX(tsk_Name,GanttView[[#This Row],[_Row]])="",TRUE()),"",INDEX(tsk_WBS,GanttView[[#This Row],[_Row]]))</f>
        <v/>
      </c>
      <c r="C75" s="127" t="str">
        <f aca="false">IF(IFERROR(INDEX(tsk_Name,GanttView[[#This Row],[_Row]])="",TRUE()),"",REPT("    ",INDEX(tsk_Level,GanttView[[#This Row],[_Row]])-1)&amp;INDEX(tsk_Name,GanttView[[#This Row],[_Row]]))</f>
        <v/>
      </c>
      <c r="D75" s="126" t="str">
        <f aca="false">IF(IFERROR(INDEX(tsk_Name,GanttView[[#This Row],[_Row]])="",TRUE()),"",IF(INDEX(tsk_IsSummary,GanttView[[#This Row],[_Row]]),NETWORKDAYS.INTL(INDEX(tsk_FcStart,GanttView[[#This Row],[_Row]]),INDEX(tsk_FcFinish,GanttView[[#This Row],[_Row]]),WorkWeek,Holidays),N(INDEX(tsk_Duration,GanttView[[#This Row],[_Row]]))))</f>
        <v/>
      </c>
      <c r="E75" s="128" t="str">
        <f aca="false">IF(IFERROR(INDEX(tsk_Name,GanttView[[#This Row],[_Row]])="",TRUE()),"",INDEX(tsk_PlanStart,GanttView[[#This Row],[_Row]]))</f>
        <v/>
      </c>
      <c r="F75" s="128" t="str">
        <f aca="false">IF(IFERROR(INDEX(tsk_Name,GanttView[[#This Row],[_Row]])="",TRUE()),"",INDEX(tsk_PlanFinish,GanttView[[#This Row],[_Row]]))</f>
        <v/>
      </c>
      <c r="G75" s="128" t="str">
        <f aca="false">IF(IFERROR(INDEX(tsk_Name,GanttView[[#This Row],[_Row]])="",TRUE()),"",INDEX(tsk_FcStart,GanttView[[#This Row],[_Row]]))</f>
        <v/>
      </c>
      <c r="H75" s="128" t="str">
        <f aca="false">IF(IFERROR(INDEX(tsk_Name,GanttView[[#This Row],[_Row]])="",TRUE()),"",INDEX(tsk_FcFinish,GanttView[[#This Row],[_Row]]))</f>
        <v/>
      </c>
      <c r="I75" s="129" t="str">
        <f aca="false">IF(IFERROR(INDEX(tsk_Name,GanttView[[#This Row],[_Row]])="",TRUE()),"",INDEX(tsk_Progress,GanttView[[#This Row],[_Row]]))</f>
        <v/>
      </c>
      <c r="J75" s="127" t="str">
        <f aca="false">IF(IFERROR(INDEX(tsk_Name,GanttView[[#This Row],[_Row]])="",TRUE()),"",INDEX(tsk_ResourceNames,GanttView[[#This Row],[_Row]])&amp;"")</f>
        <v/>
      </c>
      <c r="K75" s="126" t="str">
        <f aca="false">IF(IFERROR(INDEX(tsk_Name,GanttView[[#This Row],[_Row]])="",TRUE()),"",INDEX(tsk_Status,GanttView[[#This Row],[_Row]]))</f>
        <v/>
      </c>
      <c r="L75" s="126" t="str">
        <f aca="false">IF(IFERROR(INDEX(tsk_Name,GanttView[[#This Row],[_Row]])="",TRUE()),"",INDEX(tsk_Show,GanttView[[#This Row],[_Row]])&amp;"")</f>
        <v/>
      </c>
      <c r="M75" s="130" t="n">
        <f aca="false">ROW()-ROW(GanttView[[#Headers],[ID]])</f>
        <v>70</v>
      </c>
      <c r="N75" s="131" t="b">
        <f aca="false">IF(IFERROR(INDEX(tsk_Name,GanttView[[#This Row],[_Row]])="",TRUE()),FALSE(),INDEX(tsk_IsSummary,GanttView[[#This Row],[_Row]]))</f>
        <v>0</v>
      </c>
      <c r="O75" s="131" t="b">
        <f aca="false">IF(IFERROR(INDEX(tsk_Name,GanttView[[#This Row],[_Row]])="",TRUE()),FALSE(),AND(INDEX(tsk_IsLeaf,GanttView[[#This Row],[_Row]])=1,N(INDEX(tsk_Duration,GanttView[[#This Row],[_Row]]))=0))</f>
        <v>0</v>
      </c>
      <c r="P75" s="132" t="n">
        <f aca="false">IF(IFERROR(INDEX(tsk_Name,GanttView[[#This Row],[_Row]])="",TRUE()),0,IF(AND(INDEX(tsk_IsLeaf,GanttView[[#This Row],[_Row]])=1,NOT(GanttView[[#This Row],[_IsMilestone]]),N(GanttView[[#This Row],[%]])&gt;0),GanttView[[#This Row],[Forecast Start]],0))</f>
        <v>0</v>
      </c>
      <c r="Q75" s="132" t="n">
        <f aca="false">IF(GanttView[[#This Row],[_DoneFrom]]=0,0,IF(GanttView[[#This Row],[%]]&gt;=1,GanttView[[#This Row],[Forecast Finish]],MAX(GanttView[[#This Row],[_DoneFrom]],GanttView[[#This Row],[Forecast Start]]+ROUND((GanttView[[#This Row],[Forecast Finish]]-GanttView[[#This Row],[Forecast Start]]+1)*GanttView[[#This Row],[%]],0)-1)))</f>
        <v>0</v>
      </c>
      <c r="R75" s="132" t="n">
        <f aca="false">IF(IFERROR(INDEX(tsk_Name,GanttView[[#This Row],[_Row]])="",TRUE()),0,IF(OR(INDEX(tsk_IsLeaf,GanttView[[#This Row],[_Row]])&lt;&gt;1,GanttView[[#This Row],[_IsMilestone]],N(GanttView[[#This Row],[%]])&gt;=1),0,IF(GanttView[[#This Row],[_DoneTo]]&gt;0,GanttView[[#This Row],[_DoneTo]]+1,GanttView[[#This Row],[Forecast Start]])))</f>
        <v>0</v>
      </c>
      <c r="S75" s="132" t="n">
        <f aca="false">IF(GanttView[[#This Row],[_RemFrom]]=0,0,GanttView[[#This Row],[Forecast Finish]])</f>
        <v>0</v>
      </c>
      <c r="T75" s="131" t="b">
        <f aca="false">IF(IFERROR(INDEX(tsk_Name,GanttView[[#This Row],[_Row]])="",TRUE()),FALSE(),N(INDEX(tsk_Variance,GanttView[[#This Row],[_Row]]))&gt;0)</f>
        <v>0</v>
      </c>
      <c r="U75" s="132" t="n">
        <f aca="false">IF(IFERROR(INDEX(tsk_Name,GanttView[[#This Row],[_Row]])="",TRUE()),0,N(INDEX(tsk_Deadline,GanttView[[#This Row],[_Row]])))</f>
        <v>0</v>
      </c>
      <c r="V75" s="131" t="b">
        <f aca="false">IF(IFERROR(INDEX(tsk_Name,GanttView[[#This Row],[_Row]])="",TRUE()),FALSE(),INDEX(tsk_Critical,GanttView[[#This Row],[_Row]])="Yes")</f>
        <v>0</v>
      </c>
    </row>
    <row r="76" customFormat="false" ht="15" hidden="false" customHeight="false" outlineLevel="0" collapsed="false">
      <c r="A76" s="126" t="str">
        <f aca="false">IF(IFERROR(INDEX(tsk_Name,GanttView[[#This Row],[_Row]])="",TRUE()),"",INDEX(tsk_ID,GanttView[[#This Row],[_Row]]))</f>
        <v/>
      </c>
      <c r="B76" s="126" t="str">
        <f aca="false">IF(IFERROR(INDEX(tsk_Name,GanttView[[#This Row],[_Row]])="",TRUE()),"",INDEX(tsk_WBS,GanttView[[#This Row],[_Row]]))</f>
        <v/>
      </c>
      <c r="C76" s="127" t="str">
        <f aca="false">IF(IFERROR(INDEX(tsk_Name,GanttView[[#This Row],[_Row]])="",TRUE()),"",REPT("    ",INDEX(tsk_Level,GanttView[[#This Row],[_Row]])-1)&amp;INDEX(tsk_Name,GanttView[[#This Row],[_Row]]))</f>
        <v/>
      </c>
      <c r="D76" s="126" t="str">
        <f aca="false">IF(IFERROR(INDEX(tsk_Name,GanttView[[#This Row],[_Row]])="",TRUE()),"",IF(INDEX(tsk_IsSummary,GanttView[[#This Row],[_Row]]),NETWORKDAYS.INTL(INDEX(tsk_FcStart,GanttView[[#This Row],[_Row]]),INDEX(tsk_FcFinish,GanttView[[#This Row],[_Row]]),WorkWeek,Holidays),N(INDEX(tsk_Duration,GanttView[[#This Row],[_Row]]))))</f>
        <v/>
      </c>
      <c r="E76" s="128" t="str">
        <f aca="false">IF(IFERROR(INDEX(tsk_Name,GanttView[[#This Row],[_Row]])="",TRUE()),"",INDEX(tsk_PlanStart,GanttView[[#This Row],[_Row]]))</f>
        <v/>
      </c>
      <c r="F76" s="128" t="str">
        <f aca="false">IF(IFERROR(INDEX(tsk_Name,GanttView[[#This Row],[_Row]])="",TRUE()),"",INDEX(tsk_PlanFinish,GanttView[[#This Row],[_Row]]))</f>
        <v/>
      </c>
      <c r="G76" s="128" t="str">
        <f aca="false">IF(IFERROR(INDEX(tsk_Name,GanttView[[#This Row],[_Row]])="",TRUE()),"",INDEX(tsk_FcStart,GanttView[[#This Row],[_Row]]))</f>
        <v/>
      </c>
      <c r="H76" s="128" t="str">
        <f aca="false">IF(IFERROR(INDEX(tsk_Name,GanttView[[#This Row],[_Row]])="",TRUE()),"",INDEX(tsk_FcFinish,GanttView[[#This Row],[_Row]]))</f>
        <v/>
      </c>
      <c r="I76" s="129" t="str">
        <f aca="false">IF(IFERROR(INDEX(tsk_Name,GanttView[[#This Row],[_Row]])="",TRUE()),"",INDEX(tsk_Progress,GanttView[[#This Row],[_Row]]))</f>
        <v/>
      </c>
      <c r="J76" s="127" t="str">
        <f aca="false">IF(IFERROR(INDEX(tsk_Name,GanttView[[#This Row],[_Row]])="",TRUE()),"",INDEX(tsk_ResourceNames,GanttView[[#This Row],[_Row]])&amp;"")</f>
        <v/>
      </c>
      <c r="K76" s="126" t="str">
        <f aca="false">IF(IFERROR(INDEX(tsk_Name,GanttView[[#This Row],[_Row]])="",TRUE()),"",INDEX(tsk_Status,GanttView[[#This Row],[_Row]]))</f>
        <v/>
      </c>
      <c r="L76" s="126" t="str">
        <f aca="false">IF(IFERROR(INDEX(tsk_Name,GanttView[[#This Row],[_Row]])="",TRUE()),"",INDEX(tsk_Show,GanttView[[#This Row],[_Row]])&amp;"")</f>
        <v/>
      </c>
      <c r="M76" s="130" t="n">
        <f aca="false">ROW()-ROW(GanttView[[#Headers],[ID]])</f>
        <v>71</v>
      </c>
      <c r="N76" s="131" t="b">
        <f aca="false">IF(IFERROR(INDEX(tsk_Name,GanttView[[#This Row],[_Row]])="",TRUE()),FALSE(),INDEX(tsk_IsSummary,GanttView[[#This Row],[_Row]]))</f>
        <v>0</v>
      </c>
      <c r="O76" s="131" t="b">
        <f aca="false">IF(IFERROR(INDEX(tsk_Name,GanttView[[#This Row],[_Row]])="",TRUE()),FALSE(),AND(INDEX(tsk_IsLeaf,GanttView[[#This Row],[_Row]])=1,N(INDEX(tsk_Duration,GanttView[[#This Row],[_Row]]))=0))</f>
        <v>0</v>
      </c>
      <c r="P76" s="132" t="n">
        <f aca="false">IF(IFERROR(INDEX(tsk_Name,GanttView[[#This Row],[_Row]])="",TRUE()),0,IF(AND(INDEX(tsk_IsLeaf,GanttView[[#This Row],[_Row]])=1,NOT(GanttView[[#This Row],[_IsMilestone]]),N(GanttView[[#This Row],[%]])&gt;0),GanttView[[#This Row],[Forecast Start]],0))</f>
        <v>0</v>
      </c>
      <c r="Q76" s="132" t="n">
        <f aca="false">IF(GanttView[[#This Row],[_DoneFrom]]=0,0,IF(GanttView[[#This Row],[%]]&gt;=1,GanttView[[#This Row],[Forecast Finish]],MAX(GanttView[[#This Row],[_DoneFrom]],GanttView[[#This Row],[Forecast Start]]+ROUND((GanttView[[#This Row],[Forecast Finish]]-GanttView[[#This Row],[Forecast Start]]+1)*GanttView[[#This Row],[%]],0)-1)))</f>
        <v>0</v>
      </c>
      <c r="R76" s="132" t="n">
        <f aca="false">IF(IFERROR(INDEX(tsk_Name,GanttView[[#This Row],[_Row]])="",TRUE()),0,IF(OR(INDEX(tsk_IsLeaf,GanttView[[#This Row],[_Row]])&lt;&gt;1,GanttView[[#This Row],[_IsMilestone]],N(GanttView[[#This Row],[%]])&gt;=1),0,IF(GanttView[[#This Row],[_DoneTo]]&gt;0,GanttView[[#This Row],[_DoneTo]]+1,GanttView[[#This Row],[Forecast Start]])))</f>
        <v>0</v>
      </c>
      <c r="S76" s="132" t="n">
        <f aca="false">IF(GanttView[[#This Row],[_RemFrom]]=0,0,GanttView[[#This Row],[Forecast Finish]])</f>
        <v>0</v>
      </c>
      <c r="T76" s="131" t="b">
        <f aca="false">IF(IFERROR(INDEX(tsk_Name,GanttView[[#This Row],[_Row]])="",TRUE()),FALSE(),N(INDEX(tsk_Variance,GanttView[[#This Row],[_Row]]))&gt;0)</f>
        <v>0</v>
      </c>
      <c r="U76" s="132" t="n">
        <f aca="false">IF(IFERROR(INDEX(tsk_Name,GanttView[[#This Row],[_Row]])="",TRUE()),0,N(INDEX(tsk_Deadline,GanttView[[#This Row],[_Row]])))</f>
        <v>0</v>
      </c>
      <c r="V76" s="131" t="b">
        <f aca="false">IF(IFERROR(INDEX(tsk_Name,GanttView[[#This Row],[_Row]])="",TRUE()),FALSE(),INDEX(tsk_Critical,GanttView[[#This Row],[_Row]])="Yes")</f>
        <v>0</v>
      </c>
    </row>
    <row r="77" customFormat="false" ht="15" hidden="false" customHeight="false" outlineLevel="0" collapsed="false">
      <c r="A77" s="126" t="str">
        <f aca="false">IF(IFERROR(INDEX(tsk_Name,GanttView[[#This Row],[_Row]])="",TRUE()),"",INDEX(tsk_ID,GanttView[[#This Row],[_Row]]))</f>
        <v/>
      </c>
      <c r="B77" s="126" t="str">
        <f aca="false">IF(IFERROR(INDEX(tsk_Name,GanttView[[#This Row],[_Row]])="",TRUE()),"",INDEX(tsk_WBS,GanttView[[#This Row],[_Row]]))</f>
        <v/>
      </c>
      <c r="C77" s="127" t="str">
        <f aca="false">IF(IFERROR(INDEX(tsk_Name,GanttView[[#This Row],[_Row]])="",TRUE()),"",REPT("    ",INDEX(tsk_Level,GanttView[[#This Row],[_Row]])-1)&amp;INDEX(tsk_Name,GanttView[[#This Row],[_Row]]))</f>
        <v/>
      </c>
      <c r="D77" s="126" t="str">
        <f aca="false">IF(IFERROR(INDEX(tsk_Name,GanttView[[#This Row],[_Row]])="",TRUE()),"",IF(INDEX(tsk_IsSummary,GanttView[[#This Row],[_Row]]),NETWORKDAYS.INTL(INDEX(tsk_FcStart,GanttView[[#This Row],[_Row]]),INDEX(tsk_FcFinish,GanttView[[#This Row],[_Row]]),WorkWeek,Holidays),N(INDEX(tsk_Duration,GanttView[[#This Row],[_Row]]))))</f>
        <v/>
      </c>
      <c r="E77" s="128" t="str">
        <f aca="false">IF(IFERROR(INDEX(tsk_Name,GanttView[[#This Row],[_Row]])="",TRUE()),"",INDEX(tsk_PlanStart,GanttView[[#This Row],[_Row]]))</f>
        <v/>
      </c>
      <c r="F77" s="128" t="str">
        <f aca="false">IF(IFERROR(INDEX(tsk_Name,GanttView[[#This Row],[_Row]])="",TRUE()),"",INDEX(tsk_PlanFinish,GanttView[[#This Row],[_Row]]))</f>
        <v/>
      </c>
      <c r="G77" s="128" t="str">
        <f aca="false">IF(IFERROR(INDEX(tsk_Name,GanttView[[#This Row],[_Row]])="",TRUE()),"",INDEX(tsk_FcStart,GanttView[[#This Row],[_Row]]))</f>
        <v/>
      </c>
      <c r="H77" s="128" t="str">
        <f aca="false">IF(IFERROR(INDEX(tsk_Name,GanttView[[#This Row],[_Row]])="",TRUE()),"",INDEX(tsk_FcFinish,GanttView[[#This Row],[_Row]]))</f>
        <v/>
      </c>
      <c r="I77" s="129" t="str">
        <f aca="false">IF(IFERROR(INDEX(tsk_Name,GanttView[[#This Row],[_Row]])="",TRUE()),"",INDEX(tsk_Progress,GanttView[[#This Row],[_Row]]))</f>
        <v/>
      </c>
      <c r="J77" s="127" t="str">
        <f aca="false">IF(IFERROR(INDEX(tsk_Name,GanttView[[#This Row],[_Row]])="",TRUE()),"",INDEX(tsk_ResourceNames,GanttView[[#This Row],[_Row]])&amp;"")</f>
        <v/>
      </c>
      <c r="K77" s="126" t="str">
        <f aca="false">IF(IFERROR(INDEX(tsk_Name,GanttView[[#This Row],[_Row]])="",TRUE()),"",INDEX(tsk_Status,GanttView[[#This Row],[_Row]]))</f>
        <v/>
      </c>
      <c r="L77" s="126" t="str">
        <f aca="false">IF(IFERROR(INDEX(tsk_Name,GanttView[[#This Row],[_Row]])="",TRUE()),"",INDEX(tsk_Show,GanttView[[#This Row],[_Row]])&amp;"")</f>
        <v/>
      </c>
      <c r="M77" s="130" t="n">
        <f aca="false">ROW()-ROW(GanttView[[#Headers],[ID]])</f>
        <v>72</v>
      </c>
      <c r="N77" s="131" t="b">
        <f aca="false">IF(IFERROR(INDEX(tsk_Name,GanttView[[#This Row],[_Row]])="",TRUE()),FALSE(),INDEX(tsk_IsSummary,GanttView[[#This Row],[_Row]]))</f>
        <v>0</v>
      </c>
      <c r="O77" s="131" t="b">
        <f aca="false">IF(IFERROR(INDEX(tsk_Name,GanttView[[#This Row],[_Row]])="",TRUE()),FALSE(),AND(INDEX(tsk_IsLeaf,GanttView[[#This Row],[_Row]])=1,N(INDEX(tsk_Duration,GanttView[[#This Row],[_Row]]))=0))</f>
        <v>0</v>
      </c>
      <c r="P77" s="132" t="n">
        <f aca="false">IF(IFERROR(INDEX(tsk_Name,GanttView[[#This Row],[_Row]])="",TRUE()),0,IF(AND(INDEX(tsk_IsLeaf,GanttView[[#This Row],[_Row]])=1,NOT(GanttView[[#This Row],[_IsMilestone]]),N(GanttView[[#This Row],[%]])&gt;0),GanttView[[#This Row],[Forecast Start]],0))</f>
        <v>0</v>
      </c>
      <c r="Q77" s="132" t="n">
        <f aca="false">IF(GanttView[[#This Row],[_DoneFrom]]=0,0,IF(GanttView[[#This Row],[%]]&gt;=1,GanttView[[#This Row],[Forecast Finish]],MAX(GanttView[[#This Row],[_DoneFrom]],GanttView[[#This Row],[Forecast Start]]+ROUND((GanttView[[#This Row],[Forecast Finish]]-GanttView[[#This Row],[Forecast Start]]+1)*GanttView[[#This Row],[%]],0)-1)))</f>
        <v>0</v>
      </c>
      <c r="R77" s="132" t="n">
        <f aca="false">IF(IFERROR(INDEX(tsk_Name,GanttView[[#This Row],[_Row]])="",TRUE()),0,IF(OR(INDEX(tsk_IsLeaf,GanttView[[#This Row],[_Row]])&lt;&gt;1,GanttView[[#This Row],[_IsMilestone]],N(GanttView[[#This Row],[%]])&gt;=1),0,IF(GanttView[[#This Row],[_DoneTo]]&gt;0,GanttView[[#This Row],[_DoneTo]]+1,GanttView[[#This Row],[Forecast Start]])))</f>
        <v>0</v>
      </c>
      <c r="S77" s="132" t="n">
        <f aca="false">IF(GanttView[[#This Row],[_RemFrom]]=0,0,GanttView[[#This Row],[Forecast Finish]])</f>
        <v>0</v>
      </c>
      <c r="T77" s="131" t="b">
        <f aca="false">IF(IFERROR(INDEX(tsk_Name,GanttView[[#This Row],[_Row]])="",TRUE()),FALSE(),N(INDEX(tsk_Variance,GanttView[[#This Row],[_Row]]))&gt;0)</f>
        <v>0</v>
      </c>
      <c r="U77" s="132" t="n">
        <f aca="false">IF(IFERROR(INDEX(tsk_Name,GanttView[[#This Row],[_Row]])="",TRUE()),0,N(INDEX(tsk_Deadline,GanttView[[#This Row],[_Row]])))</f>
        <v>0</v>
      </c>
      <c r="V77" s="131" t="b">
        <f aca="false">IF(IFERROR(INDEX(tsk_Name,GanttView[[#This Row],[_Row]])="",TRUE()),FALSE(),INDEX(tsk_Critical,GanttView[[#This Row],[_Row]])="Yes")</f>
        <v>0</v>
      </c>
    </row>
    <row r="78" customFormat="false" ht="15" hidden="false" customHeight="false" outlineLevel="0" collapsed="false">
      <c r="A78" s="126" t="str">
        <f aca="false">IF(IFERROR(INDEX(tsk_Name,GanttView[[#This Row],[_Row]])="",TRUE()),"",INDEX(tsk_ID,GanttView[[#This Row],[_Row]]))</f>
        <v/>
      </c>
      <c r="B78" s="126" t="str">
        <f aca="false">IF(IFERROR(INDEX(tsk_Name,GanttView[[#This Row],[_Row]])="",TRUE()),"",INDEX(tsk_WBS,GanttView[[#This Row],[_Row]]))</f>
        <v/>
      </c>
      <c r="C78" s="127" t="str">
        <f aca="false">IF(IFERROR(INDEX(tsk_Name,GanttView[[#This Row],[_Row]])="",TRUE()),"",REPT("    ",INDEX(tsk_Level,GanttView[[#This Row],[_Row]])-1)&amp;INDEX(tsk_Name,GanttView[[#This Row],[_Row]]))</f>
        <v/>
      </c>
      <c r="D78" s="126" t="str">
        <f aca="false">IF(IFERROR(INDEX(tsk_Name,GanttView[[#This Row],[_Row]])="",TRUE()),"",IF(INDEX(tsk_IsSummary,GanttView[[#This Row],[_Row]]),NETWORKDAYS.INTL(INDEX(tsk_FcStart,GanttView[[#This Row],[_Row]]),INDEX(tsk_FcFinish,GanttView[[#This Row],[_Row]]),WorkWeek,Holidays),N(INDEX(tsk_Duration,GanttView[[#This Row],[_Row]]))))</f>
        <v/>
      </c>
      <c r="E78" s="128" t="str">
        <f aca="false">IF(IFERROR(INDEX(tsk_Name,GanttView[[#This Row],[_Row]])="",TRUE()),"",INDEX(tsk_PlanStart,GanttView[[#This Row],[_Row]]))</f>
        <v/>
      </c>
      <c r="F78" s="128" t="str">
        <f aca="false">IF(IFERROR(INDEX(tsk_Name,GanttView[[#This Row],[_Row]])="",TRUE()),"",INDEX(tsk_PlanFinish,GanttView[[#This Row],[_Row]]))</f>
        <v/>
      </c>
      <c r="G78" s="128" t="str">
        <f aca="false">IF(IFERROR(INDEX(tsk_Name,GanttView[[#This Row],[_Row]])="",TRUE()),"",INDEX(tsk_FcStart,GanttView[[#This Row],[_Row]]))</f>
        <v/>
      </c>
      <c r="H78" s="128" t="str">
        <f aca="false">IF(IFERROR(INDEX(tsk_Name,GanttView[[#This Row],[_Row]])="",TRUE()),"",INDEX(tsk_FcFinish,GanttView[[#This Row],[_Row]]))</f>
        <v/>
      </c>
      <c r="I78" s="129" t="str">
        <f aca="false">IF(IFERROR(INDEX(tsk_Name,GanttView[[#This Row],[_Row]])="",TRUE()),"",INDEX(tsk_Progress,GanttView[[#This Row],[_Row]]))</f>
        <v/>
      </c>
      <c r="J78" s="127" t="str">
        <f aca="false">IF(IFERROR(INDEX(tsk_Name,GanttView[[#This Row],[_Row]])="",TRUE()),"",INDEX(tsk_ResourceNames,GanttView[[#This Row],[_Row]])&amp;"")</f>
        <v/>
      </c>
      <c r="K78" s="126" t="str">
        <f aca="false">IF(IFERROR(INDEX(tsk_Name,GanttView[[#This Row],[_Row]])="",TRUE()),"",INDEX(tsk_Status,GanttView[[#This Row],[_Row]]))</f>
        <v/>
      </c>
      <c r="L78" s="126" t="str">
        <f aca="false">IF(IFERROR(INDEX(tsk_Name,GanttView[[#This Row],[_Row]])="",TRUE()),"",INDEX(tsk_Show,GanttView[[#This Row],[_Row]])&amp;"")</f>
        <v/>
      </c>
      <c r="M78" s="130" t="n">
        <f aca="false">ROW()-ROW(GanttView[[#Headers],[ID]])</f>
        <v>73</v>
      </c>
      <c r="N78" s="131" t="b">
        <f aca="false">IF(IFERROR(INDEX(tsk_Name,GanttView[[#This Row],[_Row]])="",TRUE()),FALSE(),INDEX(tsk_IsSummary,GanttView[[#This Row],[_Row]]))</f>
        <v>0</v>
      </c>
      <c r="O78" s="131" t="b">
        <f aca="false">IF(IFERROR(INDEX(tsk_Name,GanttView[[#This Row],[_Row]])="",TRUE()),FALSE(),AND(INDEX(tsk_IsLeaf,GanttView[[#This Row],[_Row]])=1,N(INDEX(tsk_Duration,GanttView[[#This Row],[_Row]]))=0))</f>
        <v>0</v>
      </c>
      <c r="P78" s="132" t="n">
        <f aca="false">IF(IFERROR(INDEX(tsk_Name,GanttView[[#This Row],[_Row]])="",TRUE()),0,IF(AND(INDEX(tsk_IsLeaf,GanttView[[#This Row],[_Row]])=1,NOT(GanttView[[#This Row],[_IsMilestone]]),N(GanttView[[#This Row],[%]])&gt;0),GanttView[[#This Row],[Forecast Start]],0))</f>
        <v>0</v>
      </c>
      <c r="Q78" s="132" t="n">
        <f aca="false">IF(GanttView[[#This Row],[_DoneFrom]]=0,0,IF(GanttView[[#This Row],[%]]&gt;=1,GanttView[[#This Row],[Forecast Finish]],MAX(GanttView[[#This Row],[_DoneFrom]],GanttView[[#This Row],[Forecast Start]]+ROUND((GanttView[[#This Row],[Forecast Finish]]-GanttView[[#This Row],[Forecast Start]]+1)*GanttView[[#This Row],[%]],0)-1)))</f>
        <v>0</v>
      </c>
      <c r="R78" s="132" t="n">
        <f aca="false">IF(IFERROR(INDEX(tsk_Name,GanttView[[#This Row],[_Row]])="",TRUE()),0,IF(OR(INDEX(tsk_IsLeaf,GanttView[[#This Row],[_Row]])&lt;&gt;1,GanttView[[#This Row],[_IsMilestone]],N(GanttView[[#This Row],[%]])&gt;=1),0,IF(GanttView[[#This Row],[_DoneTo]]&gt;0,GanttView[[#This Row],[_DoneTo]]+1,GanttView[[#This Row],[Forecast Start]])))</f>
        <v>0</v>
      </c>
      <c r="S78" s="132" t="n">
        <f aca="false">IF(GanttView[[#This Row],[_RemFrom]]=0,0,GanttView[[#This Row],[Forecast Finish]])</f>
        <v>0</v>
      </c>
      <c r="T78" s="131" t="b">
        <f aca="false">IF(IFERROR(INDEX(tsk_Name,GanttView[[#This Row],[_Row]])="",TRUE()),FALSE(),N(INDEX(tsk_Variance,GanttView[[#This Row],[_Row]]))&gt;0)</f>
        <v>0</v>
      </c>
      <c r="U78" s="132" t="n">
        <f aca="false">IF(IFERROR(INDEX(tsk_Name,GanttView[[#This Row],[_Row]])="",TRUE()),0,N(INDEX(tsk_Deadline,GanttView[[#This Row],[_Row]])))</f>
        <v>0</v>
      </c>
      <c r="V78" s="131" t="b">
        <f aca="false">IF(IFERROR(INDEX(tsk_Name,GanttView[[#This Row],[_Row]])="",TRUE()),FALSE(),INDEX(tsk_Critical,GanttView[[#This Row],[_Row]])="Yes")</f>
        <v>0</v>
      </c>
    </row>
    <row r="79" customFormat="false" ht="15" hidden="false" customHeight="false" outlineLevel="0" collapsed="false">
      <c r="A79" s="126" t="str">
        <f aca="false">IF(IFERROR(INDEX(tsk_Name,GanttView[[#This Row],[_Row]])="",TRUE()),"",INDEX(tsk_ID,GanttView[[#This Row],[_Row]]))</f>
        <v/>
      </c>
      <c r="B79" s="126" t="str">
        <f aca="false">IF(IFERROR(INDEX(tsk_Name,GanttView[[#This Row],[_Row]])="",TRUE()),"",INDEX(tsk_WBS,GanttView[[#This Row],[_Row]]))</f>
        <v/>
      </c>
      <c r="C79" s="127" t="str">
        <f aca="false">IF(IFERROR(INDEX(tsk_Name,GanttView[[#This Row],[_Row]])="",TRUE()),"",REPT("    ",INDEX(tsk_Level,GanttView[[#This Row],[_Row]])-1)&amp;INDEX(tsk_Name,GanttView[[#This Row],[_Row]]))</f>
        <v/>
      </c>
      <c r="D79" s="126" t="str">
        <f aca="false">IF(IFERROR(INDEX(tsk_Name,GanttView[[#This Row],[_Row]])="",TRUE()),"",IF(INDEX(tsk_IsSummary,GanttView[[#This Row],[_Row]]),NETWORKDAYS.INTL(INDEX(tsk_FcStart,GanttView[[#This Row],[_Row]]),INDEX(tsk_FcFinish,GanttView[[#This Row],[_Row]]),WorkWeek,Holidays),N(INDEX(tsk_Duration,GanttView[[#This Row],[_Row]]))))</f>
        <v/>
      </c>
      <c r="E79" s="128" t="str">
        <f aca="false">IF(IFERROR(INDEX(tsk_Name,GanttView[[#This Row],[_Row]])="",TRUE()),"",INDEX(tsk_PlanStart,GanttView[[#This Row],[_Row]]))</f>
        <v/>
      </c>
      <c r="F79" s="128" t="str">
        <f aca="false">IF(IFERROR(INDEX(tsk_Name,GanttView[[#This Row],[_Row]])="",TRUE()),"",INDEX(tsk_PlanFinish,GanttView[[#This Row],[_Row]]))</f>
        <v/>
      </c>
      <c r="G79" s="128" t="str">
        <f aca="false">IF(IFERROR(INDEX(tsk_Name,GanttView[[#This Row],[_Row]])="",TRUE()),"",INDEX(tsk_FcStart,GanttView[[#This Row],[_Row]]))</f>
        <v/>
      </c>
      <c r="H79" s="128" t="str">
        <f aca="false">IF(IFERROR(INDEX(tsk_Name,GanttView[[#This Row],[_Row]])="",TRUE()),"",INDEX(tsk_FcFinish,GanttView[[#This Row],[_Row]]))</f>
        <v/>
      </c>
      <c r="I79" s="129" t="str">
        <f aca="false">IF(IFERROR(INDEX(tsk_Name,GanttView[[#This Row],[_Row]])="",TRUE()),"",INDEX(tsk_Progress,GanttView[[#This Row],[_Row]]))</f>
        <v/>
      </c>
      <c r="J79" s="127" t="str">
        <f aca="false">IF(IFERROR(INDEX(tsk_Name,GanttView[[#This Row],[_Row]])="",TRUE()),"",INDEX(tsk_ResourceNames,GanttView[[#This Row],[_Row]])&amp;"")</f>
        <v/>
      </c>
      <c r="K79" s="126" t="str">
        <f aca="false">IF(IFERROR(INDEX(tsk_Name,GanttView[[#This Row],[_Row]])="",TRUE()),"",INDEX(tsk_Status,GanttView[[#This Row],[_Row]]))</f>
        <v/>
      </c>
      <c r="L79" s="126" t="str">
        <f aca="false">IF(IFERROR(INDEX(tsk_Name,GanttView[[#This Row],[_Row]])="",TRUE()),"",INDEX(tsk_Show,GanttView[[#This Row],[_Row]])&amp;"")</f>
        <v/>
      </c>
      <c r="M79" s="130" t="n">
        <f aca="false">ROW()-ROW(GanttView[[#Headers],[ID]])</f>
        <v>74</v>
      </c>
      <c r="N79" s="131" t="b">
        <f aca="false">IF(IFERROR(INDEX(tsk_Name,GanttView[[#This Row],[_Row]])="",TRUE()),FALSE(),INDEX(tsk_IsSummary,GanttView[[#This Row],[_Row]]))</f>
        <v>0</v>
      </c>
      <c r="O79" s="131" t="b">
        <f aca="false">IF(IFERROR(INDEX(tsk_Name,GanttView[[#This Row],[_Row]])="",TRUE()),FALSE(),AND(INDEX(tsk_IsLeaf,GanttView[[#This Row],[_Row]])=1,N(INDEX(tsk_Duration,GanttView[[#This Row],[_Row]]))=0))</f>
        <v>0</v>
      </c>
      <c r="P79" s="132" t="n">
        <f aca="false">IF(IFERROR(INDEX(tsk_Name,GanttView[[#This Row],[_Row]])="",TRUE()),0,IF(AND(INDEX(tsk_IsLeaf,GanttView[[#This Row],[_Row]])=1,NOT(GanttView[[#This Row],[_IsMilestone]]),N(GanttView[[#This Row],[%]])&gt;0),GanttView[[#This Row],[Forecast Start]],0))</f>
        <v>0</v>
      </c>
      <c r="Q79" s="132" t="n">
        <f aca="false">IF(GanttView[[#This Row],[_DoneFrom]]=0,0,IF(GanttView[[#This Row],[%]]&gt;=1,GanttView[[#This Row],[Forecast Finish]],MAX(GanttView[[#This Row],[_DoneFrom]],GanttView[[#This Row],[Forecast Start]]+ROUND((GanttView[[#This Row],[Forecast Finish]]-GanttView[[#This Row],[Forecast Start]]+1)*GanttView[[#This Row],[%]],0)-1)))</f>
        <v>0</v>
      </c>
      <c r="R79" s="132" t="n">
        <f aca="false">IF(IFERROR(INDEX(tsk_Name,GanttView[[#This Row],[_Row]])="",TRUE()),0,IF(OR(INDEX(tsk_IsLeaf,GanttView[[#This Row],[_Row]])&lt;&gt;1,GanttView[[#This Row],[_IsMilestone]],N(GanttView[[#This Row],[%]])&gt;=1),0,IF(GanttView[[#This Row],[_DoneTo]]&gt;0,GanttView[[#This Row],[_DoneTo]]+1,GanttView[[#This Row],[Forecast Start]])))</f>
        <v>0</v>
      </c>
      <c r="S79" s="132" t="n">
        <f aca="false">IF(GanttView[[#This Row],[_RemFrom]]=0,0,GanttView[[#This Row],[Forecast Finish]])</f>
        <v>0</v>
      </c>
      <c r="T79" s="131" t="b">
        <f aca="false">IF(IFERROR(INDEX(tsk_Name,GanttView[[#This Row],[_Row]])="",TRUE()),FALSE(),N(INDEX(tsk_Variance,GanttView[[#This Row],[_Row]]))&gt;0)</f>
        <v>0</v>
      </c>
      <c r="U79" s="132" t="n">
        <f aca="false">IF(IFERROR(INDEX(tsk_Name,GanttView[[#This Row],[_Row]])="",TRUE()),0,N(INDEX(tsk_Deadline,GanttView[[#This Row],[_Row]])))</f>
        <v>0</v>
      </c>
      <c r="V79" s="131" t="b">
        <f aca="false">IF(IFERROR(INDEX(tsk_Name,GanttView[[#This Row],[_Row]])="",TRUE()),FALSE(),INDEX(tsk_Critical,GanttView[[#This Row],[_Row]])="Yes")</f>
        <v>0</v>
      </c>
    </row>
    <row r="80" customFormat="false" ht="15" hidden="false" customHeight="false" outlineLevel="0" collapsed="false">
      <c r="A80" s="126" t="str">
        <f aca="false">IF(IFERROR(INDEX(tsk_Name,GanttView[[#This Row],[_Row]])="",TRUE()),"",INDEX(tsk_ID,GanttView[[#This Row],[_Row]]))</f>
        <v/>
      </c>
      <c r="B80" s="126" t="str">
        <f aca="false">IF(IFERROR(INDEX(tsk_Name,GanttView[[#This Row],[_Row]])="",TRUE()),"",INDEX(tsk_WBS,GanttView[[#This Row],[_Row]]))</f>
        <v/>
      </c>
      <c r="C80" s="127" t="str">
        <f aca="false">IF(IFERROR(INDEX(tsk_Name,GanttView[[#This Row],[_Row]])="",TRUE()),"",REPT("    ",INDEX(tsk_Level,GanttView[[#This Row],[_Row]])-1)&amp;INDEX(tsk_Name,GanttView[[#This Row],[_Row]]))</f>
        <v/>
      </c>
      <c r="D80" s="126" t="str">
        <f aca="false">IF(IFERROR(INDEX(tsk_Name,GanttView[[#This Row],[_Row]])="",TRUE()),"",IF(INDEX(tsk_IsSummary,GanttView[[#This Row],[_Row]]),NETWORKDAYS.INTL(INDEX(tsk_FcStart,GanttView[[#This Row],[_Row]]),INDEX(tsk_FcFinish,GanttView[[#This Row],[_Row]]),WorkWeek,Holidays),N(INDEX(tsk_Duration,GanttView[[#This Row],[_Row]]))))</f>
        <v/>
      </c>
      <c r="E80" s="128" t="str">
        <f aca="false">IF(IFERROR(INDEX(tsk_Name,GanttView[[#This Row],[_Row]])="",TRUE()),"",INDEX(tsk_PlanStart,GanttView[[#This Row],[_Row]]))</f>
        <v/>
      </c>
      <c r="F80" s="128" t="str">
        <f aca="false">IF(IFERROR(INDEX(tsk_Name,GanttView[[#This Row],[_Row]])="",TRUE()),"",INDEX(tsk_PlanFinish,GanttView[[#This Row],[_Row]]))</f>
        <v/>
      </c>
      <c r="G80" s="128" t="str">
        <f aca="false">IF(IFERROR(INDEX(tsk_Name,GanttView[[#This Row],[_Row]])="",TRUE()),"",INDEX(tsk_FcStart,GanttView[[#This Row],[_Row]]))</f>
        <v/>
      </c>
      <c r="H80" s="128" t="str">
        <f aca="false">IF(IFERROR(INDEX(tsk_Name,GanttView[[#This Row],[_Row]])="",TRUE()),"",INDEX(tsk_FcFinish,GanttView[[#This Row],[_Row]]))</f>
        <v/>
      </c>
      <c r="I80" s="129" t="str">
        <f aca="false">IF(IFERROR(INDEX(tsk_Name,GanttView[[#This Row],[_Row]])="",TRUE()),"",INDEX(tsk_Progress,GanttView[[#This Row],[_Row]]))</f>
        <v/>
      </c>
      <c r="J80" s="127" t="str">
        <f aca="false">IF(IFERROR(INDEX(tsk_Name,GanttView[[#This Row],[_Row]])="",TRUE()),"",INDEX(tsk_ResourceNames,GanttView[[#This Row],[_Row]])&amp;"")</f>
        <v/>
      </c>
      <c r="K80" s="126" t="str">
        <f aca="false">IF(IFERROR(INDEX(tsk_Name,GanttView[[#This Row],[_Row]])="",TRUE()),"",INDEX(tsk_Status,GanttView[[#This Row],[_Row]]))</f>
        <v/>
      </c>
      <c r="L80" s="126" t="str">
        <f aca="false">IF(IFERROR(INDEX(tsk_Name,GanttView[[#This Row],[_Row]])="",TRUE()),"",INDEX(tsk_Show,GanttView[[#This Row],[_Row]])&amp;"")</f>
        <v/>
      </c>
      <c r="M80" s="130" t="n">
        <f aca="false">ROW()-ROW(GanttView[[#Headers],[ID]])</f>
        <v>75</v>
      </c>
      <c r="N80" s="131" t="b">
        <f aca="false">IF(IFERROR(INDEX(tsk_Name,GanttView[[#This Row],[_Row]])="",TRUE()),FALSE(),INDEX(tsk_IsSummary,GanttView[[#This Row],[_Row]]))</f>
        <v>0</v>
      </c>
      <c r="O80" s="131" t="b">
        <f aca="false">IF(IFERROR(INDEX(tsk_Name,GanttView[[#This Row],[_Row]])="",TRUE()),FALSE(),AND(INDEX(tsk_IsLeaf,GanttView[[#This Row],[_Row]])=1,N(INDEX(tsk_Duration,GanttView[[#This Row],[_Row]]))=0))</f>
        <v>0</v>
      </c>
      <c r="P80" s="132" t="n">
        <f aca="false">IF(IFERROR(INDEX(tsk_Name,GanttView[[#This Row],[_Row]])="",TRUE()),0,IF(AND(INDEX(tsk_IsLeaf,GanttView[[#This Row],[_Row]])=1,NOT(GanttView[[#This Row],[_IsMilestone]]),N(GanttView[[#This Row],[%]])&gt;0),GanttView[[#This Row],[Forecast Start]],0))</f>
        <v>0</v>
      </c>
      <c r="Q80" s="132" t="n">
        <f aca="false">IF(GanttView[[#This Row],[_DoneFrom]]=0,0,IF(GanttView[[#This Row],[%]]&gt;=1,GanttView[[#This Row],[Forecast Finish]],MAX(GanttView[[#This Row],[_DoneFrom]],GanttView[[#This Row],[Forecast Start]]+ROUND((GanttView[[#This Row],[Forecast Finish]]-GanttView[[#This Row],[Forecast Start]]+1)*GanttView[[#This Row],[%]],0)-1)))</f>
        <v>0</v>
      </c>
      <c r="R80" s="132" t="n">
        <f aca="false">IF(IFERROR(INDEX(tsk_Name,GanttView[[#This Row],[_Row]])="",TRUE()),0,IF(OR(INDEX(tsk_IsLeaf,GanttView[[#This Row],[_Row]])&lt;&gt;1,GanttView[[#This Row],[_IsMilestone]],N(GanttView[[#This Row],[%]])&gt;=1),0,IF(GanttView[[#This Row],[_DoneTo]]&gt;0,GanttView[[#This Row],[_DoneTo]]+1,GanttView[[#This Row],[Forecast Start]])))</f>
        <v>0</v>
      </c>
      <c r="S80" s="132" t="n">
        <f aca="false">IF(GanttView[[#This Row],[_RemFrom]]=0,0,GanttView[[#This Row],[Forecast Finish]])</f>
        <v>0</v>
      </c>
      <c r="T80" s="131" t="b">
        <f aca="false">IF(IFERROR(INDEX(tsk_Name,GanttView[[#This Row],[_Row]])="",TRUE()),FALSE(),N(INDEX(tsk_Variance,GanttView[[#This Row],[_Row]]))&gt;0)</f>
        <v>0</v>
      </c>
      <c r="U80" s="132" t="n">
        <f aca="false">IF(IFERROR(INDEX(tsk_Name,GanttView[[#This Row],[_Row]])="",TRUE()),0,N(INDEX(tsk_Deadline,GanttView[[#This Row],[_Row]])))</f>
        <v>0</v>
      </c>
      <c r="V80" s="131" t="b">
        <f aca="false">IF(IFERROR(INDEX(tsk_Name,GanttView[[#This Row],[_Row]])="",TRUE()),FALSE(),INDEX(tsk_Critical,GanttView[[#This Row],[_Row]])="Yes")</f>
        <v>0</v>
      </c>
    </row>
    <row r="81" customFormat="false" ht="15" hidden="false" customHeight="false" outlineLevel="0" collapsed="false">
      <c r="A81" s="126" t="str">
        <f aca="false">IF(IFERROR(INDEX(tsk_Name,GanttView[[#This Row],[_Row]])="",TRUE()),"",INDEX(tsk_ID,GanttView[[#This Row],[_Row]]))</f>
        <v/>
      </c>
      <c r="B81" s="126" t="str">
        <f aca="false">IF(IFERROR(INDEX(tsk_Name,GanttView[[#This Row],[_Row]])="",TRUE()),"",INDEX(tsk_WBS,GanttView[[#This Row],[_Row]]))</f>
        <v/>
      </c>
      <c r="C81" s="127" t="str">
        <f aca="false">IF(IFERROR(INDEX(tsk_Name,GanttView[[#This Row],[_Row]])="",TRUE()),"",REPT("    ",INDEX(tsk_Level,GanttView[[#This Row],[_Row]])-1)&amp;INDEX(tsk_Name,GanttView[[#This Row],[_Row]]))</f>
        <v/>
      </c>
      <c r="D81" s="126" t="str">
        <f aca="false">IF(IFERROR(INDEX(tsk_Name,GanttView[[#This Row],[_Row]])="",TRUE()),"",IF(INDEX(tsk_IsSummary,GanttView[[#This Row],[_Row]]),NETWORKDAYS.INTL(INDEX(tsk_FcStart,GanttView[[#This Row],[_Row]]),INDEX(tsk_FcFinish,GanttView[[#This Row],[_Row]]),WorkWeek,Holidays),N(INDEX(tsk_Duration,GanttView[[#This Row],[_Row]]))))</f>
        <v/>
      </c>
      <c r="E81" s="128" t="str">
        <f aca="false">IF(IFERROR(INDEX(tsk_Name,GanttView[[#This Row],[_Row]])="",TRUE()),"",INDEX(tsk_PlanStart,GanttView[[#This Row],[_Row]]))</f>
        <v/>
      </c>
      <c r="F81" s="128" t="str">
        <f aca="false">IF(IFERROR(INDEX(tsk_Name,GanttView[[#This Row],[_Row]])="",TRUE()),"",INDEX(tsk_PlanFinish,GanttView[[#This Row],[_Row]]))</f>
        <v/>
      </c>
      <c r="G81" s="128" t="str">
        <f aca="false">IF(IFERROR(INDEX(tsk_Name,GanttView[[#This Row],[_Row]])="",TRUE()),"",INDEX(tsk_FcStart,GanttView[[#This Row],[_Row]]))</f>
        <v/>
      </c>
      <c r="H81" s="128" t="str">
        <f aca="false">IF(IFERROR(INDEX(tsk_Name,GanttView[[#This Row],[_Row]])="",TRUE()),"",INDEX(tsk_FcFinish,GanttView[[#This Row],[_Row]]))</f>
        <v/>
      </c>
      <c r="I81" s="129" t="str">
        <f aca="false">IF(IFERROR(INDEX(tsk_Name,GanttView[[#This Row],[_Row]])="",TRUE()),"",INDEX(tsk_Progress,GanttView[[#This Row],[_Row]]))</f>
        <v/>
      </c>
      <c r="J81" s="127" t="str">
        <f aca="false">IF(IFERROR(INDEX(tsk_Name,GanttView[[#This Row],[_Row]])="",TRUE()),"",INDEX(tsk_ResourceNames,GanttView[[#This Row],[_Row]])&amp;"")</f>
        <v/>
      </c>
      <c r="K81" s="126" t="str">
        <f aca="false">IF(IFERROR(INDEX(tsk_Name,GanttView[[#This Row],[_Row]])="",TRUE()),"",INDEX(tsk_Status,GanttView[[#This Row],[_Row]]))</f>
        <v/>
      </c>
      <c r="L81" s="126" t="str">
        <f aca="false">IF(IFERROR(INDEX(tsk_Name,GanttView[[#This Row],[_Row]])="",TRUE()),"",INDEX(tsk_Show,GanttView[[#This Row],[_Row]])&amp;"")</f>
        <v/>
      </c>
      <c r="M81" s="130" t="n">
        <f aca="false">ROW()-ROW(GanttView[[#Headers],[ID]])</f>
        <v>76</v>
      </c>
      <c r="N81" s="131" t="b">
        <f aca="false">IF(IFERROR(INDEX(tsk_Name,GanttView[[#This Row],[_Row]])="",TRUE()),FALSE(),INDEX(tsk_IsSummary,GanttView[[#This Row],[_Row]]))</f>
        <v>0</v>
      </c>
      <c r="O81" s="131" t="b">
        <f aca="false">IF(IFERROR(INDEX(tsk_Name,GanttView[[#This Row],[_Row]])="",TRUE()),FALSE(),AND(INDEX(tsk_IsLeaf,GanttView[[#This Row],[_Row]])=1,N(INDEX(tsk_Duration,GanttView[[#This Row],[_Row]]))=0))</f>
        <v>0</v>
      </c>
      <c r="P81" s="132" t="n">
        <f aca="false">IF(IFERROR(INDEX(tsk_Name,GanttView[[#This Row],[_Row]])="",TRUE()),0,IF(AND(INDEX(tsk_IsLeaf,GanttView[[#This Row],[_Row]])=1,NOT(GanttView[[#This Row],[_IsMilestone]]),N(GanttView[[#This Row],[%]])&gt;0),GanttView[[#This Row],[Forecast Start]],0))</f>
        <v>0</v>
      </c>
      <c r="Q81" s="132" t="n">
        <f aca="false">IF(GanttView[[#This Row],[_DoneFrom]]=0,0,IF(GanttView[[#This Row],[%]]&gt;=1,GanttView[[#This Row],[Forecast Finish]],MAX(GanttView[[#This Row],[_DoneFrom]],GanttView[[#This Row],[Forecast Start]]+ROUND((GanttView[[#This Row],[Forecast Finish]]-GanttView[[#This Row],[Forecast Start]]+1)*GanttView[[#This Row],[%]],0)-1)))</f>
        <v>0</v>
      </c>
      <c r="R81" s="132" t="n">
        <f aca="false">IF(IFERROR(INDEX(tsk_Name,GanttView[[#This Row],[_Row]])="",TRUE()),0,IF(OR(INDEX(tsk_IsLeaf,GanttView[[#This Row],[_Row]])&lt;&gt;1,GanttView[[#This Row],[_IsMilestone]],N(GanttView[[#This Row],[%]])&gt;=1),0,IF(GanttView[[#This Row],[_DoneTo]]&gt;0,GanttView[[#This Row],[_DoneTo]]+1,GanttView[[#This Row],[Forecast Start]])))</f>
        <v>0</v>
      </c>
      <c r="S81" s="132" t="n">
        <f aca="false">IF(GanttView[[#This Row],[_RemFrom]]=0,0,GanttView[[#This Row],[Forecast Finish]])</f>
        <v>0</v>
      </c>
      <c r="T81" s="131" t="b">
        <f aca="false">IF(IFERROR(INDEX(tsk_Name,GanttView[[#This Row],[_Row]])="",TRUE()),FALSE(),N(INDEX(tsk_Variance,GanttView[[#This Row],[_Row]]))&gt;0)</f>
        <v>0</v>
      </c>
      <c r="U81" s="132" t="n">
        <f aca="false">IF(IFERROR(INDEX(tsk_Name,GanttView[[#This Row],[_Row]])="",TRUE()),0,N(INDEX(tsk_Deadline,GanttView[[#This Row],[_Row]])))</f>
        <v>0</v>
      </c>
      <c r="V81" s="131" t="b">
        <f aca="false">IF(IFERROR(INDEX(tsk_Name,GanttView[[#This Row],[_Row]])="",TRUE()),FALSE(),INDEX(tsk_Critical,GanttView[[#This Row],[_Row]])="Yes")</f>
        <v>0</v>
      </c>
    </row>
    <row r="82" customFormat="false" ht="15" hidden="false" customHeight="false" outlineLevel="0" collapsed="false">
      <c r="A82" s="126" t="str">
        <f aca="false">IF(IFERROR(INDEX(tsk_Name,GanttView[[#This Row],[_Row]])="",TRUE()),"",INDEX(tsk_ID,GanttView[[#This Row],[_Row]]))</f>
        <v/>
      </c>
      <c r="B82" s="126" t="str">
        <f aca="false">IF(IFERROR(INDEX(tsk_Name,GanttView[[#This Row],[_Row]])="",TRUE()),"",INDEX(tsk_WBS,GanttView[[#This Row],[_Row]]))</f>
        <v/>
      </c>
      <c r="C82" s="127" t="str">
        <f aca="false">IF(IFERROR(INDEX(tsk_Name,GanttView[[#This Row],[_Row]])="",TRUE()),"",REPT("    ",INDEX(tsk_Level,GanttView[[#This Row],[_Row]])-1)&amp;INDEX(tsk_Name,GanttView[[#This Row],[_Row]]))</f>
        <v/>
      </c>
      <c r="D82" s="126" t="str">
        <f aca="false">IF(IFERROR(INDEX(tsk_Name,GanttView[[#This Row],[_Row]])="",TRUE()),"",IF(INDEX(tsk_IsSummary,GanttView[[#This Row],[_Row]]),NETWORKDAYS.INTL(INDEX(tsk_FcStart,GanttView[[#This Row],[_Row]]),INDEX(tsk_FcFinish,GanttView[[#This Row],[_Row]]),WorkWeek,Holidays),N(INDEX(tsk_Duration,GanttView[[#This Row],[_Row]]))))</f>
        <v/>
      </c>
      <c r="E82" s="128" t="str">
        <f aca="false">IF(IFERROR(INDEX(tsk_Name,GanttView[[#This Row],[_Row]])="",TRUE()),"",INDEX(tsk_PlanStart,GanttView[[#This Row],[_Row]]))</f>
        <v/>
      </c>
      <c r="F82" s="128" t="str">
        <f aca="false">IF(IFERROR(INDEX(tsk_Name,GanttView[[#This Row],[_Row]])="",TRUE()),"",INDEX(tsk_PlanFinish,GanttView[[#This Row],[_Row]]))</f>
        <v/>
      </c>
      <c r="G82" s="128" t="str">
        <f aca="false">IF(IFERROR(INDEX(tsk_Name,GanttView[[#This Row],[_Row]])="",TRUE()),"",INDEX(tsk_FcStart,GanttView[[#This Row],[_Row]]))</f>
        <v/>
      </c>
      <c r="H82" s="128" t="str">
        <f aca="false">IF(IFERROR(INDEX(tsk_Name,GanttView[[#This Row],[_Row]])="",TRUE()),"",INDEX(tsk_FcFinish,GanttView[[#This Row],[_Row]]))</f>
        <v/>
      </c>
      <c r="I82" s="129" t="str">
        <f aca="false">IF(IFERROR(INDEX(tsk_Name,GanttView[[#This Row],[_Row]])="",TRUE()),"",INDEX(tsk_Progress,GanttView[[#This Row],[_Row]]))</f>
        <v/>
      </c>
      <c r="J82" s="127" t="str">
        <f aca="false">IF(IFERROR(INDEX(tsk_Name,GanttView[[#This Row],[_Row]])="",TRUE()),"",INDEX(tsk_ResourceNames,GanttView[[#This Row],[_Row]])&amp;"")</f>
        <v/>
      </c>
      <c r="K82" s="126" t="str">
        <f aca="false">IF(IFERROR(INDEX(tsk_Name,GanttView[[#This Row],[_Row]])="",TRUE()),"",INDEX(tsk_Status,GanttView[[#This Row],[_Row]]))</f>
        <v/>
      </c>
      <c r="L82" s="126" t="str">
        <f aca="false">IF(IFERROR(INDEX(tsk_Name,GanttView[[#This Row],[_Row]])="",TRUE()),"",INDEX(tsk_Show,GanttView[[#This Row],[_Row]])&amp;"")</f>
        <v/>
      </c>
      <c r="M82" s="130" t="n">
        <f aca="false">ROW()-ROW(GanttView[[#Headers],[ID]])</f>
        <v>77</v>
      </c>
      <c r="N82" s="131" t="b">
        <f aca="false">IF(IFERROR(INDEX(tsk_Name,GanttView[[#This Row],[_Row]])="",TRUE()),FALSE(),INDEX(tsk_IsSummary,GanttView[[#This Row],[_Row]]))</f>
        <v>0</v>
      </c>
      <c r="O82" s="131" t="b">
        <f aca="false">IF(IFERROR(INDEX(tsk_Name,GanttView[[#This Row],[_Row]])="",TRUE()),FALSE(),AND(INDEX(tsk_IsLeaf,GanttView[[#This Row],[_Row]])=1,N(INDEX(tsk_Duration,GanttView[[#This Row],[_Row]]))=0))</f>
        <v>0</v>
      </c>
      <c r="P82" s="132" t="n">
        <f aca="false">IF(IFERROR(INDEX(tsk_Name,GanttView[[#This Row],[_Row]])="",TRUE()),0,IF(AND(INDEX(tsk_IsLeaf,GanttView[[#This Row],[_Row]])=1,NOT(GanttView[[#This Row],[_IsMilestone]]),N(GanttView[[#This Row],[%]])&gt;0),GanttView[[#This Row],[Forecast Start]],0))</f>
        <v>0</v>
      </c>
      <c r="Q82" s="132" t="n">
        <f aca="false">IF(GanttView[[#This Row],[_DoneFrom]]=0,0,IF(GanttView[[#This Row],[%]]&gt;=1,GanttView[[#This Row],[Forecast Finish]],MAX(GanttView[[#This Row],[_DoneFrom]],GanttView[[#This Row],[Forecast Start]]+ROUND((GanttView[[#This Row],[Forecast Finish]]-GanttView[[#This Row],[Forecast Start]]+1)*GanttView[[#This Row],[%]],0)-1)))</f>
        <v>0</v>
      </c>
      <c r="R82" s="132" t="n">
        <f aca="false">IF(IFERROR(INDEX(tsk_Name,GanttView[[#This Row],[_Row]])="",TRUE()),0,IF(OR(INDEX(tsk_IsLeaf,GanttView[[#This Row],[_Row]])&lt;&gt;1,GanttView[[#This Row],[_IsMilestone]],N(GanttView[[#This Row],[%]])&gt;=1),0,IF(GanttView[[#This Row],[_DoneTo]]&gt;0,GanttView[[#This Row],[_DoneTo]]+1,GanttView[[#This Row],[Forecast Start]])))</f>
        <v>0</v>
      </c>
      <c r="S82" s="132" t="n">
        <f aca="false">IF(GanttView[[#This Row],[_RemFrom]]=0,0,GanttView[[#This Row],[Forecast Finish]])</f>
        <v>0</v>
      </c>
      <c r="T82" s="131" t="b">
        <f aca="false">IF(IFERROR(INDEX(tsk_Name,GanttView[[#This Row],[_Row]])="",TRUE()),FALSE(),N(INDEX(tsk_Variance,GanttView[[#This Row],[_Row]]))&gt;0)</f>
        <v>0</v>
      </c>
      <c r="U82" s="132" t="n">
        <f aca="false">IF(IFERROR(INDEX(tsk_Name,GanttView[[#This Row],[_Row]])="",TRUE()),0,N(INDEX(tsk_Deadline,GanttView[[#This Row],[_Row]])))</f>
        <v>0</v>
      </c>
      <c r="V82" s="131" t="b">
        <f aca="false">IF(IFERROR(INDEX(tsk_Name,GanttView[[#This Row],[_Row]])="",TRUE()),FALSE(),INDEX(tsk_Critical,GanttView[[#This Row],[_Row]])="Yes")</f>
        <v>0</v>
      </c>
    </row>
    <row r="83" customFormat="false" ht="15" hidden="false" customHeight="false" outlineLevel="0" collapsed="false">
      <c r="A83" s="126" t="str">
        <f aca="false">IF(IFERROR(INDEX(tsk_Name,GanttView[[#This Row],[_Row]])="",TRUE()),"",INDEX(tsk_ID,GanttView[[#This Row],[_Row]]))</f>
        <v/>
      </c>
      <c r="B83" s="126" t="str">
        <f aca="false">IF(IFERROR(INDEX(tsk_Name,GanttView[[#This Row],[_Row]])="",TRUE()),"",INDEX(tsk_WBS,GanttView[[#This Row],[_Row]]))</f>
        <v/>
      </c>
      <c r="C83" s="127" t="str">
        <f aca="false">IF(IFERROR(INDEX(tsk_Name,GanttView[[#This Row],[_Row]])="",TRUE()),"",REPT("    ",INDEX(tsk_Level,GanttView[[#This Row],[_Row]])-1)&amp;INDEX(tsk_Name,GanttView[[#This Row],[_Row]]))</f>
        <v/>
      </c>
      <c r="D83" s="126" t="str">
        <f aca="false">IF(IFERROR(INDEX(tsk_Name,GanttView[[#This Row],[_Row]])="",TRUE()),"",IF(INDEX(tsk_IsSummary,GanttView[[#This Row],[_Row]]),NETWORKDAYS.INTL(INDEX(tsk_FcStart,GanttView[[#This Row],[_Row]]),INDEX(tsk_FcFinish,GanttView[[#This Row],[_Row]]),WorkWeek,Holidays),N(INDEX(tsk_Duration,GanttView[[#This Row],[_Row]]))))</f>
        <v/>
      </c>
      <c r="E83" s="128" t="str">
        <f aca="false">IF(IFERROR(INDEX(tsk_Name,GanttView[[#This Row],[_Row]])="",TRUE()),"",INDEX(tsk_PlanStart,GanttView[[#This Row],[_Row]]))</f>
        <v/>
      </c>
      <c r="F83" s="128" t="str">
        <f aca="false">IF(IFERROR(INDEX(tsk_Name,GanttView[[#This Row],[_Row]])="",TRUE()),"",INDEX(tsk_PlanFinish,GanttView[[#This Row],[_Row]]))</f>
        <v/>
      </c>
      <c r="G83" s="128" t="str">
        <f aca="false">IF(IFERROR(INDEX(tsk_Name,GanttView[[#This Row],[_Row]])="",TRUE()),"",INDEX(tsk_FcStart,GanttView[[#This Row],[_Row]]))</f>
        <v/>
      </c>
      <c r="H83" s="128" t="str">
        <f aca="false">IF(IFERROR(INDEX(tsk_Name,GanttView[[#This Row],[_Row]])="",TRUE()),"",INDEX(tsk_FcFinish,GanttView[[#This Row],[_Row]]))</f>
        <v/>
      </c>
      <c r="I83" s="129" t="str">
        <f aca="false">IF(IFERROR(INDEX(tsk_Name,GanttView[[#This Row],[_Row]])="",TRUE()),"",INDEX(tsk_Progress,GanttView[[#This Row],[_Row]]))</f>
        <v/>
      </c>
      <c r="J83" s="127" t="str">
        <f aca="false">IF(IFERROR(INDEX(tsk_Name,GanttView[[#This Row],[_Row]])="",TRUE()),"",INDEX(tsk_ResourceNames,GanttView[[#This Row],[_Row]])&amp;"")</f>
        <v/>
      </c>
      <c r="K83" s="126" t="str">
        <f aca="false">IF(IFERROR(INDEX(tsk_Name,GanttView[[#This Row],[_Row]])="",TRUE()),"",INDEX(tsk_Status,GanttView[[#This Row],[_Row]]))</f>
        <v/>
      </c>
      <c r="L83" s="126" t="str">
        <f aca="false">IF(IFERROR(INDEX(tsk_Name,GanttView[[#This Row],[_Row]])="",TRUE()),"",INDEX(tsk_Show,GanttView[[#This Row],[_Row]])&amp;"")</f>
        <v/>
      </c>
      <c r="M83" s="130" t="n">
        <f aca="false">ROW()-ROW(GanttView[[#Headers],[ID]])</f>
        <v>78</v>
      </c>
      <c r="N83" s="131" t="b">
        <f aca="false">IF(IFERROR(INDEX(tsk_Name,GanttView[[#This Row],[_Row]])="",TRUE()),FALSE(),INDEX(tsk_IsSummary,GanttView[[#This Row],[_Row]]))</f>
        <v>0</v>
      </c>
      <c r="O83" s="131" t="b">
        <f aca="false">IF(IFERROR(INDEX(tsk_Name,GanttView[[#This Row],[_Row]])="",TRUE()),FALSE(),AND(INDEX(tsk_IsLeaf,GanttView[[#This Row],[_Row]])=1,N(INDEX(tsk_Duration,GanttView[[#This Row],[_Row]]))=0))</f>
        <v>0</v>
      </c>
      <c r="P83" s="132" t="n">
        <f aca="false">IF(IFERROR(INDEX(tsk_Name,GanttView[[#This Row],[_Row]])="",TRUE()),0,IF(AND(INDEX(tsk_IsLeaf,GanttView[[#This Row],[_Row]])=1,NOT(GanttView[[#This Row],[_IsMilestone]]),N(GanttView[[#This Row],[%]])&gt;0),GanttView[[#This Row],[Forecast Start]],0))</f>
        <v>0</v>
      </c>
      <c r="Q83" s="132" t="n">
        <f aca="false">IF(GanttView[[#This Row],[_DoneFrom]]=0,0,IF(GanttView[[#This Row],[%]]&gt;=1,GanttView[[#This Row],[Forecast Finish]],MAX(GanttView[[#This Row],[_DoneFrom]],GanttView[[#This Row],[Forecast Start]]+ROUND((GanttView[[#This Row],[Forecast Finish]]-GanttView[[#This Row],[Forecast Start]]+1)*GanttView[[#This Row],[%]],0)-1)))</f>
        <v>0</v>
      </c>
      <c r="R83" s="132" t="n">
        <f aca="false">IF(IFERROR(INDEX(tsk_Name,GanttView[[#This Row],[_Row]])="",TRUE()),0,IF(OR(INDEX(tsk_IsLeaf,GanttView[[#This Row],[_Row]])&lt;&gt;1,GanttView[[#This Row],[_IsMilestone]],N(GanttView[[#This Row],[%]])&gt;=1),0,IF(GanttView[[#This Row],[_DoneTo]]&gt;0,GanttView[[#This Row],[_DoneTo]]+1,GanttView[[#This Row],[Forecast Start]])))</f>
        <v>0</v>
      </c>
      <c r="S83" s="132" t="n">
        <f aca="false">IF(GanttView[[#This Row],[_RemFrom]]=0,0,GanttView[[#This Row],[Forecast Finish]])</f>
        <v>0</v>
      </c>
      <c r="T83" s="131" t="b">
        <f aca="false">IF(IFERROR(INDEX(tsk_Name,GanttView[[#This Row],[_Row]])="",TRUE()),FALSE(),N(INDEX(tsk_Variance,GanttView[[#This Row],[_Row]]))&gt;0)</f>
        <v>0</v>
      </c>
      <c r="U83" s="132" t="n">
        <f aca="false">IF(IFERROR(INDEX(tsk_Name,GanttView[[#This Row],[_Row]])="",TRUE()),0,N(INDEX(tsk_Deadline,GanttView[[#This Row],[_Row]])))</f>
        <v>0</v>
      </c>
      <c r="V83" s="131" t="b">
        <f aca="false">IF(IFERROR(INDEX(tsk_Name,GanttView[[#This Row],[_Row]])="",TRUE()),FALSE(),INDEX(tsk_Critical,GanttView[[#This Row],[_Row]])="Yes")</f>
        <v>0</v>
      </c>
    </row>
    <row r="84" customFormat="false" ht="15" hidden="false" customHeight="false" outlineLevel="0" collapsed="false">
      <c r="A84" s="126" t="str">
        <f aca="false">IF(IFERROR(INDEX(tsk_Name,GanttView[[#This Row],[_Row]])="",TRUE()),"",INDEX(tsk_ID,GanttView[[#This Row],[_Row]]))</f>
        <v/>
      </c>
      <c r="B84" s="126" t="str">
        <f aca="false">IF(IFERROR(INDEX(tsk_Name,GanttView[[#This Row],[_Row]])="",TRUE()),"",INDEX(tsk_WBS,GanttView[[#This Row],[_Row]]))</f>
        <v/>
      </c>
      <c r="C84" s="127" t="str">
        <f aca="false">IF(IFERROR(INDEX(tsk_Name,GanttView[[#This Row],[_Row]])="",TRUE()),"",REPT("    ",INDEX(tsk_Level,GanttView[[#This Row],[_Row]])-1)&amp;INDEX(tsk_Name,GanttView[[#This Row],[_Row]]))</f>
        <v/>
      </c>
      <c r="D84" s="126" t="str">
        <f aca="false">IF(IFERROR(INDEX(tsk_Name,GanttView[[#This Row],[_Row]])="",TRUE()),"",IF(INDEX(tsk_IsSummary,GanttView[[#This Row],[_Row]]),NETWORKDAYS.INTL(INDEX(tsk_FcStart,GanttView[[#This Row],[_Row]]),INDEX(tsk_FcFinish,GanttView[[#This Row],[_Row]]),WorkWeek,Holidays),N(INDEX(tsk_Duration,GanttView[[#This Row],[_Row]]))))</f>
        <v/>
      </c>
      <c r="E84" s="128" t="str">
        <f aca="false">IF(IFERROR(INDEX(tsk_Name,GanttView[[#This Row],[_Row]])="",TRUE()),"",INDEX(tsk_PlanStart,GanttView[[#This Row],[_Row]]))</f>
        <v/>
      </c>
      <c r="F84" s="128" t="str">
        <f aca="false">IF(IFERROR(INDEX(tsk_Name,GanttView[[#This Row],[_Row]])="",TRUE()),"",INDEX(tsk_PlanFinish,GanttView[[#This Row],[_Row]]))</f>
        <v/>
      </c>
      <c r="G84" s="128" t="str">
        <f aca="false">IF(IFERROR(INDEX(tsk_Name,GanttView[[#This Row],[_Row]])="",TRUE()),"",INDEX(tsk_FcStart,GanttView[[#This Row],[_Row]]))</f>
        <v/>
      </c>
      <c r="H84" s="128" t="str">
        <f aca="false">IF(IFERROR(INDEX(tsk_Name,GanttView[[#This Row],[_Row]])="",TRUE()),"",INDEX(tsk_FcFinish,GanttView[[#This Row],[_Row]]))</f>
        <v/>
      </c>
      <c r="I84" s="129" t="str">
        <f aca="false">IF(IFERROR(INDEX(tsk_Name,GanttView[[#This Row],[_Row]])="",TRUE()),"",INDEX(tsk_Progress,GanttView[[#This Row],[_Row]]))</f>
        <v/>
      </c>
      <c r="J84" s="127" t="str">
        <f aca="false">IF(IFERROR(INDEX(tsk_Name,GanttView[[#This Row],[_Row]])="",TRUE()),"",INDEX(tsk_ResourceNames,GanttView[[#This Row],[_Row]])&amp;"")</f>
        <v/>
      </c>
      <c r="K84" s="126" t="str">
        <f aca="false">IF(IFERROR(INDEX(tsk_Name,GanttView[[#This Row],[_Row]])="",TRUE()),"",INDEX(tsk_Status,GanttView[[#This Row],[_Row]]))</f>
        <v/>
      </c>
      <c r="L84" s="126" t="str">
        <f aca="false">IF(IFERROR(INDEX(tsk_Name,GanttView[[#This Row],[_Row]])="",TRUE()),"",INDEX(tsk_Show,GanttView[[#This Row],[_Row]])&amp;"")</f>
        <v/>
      </c>
      <c r="M84" s="130" t="n">
        <f aca="false">ROW()-ROW(GanttView[[#Headers],[ID]])</f>
        <v>79</v>
      </c>
      <c r="N84" s="131" t="b">
        <f aca="false">IF(IFERROR(INDEX(tsk_Name,GanttView[[#This Row],[_Row]])="",TRUE()),FALSE(),INDEX(tsk_IsSummary,GanttView[[#This Row],[_Row]]))</f>
        <v>0</v>
      </c>
      <c r="O84" s="131" t="b">
        <f aca="false">IF(IFERROR(INDEX(tsk_Name,GanttView[[#This Row],[_Row]])="",TRUE()),FALSE(),AND(INDEX(tsk_IsLeaf,GanttView[[#This Row],[_Row]])=1,N(INDEX(tsk_Duration,GanttView[[#This Row],[_Row]]))=0))</f>
        <v>0</v>
      </c>
      <c r="P84" s="132" t="n">
        <f aca="false">IF(IFERROR(INDEX(tsk_Name,GanttView[[#This Row],[_Row]])="",TRUE()),0,IF(AND(INDEX(tsk_IsLeaf,GanttView[[#This Row],[_Row]])=1,NOT(GanttView[[#This Row],[_IsMilestone]]),N(GanttView[[#This Row],[%]])&gt;0),GanttView[[#This Row],[Forecast Start]],0))</f>
        <v>0</v>
      </c>
      <c r="Q84" s="132" t="n">
        <f aca="false">IF(GanttView[[#This Row],[_DoneFrom]]=0,0,IF(GanttView[[#This Row],[%]]&gt;=1,GanttView[[#This Row],[Forecast Finish]],MAX(GanttView[[#This Row],[_DoneFrom]],GanttView[[#This Row],[Forecast Start]]+ROUND((GanttView[[#This Row],[Forecast Finish]]-GanttView[[#This Row],[Forecast Start]]+1)*GanttView[[#This Row],[%]],0)-1)))</f>
        <v>0</v>
      </c>
      <c r="R84" s="132" t="n">
        <f aca="false">IF(IFERROR(INDEX(tsk_Name,GanttView[[#This Row],[_Row]])="",TRUE()),0,IF(OR(INDEX(tsk_IsLeaf,GanttView[[#This Row],[_Row]])&lt;&gt;1,GanttView[[#This Row],[_IsMilestone]],N(GanttView[[#This Row],[%]])&gt;=1),0,IF(GanttView[[#This Row],[_DoneTo]]&gt;0,GanttView[[#This Row],[_DoneTo]]+1,GanttView[[#This Row],[Forecast Start]])))</f>
        <v>0</v>
      </c>
      <c r="S84" s="132" t="n">
        <f aca="false">IF(GanttView[[#This Row],[_RemFrom]]=0,0,GanttView[[#This Row],[Forecast Finish]])</f>
        <v>0</v>
      </c>
      <c r="T84" s="131" t="b">
        <f aca="false">IF(IFERROR(INDEX(tsk_Name,GanttView[[#This Row],[_Row]])="",TRUE()),FALSE(),N(INDEX(tsk_Variance,GanttView[[#This Row],[_Row]]))&gt;0)</f>
        <v>0</v>
      </c>
      <c r="U84" s="132" t="n">
        <f aca="false">IF(IFERROR(INDEX(tsk_Name,GanttView[[#This Row],[_Row]])="",TRUE()),0,N(INDEX(tsk_Deadline,GanttView[[#This Row],[_Row]])))</f>
        <v>0</v>
      </c>
      <c r="V84" s="131" t="b">
        <f aca="false">IF(IFERROR(INDEX(tsk_Name,GanttView[[#This Row],[_Row]])="",TRUE()),FALSE(),INDEX(tsk_Critical,GanttView[[#This Row],[_Row]])="Yes")</f>
        <v>0</v>
      </c>
    </row>
    <row r="85" customFormat="false" ht="15" hidden="false" customHeight="false" outlineLevel="0" collapsed="false">
      <c r="A85" s="126" t="str">
        <f aca="false">IF(IFERROR(INDEX(tsk_Name,GanttView[[#This Row],[_Row]])="",TRUE()),"",INDEX(tsk_ID,GanttView[[#This Row],[_Row]]))</f>
        <v/>
      </c>
      <c r="B85" s="126" t="str">
        <f aca="false">IF(IFERROR(INDEX(tsk_Name,GanttView[[#This Row],[_Row]])="",TRUE()),"",INDEX(tsk_WBS,GanttView[[#This Row],[_Row]]))</f>
        <v/>
      </c>
      <c r="C85" s="127" t="str">
        <f aca="false">IF(IFERROR(INDEX(tsk_Name,GanttView[[#This Row],[_Row]])="",TRUE()),"",REPT("    ",INDEX(tsk_Level,GanttView[[#This Row],[_Row]])-1)&amp;INDEX(tsk_Name,GanttView[[#This Row],[_Row]]))</f>
        <v/>
      </c>
      <c r="D85" s="126" t="str">
        <f aca="false">IF(IFERROR(INDEX(tsk_Name,GanttView[[#This Row],[_Row]])="",TRUE()),"",IF(INDEX(tsk_IsSummary,GanttView[[#This Row],[_Row]]),NETWORKDAYS.INTL(INDEX(tsk_FcStart,GanttView[[#This Row],[_Row]]),INDEX(tsk_FcFinish,GanttView[[#This Row],[_Row]]),WorkWeek,Holidays),N(INDEX(tsk_Duration,GanttView[[#This Row],[_Row]]))))</f>
        <v/>
      </c>
      <c r="E85" s="128" t="str">
        <f aca="false">IF(IFERROR(INDEX(tsk_Name,GanttView[[#This Row],[_Row]])="",TRUE()),"",INDEX(tsk_PlanStart,GanttView[[#This Row],[_Row]]))</f>
        <v/>
      </c>
      <c r="F85" s="128" t="str">
        <f aca="false">IF(IFERROR(INDEX(tsk_Name,GanttView[[#This Row],[_Row]])="",TRUE()),"",INDEX(tsk_PlanFinish,GanttView[[#This Row],[_Row]]))</f>
        <v/>
      </c>
      <c r="G85" s="128" t="str">
        <f aca="false">IF(IFERROR(INDEX(tsk_Name,GanttView[[#This Row],[_Row]])="",TRUE()),"",INDEX(tsk_FcStart,GanttView[[#This Row],[_Row]]))</f>
        <v/>
      </c>
      <c r="H85" s="128" t="str">
        <f aca="false">IF(IFERROR(INDEX(tsk_Name,GanttView[[#This Row],[_Row]])="",TRUE()),"",INDEX(tsk_FcFinish,GanttView[[#This Row],[_Row]]))</f>
        <v/>
      </c>
      <c r="I85" s="129" t="str">
        <f aca="false">IF(IFERROR(INDEX(tsk_Name,GanttView[[#This Row],[_Row]])="",TRUE()),"",INDEX(tsk_Progress,GanttView[[#This Row],[_Row]]))</f>
        <v/>
      </c>
      <c r="J85" s="127" t="str">
        <f aca="false">IF(IFERROR(INDEX(tsk_Name,GanttView[[#This Row],[_Row]])="",TRUE()),"",INDEX(tsk_ResourceNames,GanttView[[#This Row],[_Row]])&amp;"")</f>
        <v/>
      </c>
      <c r="K85" s="126" t="str">
        <f aca="false">IF(IFERROR(INDEX(tsk_Name,GanttView[[#This Row],[_Row]])="",TRUE()),"",INDEX(tsk_Status,GanttView[[#This Row],[_Row]]))</f>
        <v/>
      </c>
      <c r="L85" s="126" t="str">
        <f aca="false">IF(IFERROR(INDEX(tsk_Name,GanttView[[#This Row],[_Row]])="",TRUE()),"",INDEX(tsk_Show,GanttView[[#This Row],[_Row]])&amp;"")</f>
        <v/>
      </c>
      <c r="M85" s="130" t="n">
        <f aca="false">ROW()-ROW(GanttView[[#Headers],[ID]])</f>
        <v>80</v>
      </c>
      <c r="N85" s="131" t="b">
        <f aca="false">IF(IFERROR(INDEX(tsk_Name,GanttView[[#This Row],[_Row]])="",TRUE()),FALSE(),INDEX(tsk_IsSummary,GanttView[[#This Row],[_Row]]))</f>
        <v>0</v>
      </c>
      <c r="O85" s="131" t="b">
        <f aca="false">IF(IFERROR(INDEX(tsk_Name,GanttView[[#This Row],[_Row]])="",TRUE()),FALSE(),AND(INDEX(tsk_IsLeaf,GanttView[[#This Row],[_Row]])=1,N(INDEX(tsk_Duration,GanttView[[#This Row],[_Row]]))=0))</f>
        <v>0</v>
      </c>
      <c r="P85" s="132" t="n">
        <f aca="false">IF(IFERROR(INDEX(tsk_Name,GanttView[[#This Row],[_Row]])="",TRUE()),0,IF(AND(INDEX(tsk_IsLeaf,GanttView[[#This Row],[_Row]])=1,NOT(GanttView[[#This Row],[_IsMilestone]]),N(GanttView[[#This Row],[%]])&gt;0),GanttView[[#This Row],[Forecast Start]],0))</f>
        <v>0</v>
      </c>
      <c r="Q85" s="132" t="n">
        <f aca="false">IF(GanttView[[#This Row],[_DoneFrom]]=0,0,IF(GanttView[[#This Row],[%]]&gt;=1,GanttView[[#This Row],[Forecast Finish]],MAX(GanttView[[#This Row],[_DoneFrom]],GanttView[[#This Row],[Forecast Start]]+ROUND((GanttView[[#This Row],[Forecast Finish]]-GanttView[[#This Row],[Forecast Start]]+1)*GanttView[[#This Row],[%]],0)-1)))</f>
        <v>0</v>
      </c>
      <c r="R85" s="132" t="n">
        <f aca="false">IF(IFERROR(INDEX(tsk_Name,GanttView[[#This Row],[_Row]])="",TRUE()),0,IF(OR(INDEX(tsk_IsLeaf,GanttView[[#This Row],[_Row]])&lt;&gt;1,GanttView[[#This Row],[_IsMilestone]],N(GanttView[[#This Row],[%]])&gt;=1),0,IF(GanttView[[#This Row],[_DoneTo]]&gt;0,GanttView[[#This Row],[_DoneTo]]+1,GanttView[[#This Row],[Forecast Start]])))</f>
        <v>0</v>
      </c>
      <c r="S85" s="132" t="n">
        <f aca="false">IF(GanttView[[#This Row],[_RemFrom]]=0,0,GanttView[[#This Row],[Forecast Finish]])</f>
        <v>0</v>
      </c>
      <c r="T85" s="131" t="b">
        <f aca="false">IF(IFERROR(INDEX(tsk_Name,GanttView[[#This Row],[_Row]])="",TRUE()),FALSE(),N(INDEX(tsk_Variance,GanttView[[#This Row],[_Row]]))&gt;0)</f>
        <v>0</v>
      </c>
      <c r="U85" s="132" t="n">
        <f aca="false">IF(IFERROR(INDEX(tsk_Name,GanttView[[#This Row],[_Row]])="",TRUE()),0,N(INDEX(tsk_Deadline,GanttView[[#This Row],[_Row]])))</f>
        <v>0</v>
      </c>
      <c r="V85" s="131" t="b">
        <f aca="false">IF(IFERROR(INDEX(tsk_Name,GanttView[[#This Row],[_Row]])="",TRUE()),FALSE(),INDEX(tsk_Critical,GanttView[[#This Row],[_Row]])="Yes")</f>
        <v>0</v>
      </c>
    </row>
    <row r="86" customFormat="false" ht="15" hidden="false" customHeight="false" outlineLevel="0" collapsed="false">
      <c r="A86" s="126" t="str">
        <f aca="false">IF(IFERROR(INDEX(tsk_Name,GanttView[[#This Row],[_Row]])="",TRUE()),"",INDEX(tsk_ID,GanttView[[#This Row],[_Row]]))</f>
        <v/>
      </c>
      <c r="B86" s="126" t="str">
        <f aca="false">IF(IFERROR(INDEX(tsk_Name,GanttView[[#This Row],[_Row]])="",TRUE()),"",INDEX(tsk_WBS,GanttView[[#This Row],[_Row]]))</f>
        <v/>
      </c>
      <c r="C86" s="127" t="str">
        <f aca="false">IF(IFERROR(INDEX(tsk_Name,GanttView[[#This Row],[_Row]])="",TRUE()),"",REPT("    ",INDEX(tsk_Level,GanttView[[#This Row],[_Row]])-1)&amp;INDEX(tsk_Name,GanttView[[#This Row],[_Row]]))</f>
        <v/>
      </c>
      <c r="D86" s="126" t="str">
        <f aca="false">IF(IFERROR(INDEX(tsk_Name,GanttView[[#This Row],[_Row]])="",TRUE()),"",IF(INDEX(tsk_IsSummary,GanttView[[#This Row],[_Row]]),NETWORKDAYS.INTL(INDEX(tsk_FcStart,GanttView[[#This Row],[_Row]]),INDEX(tsk_FcFinish,GanttView[[#This Row],[_Row]]),WorkWeek,Holidays),N(INDEX(tsk_Duration,GanttView[[#This Row],[_Row]]))))</f>
        <v/>
      </c>
      <c r="E86" s="128" t="str">
        <f aca="false">IF(IFERROR(INDEX(tsk_Name,GanttView[[#This Row],[_Row]])="",TRUE()),"",INDEX(tsk_PlanStart,GanttView[[#This Row],[_Row]]))</f>
        <v/>
      </c>
      <c r="F86" s="128" t="str">
        <f aca="false">IF(IFERROR(INDEX(tsk_Name,GanttView[[#This Row],[_Row]])="",TRUE()),"",INDEX(tsk_PlanFinish,GanttView[[#This Row],[_Row]]))</f>
        <v/>
      </c>
      <c r="G86" s="128" t="str">
        <f aca="false">IF(IFERROR(INDEX(tsk_Name,GanttView[[#This Row],[_Row]])="",TRUE()),"",INDEX(tsk_FcStart,GanttView[[#This Row],[_Row]]))</f>
        <v/>
      </c>
      <c r="H86" s="128" t="str">
        <f aca="false">IF(IFERROR(INDEX(tsk_Name,GanttView[[#This Row],[_Row]])="",TRUE()),"",INDEX(tsk_FcFinish,GanttView[[#This Row],[_Row]]))</f>
        <v/>
      </c>
      <c r="I86" s="129" t="str">
        <f aca="false">IF(IFERROR(INDEX(tsk_Name,GanttView[[#This Row],[_Row]])="",TRUE()),"",INDEX(tsk_Progress,GanttView[[#This Row],[_Row]]))</f>
        <v/>
      </c>
      <c r="J86" s="127" t="str">
        <f aca="false">IF(IFERROR(INDEX(tsk_Name,GanttView[[#This Row],[_Row]])="",TRUE()),"",INDEX(tsk_ResourceNames,GanttView[[#This Row],[_Row]])&amp;"")</f>
        <v/>
      </c>
      <c r="K86" s="126" t="str">
        <f aca="false">IF(IFERROR(INDEX(tsk_Name,GanttView[[#This Row],[_Row]])="",TRUE()),"",INDEX(tsk_Status,GanttView[[#This Row],[_Row]]))</f>
        <v/>
      </c>
      <c r="L86" s="126" t="str">
        <f aca="false">IF(IFERROR(INDEX(tsk_Name,GanttView[[#This Row],[_Row]])="",TRUE()),"",INDEX(tsk_Show,GanttView[[#This Row],[_Row]])&amp;"")</f>
        <v/>
      </c>
      <c r="M86" s="130" t="n">
        <f aca="false">ROW()-ROW(GanttView[[#Headers],[ID]])</f>
        <v>81</v>
      </c>
      <c r="N86" s="131" t="b">
        <f aca="false">IF(IFERROR(INDEX(tsk_Name,GanttView[[#This Row],[_Row]])="",TRUE()),FALSE(),INDEX(tsk_IsSummary,GanttView[[#This Row],[_Row]]))</f>
        <v>0</v>
      </c>
      <c r="O86" s="131" t="b">
        <f aca="false">IF(IFERROR(INDEX(tsk_Name,GanttView[[#This Row],[_Row]])="",TRUE()),FALSE(),AND(INDEX(tsk_IsLeaf,GanttView[[#This Row],[_Row]])=1,N(INDEX(tsk_Duration,GanttView[[#This Row],[_Row]]))=0))</f>
        <v>0</v>
      </c>
      <c r="P86" s="132" t="n">
        <f aca="false">IF(IFERROR(INDEX(tsk_Name,GanttView[[#This Row],[_Row]])="",TRUE()),0,IF(AND(INDEX(tsk_IsLeaf,GanttView[[#This Row],[_Row]])=1,NOT(GanttView[[#This Row],[_IsMilestone]]),N(GanttView[[#This Row],[%]])&gt;0),GanttView[[#This Row],[Forecast Start]],0))</f>
        <v>0</v>
      </c>
      <c r="Q86" s="132" t="n">
        <f aca="false">IF(GanttView[[#This Row],[_DoneFrom]]=0,0,IF(GanttView[[#This Row],[%]]&gt;=1,GanttView[[#This Row],[Forecast Finish]],MAX(GanttView[[#This Row],[_DoneFrom]],GanttView[[#This Row],[Forecast Start]]+ROUND((GanttView[[#This Row],[Forecast Finish]]-GanttView[[#This Row],[Forecast Start]]+1)*GanttView[[#This Row],[%]],0)-1)))</f>
        <v>0</v>
      </c>
      <c r="R86" s="132" t="n">
        <f aca="false">IF(IFERROR(INDEX(tsk_Name,GanttView[[#This Row],[_Row]])="",TRUE()),0,IF(OR(INDEX(tsk_IsLeaf,GanttView[[#This Row],[_Row]])&lt;&gt;1,GanttView[[#This Row],[_IsMilestone]],N(GanttView[[#This Row],[%]])&gt;=1),0,IF(GanttView[[#This Row],[_DoneTo]]&gt;0,GanttView[[#This Row],[_DoneTo]]+1,GanttView[[#This Row],[Forecast Start]])))</f>
        <v>0</v>
      </c>
      <c r="S86" s="132" t="n">
        <f aca="false">IF(GanttView[[#This Row],[_RemFrom]]=0,0,GanttView[[#This Row],[Forecast Finish]])</f>
        <v>0</v>
      </c>
      <c r="T86" s="131" t="b">
        <f aca="false">IF(IFERROR(INDEX(tsk_Name,GanttView[[#This Row],[_Row]])="",TRUE()),FALSE(),N(INDEX(tsk_Variance,GanttView[[#This Row],[_Row]]))&gt;0)</f>
        <v>0</v>
      </c>
      <c r="U86" s="132" t="n">
        <f aca="false">IF(IFERROR(INDEX(tsk_Name,GanttView[[#This Row],[_Row]])="",TRUE()),0,N(INDEX(tsk_Deadline,GanttView[[#This Row],[_Row]])))</f>
        <v>0</v>
      </c>
      <c r="V86" s="131" t="b">
        <f aca="false">IF(IFERROR(INDEX(tsk_Name,GanttView[[#This Row],[_Row]])="",TRUE()),FALSE(),INDEX(tsk_Critical,GanttView[[#This Row],[_Row]])="Yes")</f>
        <v>0</v>
      </c>
    </row>
    <row r="87" customFormat="false" ht="15" hidden="false" customHeight="false" outlineLevel="0" collapsed="false">
      <c r="A87" s="126" t="str">
        <f aca="false">IF(IFERROR(INDEX(tsk_Name,GanttView[[#This Row],[_Row]])="",TRUE()),"",INDEX(tsk_ID,GanttView[[#This Row],[_Row]]))</f>
        <v/>
      </c>
      <c r="B87" s="126" t="str">
        <f aca="false">IF(IFERROR(INDEX(tsk_Name,GanttView[[#This Row],[_Row]])="",TRUE()),"",INDEX(tsk_WBS,GanttView[[#This Row],[_Row]]))</f>
        <v/>
      </c>
      <c r="C87" s="127" t="str">
        <f aca="false">IF(IFERROR(INDEX(tsk_Name,GanttView[[#This Row],[_Row]])="",TRUE()),"",REPT("    ",INDEX(tsk_Level,GanttView[[#This Row],[_Row]])-1)&amp;INDEX(tsk_Name,GanttView[[#This Row],[_Row]]))</f>
        <v/>
      </c>
      <c r="D87" s="126" t="str">
        <f aca="false">IF(IFERROR(INDEX(tsk_Name,GanttView[[#This Row],[_Row]])="",TRUE()),"",IF(INDEX(tsk_IsSummary,GanttView[[#This Row],[_Row]]),NETWORKDAYS.INTL(INDEX(tsk_FcStart,GanttView[[#This Row],[_Row]]),INDEX(tsk_FcFinish,GanttView[[#This Row],[_Row]]),WorkWeek,Holidays),N(INDEX(tsk_Duration,GanttView[[#This Row],[_Row]]))))</f>
        <v/>
      </c>
      <c r="E87" s="128" t="str">
        <f aca="false">IF(IFERROR(INDEX(tsk_Name,GanttView[[#This Row],[_Row]])="",TRUE()),"",INDEX(tsk_PlanStart,GanttView[[#This Row],[_Row]]))</f>
        <v/>
      </c>
      <c r="F87" s="128" t="str">
        <f aca="false">IF(IFERROR(INDEX(tsk_Name,GanttView[[#This Row],[_Row]])="",TRUE()),"",INDEX(tsk_PlanFinish,GanttView[[#This Row],[_Row]]))</f>
        <v/>
      </c>
      <c r="G87" s="128" t="str">
        <f aca="false">IF(IFERROR(INDEX(tsk_Name,GanttView[[#This Row],[_Row]])="",TRUE()),"",INDEX(tsk_FcStart,GanttView[[#This Row],[_Row]]))</f>
        <v/>
      </c>
      <c r="H87" s="128" t="str">
        <f aca="false">IF(IFERROR(INDEX(tsk_Name,GanttView[[#This Row],[_Row]])="",TRUE()),"",INDEX(tsk_FcFinish,GanttView[[#This Row],[_Row]]))</f>
        <v/>
      </c>
      <c r="I87" s="129" t="str">
        <f aca="false">IF(IFERROR(INDEX(tsk_Name,GanttView[[#This Row],[_Row]])="",TRUE()),"",INDEX(tsk_Progress,GanttView[[#This Row],[_Row]]))</f>
        <v/>
      </c>
      <c r="J87" s="127" t="str">
        <f aca="false">IF(IFERROR(INDEX(tsk_Name,GanttView[[#This Row],[_Row]])="",TRUE()),"",INDEX(tsk_ResourceNames,GanttView[[#This Row],[_Row]])&amp;"")</f>
        <v/>
      </c>
      <c r="K87" s="126" t="str">
        <f aca="false">IF(IFERROR(INDEX(tsk_Name,GanttView[[#This Row],[_Row]])="",TRUE()),"",INDEX(tsk_Status,GanttView[[#This Row],[_Row]]))</f>
        <v/>
      </c>
      <c r="L87" s="126" t="str">
        <f aca="false">IF(IFERROR(INDEX(tsk_Name,GanttView[[#This Row],[_Row]])="",TRUE()),"",INDEX(tsk_Show,GanttView[[#This Row],[_Row]])&amp;"")</f>
        <v/>
      </c>
      <c r="M87" s="130" t="n">
        <f aca="false">ROW()-ROW(GanttView[[#Headers],[ID]])</f>
        <v>82</v>
      </c>
      <c r="N87" s="131" t="b">
        <f aca="false">IF(IFERROR(INDEX(tsk_Name,GanttView[[#This Row],[_Row]])="",TRUE()),FALSE(),INDEX(tsk_IsSummary,GanttView[[#This Row],[_Row]]))</f>
        <v>0</v>
      </c>
      <c r="O87" s="131" t="b">
        <f aca="false">IF(IFERROR(INDEX(tsk_Name,GanttView[[#This Row],[_Row]])="",TRUE()),FALSE(),AND(INDEX(tsk_IsLeaf,GanttView[[#This Row],[_Row]])=1,N(INDEX(tsk_Duration,GanttView[[#This Row],[_Row]]))=0))</f>
        <v>0</v>
      </c>
      <c r="P87" s="132" t="n">
        <f aca="false">IF(IFERROR(INDEX(tsk_Name,GanttView[[#This Row],[_Row]])="",TRUE()),0,IF(AND(INDEX(tsk_IsLeaf,GanttView[[#This Row],[_Row]])=1,NOT(GanttView[[#This Row],[_IsMilestone]]),N(GanttView[[#This Row],[%]])&gt;0),GanttView[[#This Row],[Forecast Start]],0))</f>
        <v>0</v>
      </c>
      <c r="Q87" s="132" t="n">
        <f aca="false">IF(GanttView[[#This Row],[_DoneFrom]]=0,0,IF(GanttView[[#This Row],[%]]&gt;=1,GanttView[[#This Row],[Forecast Finish]],MAX(GanttView[[#This Row],[_DoneFrom]],GanttView[[#This Row],[Forecast Start]]+ROUND((GanttView[[#This Row],[Forecast Finish]]-GanttView[[#This Row],[Forecast Start]]+1)*GanttView[[#This Row],[%]],0)-1)))</f>
        <v>0</v>
      </c>
      <c r="R87" s="132" t="n">
        <f aca="false">IF(IFERROR(INDEX(tsk_Name,GanttView[[#This Row],[_Row]])="",TRUE()),0,IF(OR(INDEX(tsk_IsLeaf,GanttView[[#This Row],[_Row]])&lt;&gt;1,GanttView[[#This Row],[_IsMilestone]],N(GanttView[[#This Row],[%]])&gt;=1),0,IF(GanttView[[#This Row],[_DoneTo]]&gt;0,GanttView[[#This Row],[_DoneTo]]+1,GanttView[[#This Row],[Forecast Start]])))</f>
        <v>0</v>
      </c>
      <c r="S87" s="132" t="n">
        <f aca="false">IF(GanttView[[#This Row],[_RemFrom]]=0,0,GanttView[[#This Row],[Forecast Finish]])</f>
        <v>0</v>
      </c>
      <c r="T87" s="131" t="b">
        <f aca="false">IF(IFERROR(INDEX(tsk_Name,GanttView[[#This Row],[_Row]])="",TRUE()),FALSE(),N(INDEX(tsk_Variance,GanttView[[#This Row],[_Row]]))&gt;0)</f>
        <v>0</v>
      </c>
      <c r="U87" s="132" t="n">
        <f aca="false">IF(IFERROR(INDEX(tsk_Name,GanttView[[#This Row],[_Row]])="",TRUE()),0,N(INDEX(tsk_Deadline,GanttView[[#This Row],[_Row]])))</f>
        <v>0</v>
      </c>
      <c r="V87" s="131" t="b">
        <f aca="false">IF(IFERROR(INDEX(tsk_Name,GanttView[[#This Row],[_Row]])="",TRUE()),FALSE(),INDEX(tsk_Critical,GanttView[[#This Row],[_Row]])="Yes")</f>
        <v>0</v>
      </c>
    </row>
    <row r="88" customFormat="false" ht="15" hidden="false" customHeight="false" outlineLevel="0" collapsed="false">
      <c r="A88" s="126" t="str">
        <f aca="false">IF(IFERROR(INDEX(tsk_Name,GanttView[[#This Row],[_Row]])="",TRUE()),"",INDEX(tsk_ID,GanttView[[#This Row],[_Row]]))</f>
        <v/>
      </c>
      <c r="B88" s="126" t="str">
        <f aca="false">IF(IFERROR(INDEX(tsk_Name,GanttView[[#This Row],[_Row]])="",TRUE()),"",INDEX(tsk_WBS,GanttView[[#This Row],[_Row]]))</f>
        <v/>
      </c>
      <c r="C88" s="127" t="str">
        <f aca="false">IF(IFERROR(INDEX(tsk_Name,GanttView[[#This Row],[_Row]])="",TRUE()),"",REPT("    ",INDEX(tsk_Level,GanttView[[#This Row],[_Row]])-1)&amp;INDEX(tsk_Name,GanttView[[#This Row],[_Row]]))</f>
        <v/>
      </c>
      <c r="D88" s="126" t="str">
        <f aca="false">IF(IFERROR(INDEX(tsk_Name,GanttView[[#This Row],[_Row]])="",TRUE()),"",IF(INDEX(tsk_IsSummary,GanttView[[#This Row],[_Row]]),NETWORKDAYS.INTL(INDEX(tsk_FcStart,GanttView[[#This Row],[_Row]]),INDEX(tsk_FcFinish,GanttView[[#This Row],[_Row]]),WorkWeek,Holidays),N(INDEX(tsk_Duration,GanttView[[#This Row],[_Row]]))))</f>
        <v/>
      </c>
      <c r="E88" s="128" t="str">
        <f aca="false">IF(IFERROR(INDEX(tsk_Name,GanttView[[#This Row],[_Row]])="",TRUE()),"",INDEX(tsk_PlanStart,GanttView[[#This Row],[_Row]]))</f>
        <v/>
      </c>
      <c r="F88" s="128" t="str">
        <f aca="false">IF(IFERROR(INDEX(tsk_Name,GanttView[[#This Row],[_Row]])="",TRUE()),"",INDEX(tsk_PlanFinish,GanttView[[#This Row],[_Row]]))</f>
        <v/>
      </c>
      <c r="G88" s="128" t="str">
        <f aca="false">IF(IFERROR(INDEX(tsk_Name,GanttView[[#This Row],[_Row]])="",TRUE()),"",INDEX(tsk_FcStart,GanttView[[#This Row],[_Row]]))</f>
        <v/>
      </c>
      <c r="H88" s="128" t="str">
        <f aca="false">IF(IFERROR(INDEX(tsk_Name,GanttView[[#This Row],[_Row]])="",TRUE()),"",INDEX(tsk_FcFinish,GanttView[[#This Row],[_Row]]))</f>
        <v/>
      </c>
      <c r="I88" s="129" t="str">
        <f aca="false">IF(IFERROR(INDEX(tsk_Name,GanttView[[#This Row],[_Row]])="",TRUE()),"",INDEX(tsk_Progress,GanttView[[#This Row],[_Row]]))</f>
        <v/>
      </c>
      <c r="J88" s="127" t="str">
        <f aca="false">IF(IFERROR(INDEX(tsk_Name,GanttView[[#This Row],[_Row]])="",TRUE()),"",INDEX(tsk_ResourceNames,GanttView[[#This Row],[_Row]])&amp;"")</f>
        <v/>
      </c>
      <c r="K88" s="126" t="str">
        <f aca="false">IF(IFERROR(INDEX(tsk_Name,GanttView[[#This Row],[_Row]])="",TRUE()),"",INDEX(tsk_Status,GanttView[[#This Row],[_Row]]))</f>
        <v/>
      </c>
      <c r="L88" s="126" t="str">
        <f aca="false">IF(IFERROR(INDEX(tsk_Name,GanttView[[#This Row],[_Row]])="",TRUE()),"",INDEX(tsk_Show,GanttView[[#This Row],[_Row]])&amp;"")</f>
        <v/>
      </c>
      <c r="M88" s="130" t="n">
        <f aca="false">ROW()-ROW(GanttView[[#Headers],[ID]])</f>
        <v>83</v>
      </c>
      <c r="N88" s="131" t="b">
        <f aca="false">IF(IFERROR(INDEX(tsk_Name,GanttView[[#This Row],[_Row]])="",TRUE()),FALSE(),INDEX(tsk_IsSummary,GanttView[[#This Row],[_Row]]))</f>
        <v>0</v>
      </c>
      <c r="O88" s="131" t="b">
        <f aca="false">IF(IFERROR(INDEX(tsk_Name,GanttView[[#This Row],[_Row]])="",TRUE()),FALSE(),AND(INDEX(tsk_IsLeaf,GanttView[[#This Row],[_Row]])=1,N(INDEX(tsk_Duration,GanttView[[#This Row],[_Row]]))=0))</f>
        <v>0</v>
      </c>
      <c r="P88" s="132" t="n">
        <f aca="false">IF(IFERROR(INDEX(tsk_Name,GanttView[[#This Row],[_Row]])="",TRUE()),0,IF(AND(INDEX(tsk_IsLeaf,GanttView[[#This Row],[_Row]])=1,NOT(GanttView[[#This Row],[_IsMilestone]]),N(GanttView[[#This Row],[%]])&gt;0),GanttView[[#This Row],[Forecast Start]],0))</f>
        <v>0</v>
      </c>
      <c r="Q88" s="132" t="n">
        <f aca="false">IF(GanttView[[#This Row],[_DoneFrom]]=0,0,IF(GanttView[[#This Row],[%]]&gt;=1,GanttView[[#This Row],[Forecast Finish]],MAX(GanttView[[#This Row],[_DoneFrom]],GanttView[[#This Row],[Forecast Start]]+ROUND((GanttView[[#This Row],[Forecast Finish]]-GanttView[[#This Row],[Forecast Start]]+1)*GanttView[[#This Row],[%]],0)-1)))</f>
        <v>0</v>
      </c>
      <c r="R88" s="132" t="n">
        <f aca="false">IF(IFERROR(INDEX(tsk_Name,GanttView[[#This Row],[_Row]])="",TRUE()),0,IF(OR(INDEX(tsk_IsLeaf,GanttView[[#This Row],[_Row]])&lt;&gt;1,GanttView[[#This Row],[_IsMilestone]],N(GanttView[[#This Row],[%]])&gt;=1),0,IF(GanttView[[#This Row],[_DoneTo]]&gt;0,GanttView[[#This Row],[_DoneTo]]+1,GanttView[[#This Row],[Forecast Start]])))</f>
        <v>0</v>
      </c>
      <c r="S88" s="132" t="n">
        <f aca="false">IF(GanttView[[#This Row],[_RemFrom]]=0,0,GanttView[[#This Row],[Forecast Finish]])</f>
        <v>0</v>
      </c>
      <c r="T88" s="131" t="b">
        <f aca="false">IF(IFERROR(INDEX(tsk_Name,GanttView[[#This Row],[_Row]])="",TRUE()),FALSE(),N(INDEX(tsk_Variance,GanttView[[#This Row],[_Row]]))&gt;0)</f>
        <v>0</v>
      </c>
      <c r="U88" s="132" t="n">
        <f aca="false">IF(IFERROR(INDEX(tsk_Name,GanttView[[#This Row],[_Row]])="",TRUE()),0,N(INDEX(tsk_Deadline,GanttView[[#This Row],[_Row]])))</f>
        <v>0</v>
      </c>
      <c r="V88" s="131" t="b">
        <f aca="false">IF(IFERROR(INDEX(tsk_Name,GanttView[[#This Row],[_Row]])="",TRUE()),FALSE(),INDEX(tsk_Critical,GanttView[[#This Row],[_Row]])="Yes")</f>
        <v>0</v>
      </c>
    </row>
    <row r="89" customFormat="false" ht="15" hidden="false" customHeight="false" outlineLevel="0" collapsed="false">
      <c r="A89" s="126" t="str">
        <f aca="false">IF(IFERROR(INDEX(tsk_Name,GanttView[[#This Row],[_Row]])="",TRUE()),"",INDEX(tsk_ID,GanttView[[#This Row],[_Row]]))</f>
        <v/>
      </c>
      <c r="B89" s="126" t="str">
        <f aca="false">IF(IFERROR(INDEX(tsk_Name,GanttView[[#This Row],[_Row]])="",TRUE()),"",INDEX(tsk_WBS,GanttView[[#This Row],[_Row]]))</f>
        <v/>
      </c>
      <c r="C89" s="127" t="str">
        <f aca="false">IF(IFERROR(INDEX(tsk_Name,GanttView[[#This Row],[_Row]])="",TRUE()),"",REPT("    ",INDEX(tsk_Level,GanttView[[#This Row],[_Row]])-1)&amp;INDEX(tsk_Name,GanttView[[#This Row],[_Row]]))</f>
        <v/>
      </c>
      <c r="D89" s="126" t="str">
        <f aca="false">IF(IFERROR(INDEX(tsk_Name,GanttView[[#This Row],[_Row]])="",TRUE()),"",IF(INDEX(tsk_IsSummary,GanttView[[#This Row],[_Row]]),NETWORKDAYS.INTL(INDEX(tsk_FcStart,GanttView[[#This Row],[_Row]]),INDEX(tsk_FcFinish,GanttView[[#This Row],[_Row]]),WorkWeek,Holidays),N(INDEX(tsk_Duration,GanttView[[#This Row],[_Row]]))))</f>
        <v/>
      </c>
      <c r="E89" s="128" t="str">
        <f aca="false">IF(IFERROR(INDEX(tsk_Name,GanttView[[#This Row],[_Row]])="",TRUE()),"",INDEX(tsk_PlanStart,GanttView[[#This Row],[_Row]]))</f>
        <v/>
      </c>
      <c r="F89" s="128" t="str">
        <f aca="false">IF(IFERROR(INDEX(tsk_Name,GanttView[[#This Row],[_Row]])="",TRUE()),"",INDEX(tsk_PlanFinish,GanttView[[#This Row],[_Row]]))</f>
        <v/>
      </c>
      <c r="G89" s="128" t="str">
        <f aca="false">IF(IFERROR(INDEX(tsk_Name,GanttView[[#This Row],[_Row]])="",TRUE()),"",INDEX(tsk_FcStart,GanttView[[#This Row],[_Row]]))</f>
        <v/>
      </c>
      <c r="H89" s="128" t="str">
        <f aca="false">IF(IFERROR(INDEX(tsk_Name,GanttView[[#This Row],[_Row]])="",TRUE()),"",INDEX(tsk_FcFinish,GanttView[[#This Row],[_Row]]))</f>
        <v/>
      </c>
      <c r="I89" s="129" t="str">
        <f aca="false">IF(IFERROR(INDEX(tsk_Name,GanttView[[#This Row],[_Row]])="",TRUE()),"",INDEX(tsk_Progress,GanttView[[#This Row],[_Row]]))</f>
        <v/>
      </c>
      <c r="J89" s="127" t="str">
        <f aca="false">IF(IFERROR(INDEX(tsk_Name,GanttView[[#This Row],[_Row]])="",TRUE()),"",INDEX(tsk_ResourceNames,GanttView[[#This Row],[_Row]])&amp;"")</f>
        <v/>
      </c>
      <c r="K89" s="126" t="str">
        <f aca="false">IF(IFERROR(INDEX(tsk_Name,GanttView[[#This Row],[_Row]])="",TRUE()),"",INDEX(tsk_Status,GanttView[[#This Row],[_Row]]))</f>
        <v/>
      </c>
      <c r="L89" s="126" t="str">
        <f aca="false">IF(IFERROR(INDEX(tsk_Name,GanttView[[#This Row],[_Row]])="",TRUE()),"",INDEX(tsk_Show,GanttView[[#This Row],[_Row]])&amp;"")</f>
        <v/>
      </c>
      <c r="M89" s="130" t="n">
        <f aca="false">ROW()-ROW(GanttView[[#Headers],[ID]])</f>
        <v>84</v>
      </c>
      <c r="N89" s="131" t="b">
        <f aca="false">IF(IFERROR(INDEX(tsk_Name,GanttView[[#This Row],[_Row]])="",TRUE()),FALSE(),INDEX(tsk_IsSummary,GanttView[[#This Row],[_Row]]))</f>
        <v>0</v>
      </c>
      <c r="O89" s="131" t="b">
        <f aca="false">IF(IFERROR(INDEX(tsk_Name,GanttView[[#This Row],[_Row]])="",TRUE()),FALSE(),AND(INDEX(tsk_IsLeaf,GanttView[[#This Row],[_Row]])=1,N(INDEX(tsk_Duration,GanttView[[#This Row],[_Row]]))=0))</f>
        <v>0</v>
      </c>
      <c r="P89" s="132" t="n">
        <f aca="false">IF(IFERROR(INDEX(tsk_Name,GanttView[[#This Row],[_Row]])="",TRUE()),0,IF(AND(INDEX(tsk_IsLeaf,GanttView[[#This Row],[_Row]])=1,NOT(GanttView[[#This Row],[_IsMilestone]]),N(GanttView[[#This Row],[%]])&gt;0),GanttView[[#This Row],[Forecast Start]],0))</f>
        <v>0</v>
      </c>
      <c r="Q89" s="132" t="n">
        <f aca="false">IF(GanttView[[#This Row],[_DoneFrom]]=0,0,IF(GanttView[[#This Row],[%]]&gt;=1,GanttView[[#This Row],[Forecast Finish]],MAX(GanttView[[#This Row],[_DoneFrom]],GanttView[[#This Row],[Forecast Start]]+ROUND((GanttView[[#This Row],[Forecast Finish]]-GanttView[[#This Row],[Forecast Start]]+1)*GanttView[[#This Row],[%]],0)-1)))</f>
        <v>0</v>
      </c>
      <c r="R89" s="132" t="n">
        <f aca="false">IF(IFERROR(INDEX(tsk_Name,GanttView[[#This Row],[_Row]])="",TRUE()),0,IF(OR(INDEX(tsk_IsLeaf,GanttView[[#This Row],[_Row]])&lt;&gt;1,GanttView[[#This Row],[_IsMilestone]],N(GanttView[[#This Row],[%]])&gt;=1),0,IF(GanttView[[#This Row],[_DoneTo]]&gt;0,GanttView[[#This Row],[_DoneTo]]+1,GanttView[[#This Row],[Forecast Start]])))</f>
        <v>0</v>
      </c>
      <c r="S89" s="132" t="n">
        <f aca="false">IF(GanttView[[#This Row],[_RemFrom]]=0,0,GanttView[[#This Row],[Forecast Finish]])</f>
        <v>0</v>
      </c>
      <c r="T89" s="131" t="b">
        <f aca="false">IF(IFERROR(INDEX(tsk_Name,GanttView[[#This Row],[_Row]])="",TRUE()),FALSE(),N(INDEX(tsk_Variance,GanttView[[#This Row],[_Row]]))&gt;0)</f>
        <v>0</v>
      </c>
      <c r="U89" s="132" t="n">
        <f aca="false">IF(IFERROR(INDEX(tsk_Name,GanttView[[#This Row],[_Row]])="",TRUE()),0,N(INDEX(tsk_Deadline,GanttView[[#This Row],[_Row]])))</f>
        <v>0</v>
      </c>
      <c r="V89" s="131" t="b">
        <f aca="false">IF(IFERROR(INDEX(tsk_Name,GanttView[[#This Row],[_Row]])="",TRUE()),FALSE(),INDEX(tsk_Critical,GanttView[[#This Row],[_Row]])="Yes")</f>
        <v>0</v>
      </c>
    </row>
    <row r="90" customFormat="false" ht="15" hidden="false" customHeight="false" outlineLevel="0" collapsed="false">
      <c r="A90" s="126" t="str">
        <f aca="false">IF(IFERROR(INDEX(tsk_Name,GanttView[[#This Row],[_Row]])="",TRUE()),"",INDEX(tsk_ID,GanttView[[#This Row],[_Row]]))</f>
        <v/>
      </c>
      <c r="B90" s="126" t="str">
        <f aca="false">IF(IFERROR(INDEX(tsk_Name,GanttView[[#This Row],[_Row]])="",TRUE()),"",INDEX(tsk_WBS,GanttView[[#This Row],[_Row]]))</f>
        <v/>
      </c>
      <c r="C90" s="127" t="str">
        <f aca="false">IF(IFERROR(INDEX(tsk_Name,GanttView[[#This Row],[_Row]])="",TRUE()),"",REPT("    ",INDEX(tsk_Level,GanttView[[#This Row],[_Row]])-1)&amp;INDEX(tsk_Name,GanttView[[#This Row],[_Row]]))</f>
        <v/>
      </c>
      <c r="D90" s="126" t="str">
        <f aca="false">IF(IFERROR(INDEX(tsk_Name,GanttView[[#This Row],[_Row]])="",TRUE()),"",IF(INDEX(tsk_IsSummary,GanttView[[#This Row],[_Row]]),NETWORKDAYS.INTL(INDEX(tsk_FcStart,GanttView[[#This Row],[_Row]]),INDEX(tsk_FcFinish,GanttView[[#This Row],[_Row]]),WorkWeek,Holidays),N(INDEX(tsk_Duration,GanttView[[#This Row],[_Row]]))))</f>
        <v/>
      </c>
      <c r="E90" s="128" t="str">
        <f aca="false">IF(IFERROR(INDEX(tsk_Name,GanttView[[#This Row],[_Row]])="",TRUE()),"",INDEX(tsk_PlanStart,GanttView[[#This Row],[_Row]]))</f>
        <v/>
      </c>
      <c r="F90" s="128" t="str">
        <f aca="false">IF(IFERROR(INDEX(tsk_Name,GanttView[[#This Row],[_Row]])="",TRUE()),"",INDEX(tsk_PlanFinish,GanttView[[#This Row],[_Row]]))</f>
        <v/>
      </c>
      <c r="G90" s="128" t="str">
        <f aca="false">IF(IFERROR(INDEX(tsk_Name,GanttView[[#This Row],[_Row]])="",TRUE()),"",INDEX(tsk_FcStart,GanttView[[#This Row],[_Row]]))</f>
        <v/>
      </c>
      <c r="H90" s="128" t="str">
        <f aca="false">IF(IFERROR(INDEX(tsk_Name,GanttView[[#This Row],[_Row]])="",TRUE()),"",INDEX(tsk_FcFinish,GanttView[[#This Row],[_Row]]))</f>
        <v/>
      </c>
      <c r="I90" s="129" t="str">
        <f aca="false">IF(IFERROR(INDEX(tsk_Name,GanttView[[#This Row],[_Row]])="",TRUE()),"",INDEX(tsk_Progress,GanttView[[#This Row],[_Row]]))</f>
        <v/>
      </c>
      <c r="J90" s="127" t="str">
        <f aca="false">IF(IFERROR(INDEX(tsk_Name,GanttView[[#This Row],[_Row]])="",TRUE()),"",INDEX(tsk_ResourceNames,GanttView[[#This Row],[_Row]])&amp;"")</f>
        <v/>
      </c>
      <c r="K90" s="126" t="str">
        <f aca="false">IF(IFERROR(INDEX(tsk_Name,GanttView[[#This Row],[_Row]])="",TRUE()),"",INDEX(tsk_Status,GanttView[[#This Row],[_Row]]))</f>
        <v/>
      </c>
      <c r="L90" s="126" t="str">
        <f aca="false">IF(IFERROR(INDEX(tsk_Name,GanttView[[#This Row],[_Row]])="",TRUE()),"",INDEX(tsk_Show,GanttView[[#This Row],[_Row]])&amp;"")</f>
        <v/>
      </c>
      <c r="M90" s="130" t="n">
        <f aca="false">ROW()-ROW(GanttView[[#Headers],[ID]])</f>
        <v>85</v>
      </c>
      <c r="N90" s="131" t="b">
        <f aca="false">IF(IFERROR(INDEX(tsk_Name,GanttView[[#This Row],[_Row]])="",TRUE()),FALSE(),INDEX(tsk_IsSummary,GanttView[[#This Row],[_Row]]))</f>
        <v>0</v>
      </c>
      <c r="O90" s="131" t="b">
        <f aca="false">IF(IFERROR(INDEX(tsk_Name,GanttView[[#This Row],[_Row]])="",TRUE()),FALSE(),AND(INDEX(tsk_IsLeaf,GanttView[[#This Row],[_Row]])=1,N(INDEX(tsk_Duration,GanttView[[#This Row],[_Row]]))=0))</f>
        <v>0</v>
      </c>
      <c r="P90" s="132" t="n">
        <f aca="false">IF(IFERROR(INDEX(tsk_Name,GanttView[[#This Row],[_Row]])="",TRUE()),0,IF(AND(INDEX(tsk_IsLeaf,GanttView[[#This Row],[_Row]])=1,NOT(GanttView[[#This Row],[_IsMilestone]]),N(GanttView[[#This Row],[%]])&gt;0),GanttView[[#This Row],[Forecast Start]],0))</f>
        <v>0</v>
      </c>
      <c r="Q90" s="132" t="n">
        <f aca="false">IF(GanttView[[#This Row],[_DoneFrom]]=0,0,IF(GanttView[[#This Row],[%]]&gt;=1,GanttView[[#This Row],[Forecast Finish]],MAX(GanttView[[#This Row],[_DoneFrom]],GanttView[[#This Row],[Forecast Start]]+ROUND((GanttView[[#This Row],[Forecast Finish]]-GanttView[[#This Row],[Forecast Start]]+1)*GanttView[[#This Row],[%]],0)-1)))</f>
        <v>0</v>
      </c>
      <c r="R90" s="132" t="n">
        <f aca="false">IF(IFERROR(INDEX(tsk_Name,GanttView[[#This Row],[_Row]])="",TRUE()),0,IF(OR(INDEX(tsk_IsLeaf,GanttView[[#This Row],[_Row]])&lt;&gt;1,GanttView[[#This Row],[_IsMilestone]],N(GanttView[[#This Row],[%]])&gt;=1),0,IF(GanttView[[#This Row],[_DoneTo]]&gt;0,GanttView[[#This Row],[_DoneTo]]+1,GanttView[[#This Row],[Forecast Start]])))</f>
        <v>0</v>
      </c>
      <c r="S90" s="132" t="n">
        <f aca="false">IF(GanttView[[#This Row],[_RemFrom]]=0,0,GanttView[[#This Row],[Forecast Finish]])</f>
        <v>0</v>
      </c>
      <c r="T90" s="131" t="b">
        <f aca="false">IF(IFERROR(INDEX(tsk_Name,GanttView[[#This Row],[_Row]])="",TRUE()),FALSE(),N(INDEX(tsk_Variance,GanttView[[#This Row],[_Row]]))&gt;0)</f>
        <v>0</v>
      </c>
      <c r="U90" s="132" t="n">
        <f aca="false">IF(IFERROR(INDEX(tsk_Name,GanttView[[#This Row],[_Row]])="",TRUE()),0,N(INDEX(tsk_Deadline,GanttView[[#This Row],[_Row]])))</f>
        <v>0</v>
      </c>
      <c r="V90" s="131" t="b">
        <f aca="false">IF(IFERROR(INDEX(tsk_Name,GanttView[[#This Row],[_Row]])="",TRUE()),FALSE(),INDEX(tsk_Critical,GanttView[[#This Row],[_Row]])="Yes")</f>
        <v>0</v>
      </c>
    </row>
    <row r="91" customFormat="false" ht="15" hidden="false" customHeight="false" outlineLevel="0" collapsed="false">
      <c r="A91" s="126" t="str">
        <f aca="false">IF(IFERROR(INDEX(tsk_Name,GanttView[[#This Row],[_Row]])="",TRUE()),"",INDEX(tsk_ID,GanttView[[#This Row],[_Row]]))</f>
        <v/>
      </c>
      <c r="B91" s="126" t="str">
        <f aca="false">IF(IFERROR(INDEX(tsk_Name,GanttView[[#This Row],[_Row]])="",TRUE()),"",INDEX(tsk_WBS,GanttView[[#This Row],[_Row]]))</f>
        <v/>
      </c>
      <c r="C91" s="127" t="str">
        <f aca="false">IF(IFERROR(INDEX(tsk_Name,GanttView[[#This Row],[_Row]])="",TRUE()),"",REPT("    ",INDEX(tsk_Level,GanttView[[#This Row],[_Row]])-1)&amp;INDEX(tsk_Name,GanttView[[#This Row],[_Row]]))</f>
        <v/>
      </c>
      <c r="D91" s="126" t="str">
        <f aca="false">IF(IFERROR(INDEX(tsk_Name,GanttView[[#This Row],[_Row]])="",TRUE()),"",IF(INDEX(tsk_IsSummary,GanttView[[#This Row],[_Row]]),NETWORKDAYS.INTL(INDEX(tsk_FcStart,GanttView[[#This Row],[_Row]]),INDEX(tsk_FcFinish,GanttView[[#This Row],[_Row]]),WorkWeek,Holidays),N(INDEX(tsk_Duration,GanttView[[#This Row],[_Row]]))))</f>
        <v/>
      </c>
      <c r="E91" s="128" t="str">
        <f aca="false">IF(IFERROR(INDEX(tsk_Name,GanttView[[#This Row],[_Row]])="",TRUE()),"",INDEX(tsk_PlanStart,GanttView[[#This Row],[_Row]]))</f>
        <v/>
      </c>
      <c r="F91" s="128" t="str">
        <f aca="false">IF(IFERROR(INDEX(tsk_Name,GanttView[[#This Row],[_Row]])="",TRUE()),"",INDEX(tsk_PlanFinish,GanttView[[#This Row],[_Row]]))</f>
        <v/>
      </c>
      <c r="G91" s="128" t="str">
        <f aca="false">IF(IFERROR(INDEX(tsk_Name,GanttView[[#This Row],[_Row]])="",TRUE()),"",INDEX(tsk_FcStart,GanttView[[#This Row],[_Row]]))</f>
        <v/>
      </c>
      <c r="H91" s="128" t="str">
        <f aca="false">IF(IFERROR(INDEX(tsk_Name,GanttView[[#This Row],[_Row]])="",TRUE()),"",INDEX(tsk_FcFinish,GanttView[[#This Row],[_Row]]))</f>
        <v/>
      </c>
      <c r="I91" s="129" t="str">
        <f aca="false">IF(IFERROR(INDEX(tsk_Name,GanttView[[#This Row],[_Row]])="",TRUE()),"",INDEX(tsk_Progress,GanttView[[#This Row],[_Row]]))</f>
        <v/>
      </c>
      <c r="J91" s="127" t="str">
        <f aca="false">IF(IFERROR(INDEX(tsk_Name,GanttView[[#This Row],[_Row]])="",TRUE()),"",INDEX(tsk_ResourceNames,GanttView[[#This Row],[_Row]])&amp;"")</f>
        <v/>
      </c>
      <c r="K91" s="126" t="str">
        <f aca="false">IF(IFERROR(INDEX(tsk_Name,GanttView[[#This Row],[_Row]])="",TRUE()),"",INDEX(tsk_Status,GanttView[[#This Row],[_Row]]))</f>
        <v/>
      </c>
      <c r="L91" s="126" t="str">
        <f aca="false">IF(IFERROR(INDEX(tsk_Name,GanttView[[#This Row],[_Row]])="",TRUE()),"",INDEX(tsk_Show,GanttView[[#This Row],[_Row]])&amp;"")</f>
        <v/>
      </c>
      <c r="M91" s="130" t="n">
        <f aca="false">ROW()-ROW(GanttView[[#Headers],[ID]])</f>
        <v>86</v>
      </c>
      <c r="N91" s="131" t="b">
        <f aca="false">IF(IFERROR(INDEX(tsk_Name,GanttView[[#This Row],[_Row]])="",TRUE()),FALSE(),INDEX(tsk_IsSummary,GanttView[[#This Row],[_Row]]))</f>
        <v>0</v>
      </c>
      <c r="O91" s="131" t="b">
        <f aca="false">IF(IFERROR(INDEX(tsk_Name,GanttView[[#This Row],[_Row]])="",TRUE()),FALSE(),AND(INDEX(tsk_IsLeaf,GanttView[[#This Row],[_Row]])=1,N(INDEX(tsk_Duration,GanttView[[#This Row],[_Row]]))=0))</f>
        <v>0</v>
      </c>
      <c r="P91" s="132" t="n">
        <f aca="false">IF(IFERROR(INDEX(tsk_Name,GanttView[[#This Row],[_Row]])="",TRUE()),0,IF(AND(INDEX(tsk_IsLeaf,GanttView[[#This Row],[_Row]])=1,NOT(GanttView[[#This Row],[_IsMilestone]]),N(GanttView[[#This Row],[%]])&gt;0),GanttView[[#This Row],[Forecast Start]],0))</f>
        <v>0</v>
      </c>
      <c r="Q91" s="132" t="n">
        <f aca="false">IF(GanttView[[#This Row],[_DoneFrom]]=0,0,IF(GanttView[[#This Row],[%]]&gt;=1,GanttView[[#This Row],[Forecast Finish]],MAX(GanttView[[#This Row],[_DoneFrom]],GanttView[[#This Row],[Forecast Start]]+ROUND((GanttView[[#This Row],[Forecast Finish]]-GanttView[[#This Row],[Forecast Start]]+1)*GanttView[[#This Row],[%]],0)-1)))</f>
        <v>0</v>
      </c>
      <c r="R91" s="132" t="n">
        <f aca="false">IF(IFERROR(INDEX(tsk_Name,GanttView[[#This Row],[_Row]])="",TRUE()),0,IF(OR(INDEX(tsk_IsLeaf,GanttView[[#This Row],[_Row]])&lt;&gt;1,GanttView[[#This Row],[_IsMilestone]],N(GanttView[[#This Row],[%]])&gt;=1),0,IF(GanttView[[#This Row],[_DoneTo]]&gt;0,GanttView[[#This Row],[_DoneTo]]+1,GanttView[[#This Row],[Forecast Start]])))</f>
        <v>0</v>
      </c>
      <c r="S91" s="132" t="n">
        <f aca="false">IF(GanttView[[#This Row],[_RemFrom]]=0,0,GanttView[[#This Row],[Forecast Finish]])</f>
        <v>0</v>
      </c>
      <c r="T91" s="131" t="b">
        <f aca="false">IF(IFERROR(INDEX(tsk_Name,GanttView[[#This Row],[_Row]])="",TRUE()),FALSE(),N(INDEX(tsk_Variance,GanttView[[#This Row],[_Row]]))&gt;0)</f>
        <v>0</v>
      </c>
      <c r="U91" s="132" t="n">
        <f aca="false">IF(IFERROR(INDEX(tsk_Name,GanttView[[#This Row],[_Row]])="",TRUE()),0,N(INDEX(tsk_Deadline,GanttView[[#This Row],[_Row]])))</f>
        <v>0</v>
      </c>
      <c r="V91" s="131" t="b">
        <f aca="false">IF(IFERROR(INDEX(tsk_Name,GanttView[[#This Row],[_Row]])="",TRUE()),FALSE(),INDEX(tsk_Critical,GanttView[[#This Row],[_Row]])="Yes")</f>
        <v>0</v>
      </c>
    </row>
    <row r="92" customFormat="false" ht="15" hidden="false" customHeight="false" outlineLevel="0" collapsed="false">
      <c r="A92" s="126" t="str">
        <f aca="false">IF(IFERROR(INDEX(tsk_Name,GanttView[[#This Row],[_Row]])="",TRUE()),"",INDEX(tsk_ID,GanttView[[#This Row],[_Row]]))</f>
        <v/>
      </c>
      <c r="B92" s="126" t="str">
        <f aca="false">IF(IFERROR(INDEX(tsk_Name,GanttView[[#This Row],[_Row]])="",TRUE()),"",INDEX(tsk_WBS,GanttView[[#This Row],[_Row]]))</f>
        <v/>
      </c>
      <c r="C92" s="127" t="str">
        <f aca="false">IF(IFERROR(INDEX(tsk_Name,GanttView[[#This Row],[_Row]])="",TRUE()),"",REPT("    ",INDEX(tsk_Level,GanttView[[#This Row],[_Row]])-1)&amp;INDEX(tsk_Name,GanttView[[#This Row],[_Row]]))</f>
        <v/>
      </c>
      <c r="D92" s="126" t="str">
        <f aca="false">IF(IFERROR(INDEX(tsk_Name,GanttView[[#This Row],[_Row]])="",TRUE()),"",IF(INDEX(tsk_IsSummary,GanttView[[#This Row],[_Row]]),NETWORKDAYS.INTL(INDEX(tsk_FcStart,GanttView[[#This Row],[_Row]]),INDEX(tsk_FcFinish,GanttView[[#This Row],[_Row]]),WorkWeek,Holidays),N(INDEX(tsk_Duration,GanttView[[#This Row],[_Row]]))))</f>
        <v/>
      </c>
      <c r="E92" s="128" t="str">
        <f aca="false">IF(IFERROR(INDEX(tsk_Name,GanttView[[#This Row],[_Row]])="",TRUE()),"",INDEX(tsk_PlanStart,GanttView[[#This Row],[_Row]]))</f>
        <v/>
      </c>
      <c r="F92" s="128" t="str">
        <f aca="false">IF(IFERROR(INDEX(tsk_Name,GanttView[[#This Row],[_Row]])="",TRUE()),"",INDEX(tsk_PlanFinish,GanttView[[#This Row],[_Row]]))</f>
        <v/>
      </c>
      <c r="G92" s="128" t="str">
        <f aca="false">IF(IFERROR(INDEX(tsk_Name,GanttView[[#This Row],[_Row]])="",TRUE()),"",INDEX(tsk_FcStart,GanttView[[#This Row],[_Row]]))</f>
        <v/>
      </c>
      <c r="H92" s="128" t="str">
        <f aca="false">IF(IFERROR(INDEX(tsk_Name,GanttView[[#This Row],[_Row]])="",TRUE()),"",INDEX(tsk_FcFinish,GanttView[[#This Row],[_Row]]))</f>
        <v/>
      </c>
      <c r="I92" s="129" t="str">
        <f aca="false">IF(IFERROR(INDEX(tsk_Name,GanttView[[#This Row],[_Row]])="",TRUE()),"",INDEX(tsk_Progress,GanttView[[#This Row],[_Row]]))</f>
        <v/>
      </c>
      <c r="J92" s="127" t="str">
        <f aca="false">IF(IFERROR(INDEX(tsk_Name,GanttView[[#This Row],[_Row]])="",TRUE()),"",INDEX(tsk_ResourceNames,GanttView[[#This Row],[_Row]])&amp;"")</f>
        <v/>
      </c>
      <c r="K92" s="126" t="str">
        <f aca="false">IF(IFERROR(INDEX(tsk_Name,GanttView[[#This Row],[_Row]])="",TRUE()),"",INDEX(tsk_Status,GanttView[[#This Row],[_Row]]))</f>
        <v/>
      </c>
      <c r="L92" s="126" t="str">
        <f aca="false">IF(IFERROR(INDEX(tsk_Name,GanttView[[#This Row],[_Row]])="",TRUE()),"",INDEX(tsk_Show,GanttView[[#This Row],[_Row]])&amp;"")</f>
        <v/>
      </c>
      <c r="M92" s="130" t="n">
        <f aca="false">ROW()-ROW(GanttView[[#Headers],[ID]])</f>
        <v>87</v>
      </c>
      <c r="N92" s="131" t="b">
        <f aca="false">IF(IFERROR(INDEX(tsk_Name,GanttView[[#This Row],[_Row]])="",TRUE()),FALSE(),INDEX(tsk_IsSummary,GanttView[[#This Row],[_Row]]))</f>
        <v>0</v>
      </c>
      <c r="O92" s="131" t="b">
        <f aca="false">IF(IFERROR(INDEX(tsk_Name,GanttView[[#This Row],[_Row]])="",TRUE()),FALSE(),AND(INDEX(tsk_IsLeaf,GanttView[[#This Row],[_Row]])=1,N(INDEX(tsk_Duration,GanttView[[#This Row],[_Row]]))=0))</f>
        <v>0</v>
      </c>
      <c r="P92" s="132" t="n">
        <f aca="false">IF(IFERROR(INDEX(tsk_Name,GanttView[[#This Row],[_Row]])="",TRUE()),0,IF(AND(INDEX(tsk_IsLeaf,GanttView[[#This Row],[_Row]])=1,NOT(GanttView[[#This Row],[_IsMilestone]]),N(GanttView[[#This Row],[%]])&gt;0),GanttView[[#This Row],[Forecast Start]],0))</f>
        <v>0</v>
      </c>
      <c r="Q92" s="132" t="n">
        <f aca="false">IF(GanttView[[#This Row],[_DoneFrom]]=0,0,IF(GanttView[[#This Row],[%]]&gt;=1,GanttView[[#This Row],[Forecast Finish]],MAX(GanttView[[#This Row],[_DoneFrom]],GanttView[[#This Row],[Forecast Start]]+ROUND((GanttView[[#This Row],[Forecast Finish]]-GanttView[[#This Row],[Forecast Start]]+1)*GanttView[[#This Row],[%]],0)-1)))</f>
        <v>0</v>
      </c>
      <c r="R92" s="132" t="n">
        <f aca="false">IF(IFERROR(INDEX(tsk_Name,GanttView[[#This Row],[_Row]])="",TRUE()),0,IF(OR(INDEX(tsk_IsLeaf,GanttView[[#This Row],[_Row]])&lt;&gt;1,GanttView[[#This Row],[_IsMilestone]],N(GanttView[[#This Row],[%]])&gt;=1),0,IF(GanttView[[#This Row],[_DoneTo]]&gt;0,GanttView[[#This Row],[_DoneTo]]+1,GanttView[[#This Row],[Forecast Start]])))</f>
        <v>0</v>
      </c>
      <c r="S92" s="132" t="n">
        <f aca="false">IF(GanttView[[#This Row],[_RemFrom]]=0,0,GanttView[[#This Row],[Forecast Finish]])</f>
        <v>0</v>
      </c>
      <c r="T92" s="131" t="b">
        <f aca="false">IF(IFERROR(INDEX(tsk_Name,GanttView[[#This Row],[_Row]])="",TRUE()),FALSE(),N(INDEX(tsk_Variance,GanttView[[#This Row],[_Row]]))&gt;0)</f>
        <v>0</v>
      </c>
      <c r="U92" s="132" t="n">
        <f aca="false">IF(IFERROR(INDEX(tsk_Name,GanttView[[#This Row],[_Row]])="",TRUE()),0,N(INDEX(tsk_Deadline,GanttView[[#This Row],[_Row]])))</f>
        <v>0</v>
      </c>
      <c r="V92" s="131" t="b">
        <f aca="false">IF(IFERROR(INDEX(tsk_Name,GanttView[[#This Row],[_Row]])="",TRUE()),FALSE(),INDEX(tsk_Critical,GanttView[[#This Row],[_Row]])="Yes")</f>
        <v>0</v>
      </c>
    </row>
    <row r="93" customFormat="false" ht="15" hidden="false" customHeight="false" outlineLevel="0" collapsed="false">
      <c r="A93" s="126" t="str">
        <f aca="false">IF(IFERROR(INDEX(tsk_Name,GanttView[[#This Row],[_Row]])="",TRUE()),"",INDEX(tsk_ID,GanttView[[#This Row],[_Row]]))</f>
        <v/>
      </c>
      <c r="B93" s="126" t="str">
        <f aca="false">IF(IFERROR(INDEX(tsk_Name,GanttView[[#This Row],[_Row]])="",TRUE()),"",INDEX(tsk_WBS,GanttView[[#This Row],[_Row]]))</f>
        <v/>
      </c>
      <c r="C93" s="127" t="str">
        <f aca="false">IF(IFERROR(INDEX(tsk_Name,GanttView[[#This Row],[_Row]])="",TRUE()),"",REPT("    ",INDEX(tsk_Level,GanttView[[#This Row],[_Row]])-1)&amp;INDEX(tsk_Name,GanttView[[#This Row],[_Row]]))</f>
        <v/>
      </c>
      <c r="D93" s="126" t="str">
        <f aca="false">IF(IFERROR(INDEX(tsk_Name,GanttView[[#This Row],[_Row]])="",TRUE()),"",IF(INDEX(tsk_IsSummary,GanttView[[#This Row],[_Row]]),NETWORKDAYS.INTL(INDEX(tsk_FcStart,GanttView[[#This Row],[_Row]]),INDEX(tsk_FcFinish,GanttView[[#This Row],[_Row]]),WorkWeek,Holidays),N(INDEX(tsk_Duration,GanttView[[#This Row],[_Row]]))))</f>
        <v/>
      </c>
      <c r="E93" s="128" t="str">
        <f aca="false">IF(IFERROR(INDEX(tsk_Name,GanttView[[#This Row],[_Row]])="",TRUE()),"",INDEX(tsk_PlanStart,GanttView[[#This Row],[_Row]]))</f>
        <v/>
      </c>
      <c r="F93" s="128" t="str">
        <f aca="false">IF(IFERROR(INDEX(tsk_Name,GanttView[[#This Row],[_Row]])="",TRUE()),"",INDEX(tsk_PlanFinish,GanttView[[#This Row],[_Row]]))</f>
        <v/>
      </c>
      <c r="G93" s="128" t="str">
        <f aca="false">IF(IFERROR(INDEX(tsk_Name,GanttView[[#This Row],[_Row]])="",TRUE()),"",INDEX(tsk_FcStart,GanttView[[#This Row],[_Row]]))</f>
        <v/>
      </c>
      <c r="H93" s="128" t="str">
        <f aca="false">IF(IFERROR(INDEX(tsk_Name,GanttView[[#This Row],[_Row]])="",TRUE()),"",INDEX(tsk_FcFinish,GanttView[[#This Row],[_Row]]))</f>
        <v/>
      </c>
      <c r="I93" s="129" t="str">
        <f aca="false">IF(IFERROR(INDEX(tsk_Name,GanttView[[#This Row],[_Row]])="",TRUE()),"",INDEX(tsk_Progress,GanttView[[#This Row],[_Row]]))</f>
        <v/>
      </c>
      <c r="J93" s="127" t="str">
        <f aca="false">IF(IFERROR(INDEX(tsk_Name,GanttView[[#This Row],[_Row]])="",TRUE()),"",INDEX(tsk_ResourceNames,GanttView[[#This Row],[_Row]])&amp;"")</f>
        <v/>
      </c>
      <c r="K93" s="126" t="str">
        <f aca="false">IF(IFERROR(INDEX(tsk_Name,GanttView[[#This Row],[_Row]])="",TRUE()),"",INDEX(tsk_Status,GanttView[[#This Row],[_Row]]))</f>
        <v/>
      </c>
      <c r="L93" s="126" t="str">
        <f aca="false">IF(IFERROR(INDEX(tsk_Name,GanttView[[#This Row],[_Row]])="",TRUE()),"",INDEX(tsk_Show,GanttView[[#This Row],[_Row]])&amp;"")</f>
        <v/>
      </c>
      <c r="M93" s="130" t="n">
        <f aca="false">ROW()-ROW(GanttView[[#Headers],[ID]])</f>
        <v>88</v>
      </c>
      <c r="N93" s="131" t="b">
        <f aca="false">IF(IFERROR(INDEX(tsk_Name,GanttView[[#This Row],[_Row]])="",TRUE()),FALSE(),INDEX(tsk_IsSummary,GanttView[[#This Row],[_Row]]))</f>
        <v>0</v>
      </c>
      <c r="O93" s="131" t="b">
        <f aca="false">IF(IFERROR(INDEX(tsk_Name,GanttView[[#This Row],[_Row]])="",TRUE()),FALSE(),AND(INDEX(tsk_IsLeaf,GanttView[[#This Row],[_Row]])=1,N(INDEX(tsk_Duration,GanttView[[#This Row],[_Row]]))=0))</f>
        <v>0</v>
      </c>
      <c r="P93" s="132" t="n">
        <f aca="false">IF(IFERROR(INDEX(tsk_Name,GanttView[[#This Row],[_Row]])="",TRUE()),0,IF(AND(INDEX(tsk_IsLeaf,GanttView[[#This Row],[_Row]])=1,NOT(GanttView[[#This Row],[_IsMilestone]]),N(GanttView[[#This Row],[%]])&gt;0),GanttView[[#This Row],[Forecast Start]],0))</f>
        <v>0</v>
      </c>
      <c r="Q93" s="132" t="n">
        <f aca="false">IF(GanttView[[#This Row],[_DoneFrom]]=0,0,IF(GanttView[[#This Row],[%]]&gt;=1,GanttView[[#This Row],[Forecast Finish]],MAX(GanttView[[#This Row],[_DoneFrom]],GanttView[[#This Row],[Forecast Start]]+ROUND((GanttView[[#This Row],[Forecast Finish]]-GanttView[[#This Row],[Forecast Start]]+1)*GanttView[[#This Row],[%]],0)-1)))</f>
        <v>0</v>
      </c>
      <c r="R93" s="132" t="n">
        <f aca="false">IF(IFERROR(INDEX(tsk_Name,GanttView[[#This Row],[_Row]])="",TRUE()),0,IF(OR(INDEX(tsk_IsLeaf,GanttView[[#This Row],[_Row]])&lt;&gt;1,GanttView[[#This Row],[_IsMilestone]],N(GanttView[[#This Row],[%]])&gt;=1),0,IF(GanttView[[#This Row],[_DoneTo]]&gt;0,GanttView[[#This Row],[_DoneTo]]+1,GanttView[[#This Row],[Forecast Start]])))</f>
        <v>0</v>
      </c>
      <c r="S93" s="132" t="n">
        <f aca="false">IF(GanttView[[#This Row],[_RemFrom]]=0,0,GanttView[[#This Row],[Forecast Finish]])</f>
        <v>0</v>
      </c>
      <c r="T93" s="131" t="b">
        <f aca="false">IF(IFERROR(INDEX(tsk_Name,GanttView[[#This Row],[_Row]])="",TRUE()),FALSE(),N(INDEX(tsk_Variance,GanttView[[#This Row],[_Row]]))&gt;0)</f>
        <v>0</v>
      </c>
      <c r="U93" s="132" t="n">
        <f aca="false">IF(IFERROR(INDEX(tsk_Name,GanttView[[#This Row],[_Row]])="",TRUE()),0,N(INDEX(tsk_Deadline,GanttView[[#This Row],[_Row]])))</f>
        <v>0</v>
      </c>
      <c r="V93" s="131" t="b">
        <f aca="false">IF(IFERROR(INDEX(tsk_Name,GanttView[[#This Row],[_Row]])="",TRUE()),FALSE(),INDEX(tsk_Critical,GanttView[[#This Row],[_Row]])="Yes")</f>
        <v>0</v>
      </c>
    </row>
    <row r="94" customFormat="false" ht="15" hidden="false" customHeight="false" outlineLevel="0" collapsed="false">
      <c r="A94" s="126" t="str">
        <f aca="false">IF(IFERROR(INDEX(tsk_Name,GanttView[[#This Row],[_Row]])="",TRUE()),"",INDEX(tsk_ID,GanttView[[#This Row],[_Row]]))</f>
        <v/>
      </c>
      <c r="B94" s="126" t="str">
        <f aca="false">IF(IFERROR(INDEX(tsk_Name,GanttView[[#This Row],[_Row]])="",TRUE()),"",INDEX(tsk_WBS,GanttView[[#This Row],[_Row]]))</f>
        <v/>
      </c>
      <c r="C94" s="127" t="str">
        <f aca="false">IF(IFERROR(INDEX(tsk_Name,GanttView[[#This Row],[_Row]])="",TRUE()),"",REPT("    ",INDEX(tsk_Level,GanttView[[#This Row],[_Row]])-1)&amp;INDEX(tsk_Name,GanttView[[#This Row],[_Row]]))</f>
        <v/>
      </c>
      <c r="D94" s="126" t="str">
        <f aca="false">IF(IFERROR(INDEX(tsk_Name,GanttView[[#This Row],[_Row]])="",TRUE()),"",IF(INDEX(tsk_IsSummary,GanttView[[#This Row],[_Row]]),NETWORKDAYS.INTL(INDEX(tsk_FcStart,GanttView[[#This Row],[_Row]]),INDEX(tsk_FcFinish,GanttView[[#This Row],[_Row]]),WorkWeek,Holidays),N(INDEX(tsk_Duration,GanttView[[#This Row],[_Row]]))))</f>
        <v/>
      </c>
      <c r="E94" s="128" t="str">
        <f aca="false">IF(IFERROR(INDEX(tsk_Name,GanttView[[#This Row],[_Row]])="",TRUE()),"",INDEX(tsk_PlanStart,GanttView[[#This Row],[_Row]]))</f>
        <v/>
      </c>
      <c r="F94" s="128" t="str">
        <f aca="false">IF(IFERROR(INDEX(tsk_Name,GanttView[[#This Row],[_Row]])="",TRUE()),"",INDEX(tsk_PlanFinish,GanttView[[#This Row],[_Row]]))</f>
        <v/>
      </c>
      <c r="G94" s="128" t="str">
        <f aca="false">IF(IFERROR(INDEX(tsk_Name,GanttView[[#This Row],[_Row]])="",TRUE()),"",INDEX(tsk_FcStart,GanttView[[#This Row],[_Row]]))</f>
        <v/>
      </c>
      <c r="H94" s="128" t="str">
        <f aca="false">IF(IFERROR(INDEX(tsk_Name,GanttView[[#This Row],[_Row]])="",TRUE()),"",INDEX(tsk_FcFinish,GanttView[[#This Row],[_Row]]))</f>
        <v/>
      </c>
      <c r="I94" s="129" t="str">
        <f aca="false">IF(IFERROR(INDEX(tsk_Name,GanttView[[#This Row],[_Row]])="",TRUE()),"",INDEX(tsk_Progress,GanttView[[#This Row],[_Row]]))</f>
        <v/>
      </c>
      <c r="J94" s="127" t="str">
        <f aca="false">IF(IFERROR(INDEX(tsk_Name,GanttView[[#This Row],[_Row]])="",TRUE()),"",INDEX(tsk_ResourceNames,GanttView[[#This Row],[_Row]])&amp;"")</f>
        <v/>
      </c>
      <c r="K94" s="126" t="str">
        <f aca="false">IF(IFERROR(INDEX(tsk_Name,GanttView[[#This Row],[_Row]])="",TRUE()),"",INDEX(tsk_Status,GanttView[[#This Row],[_Row]]))</f>
        <v/>
      </c>
      <c r="L94" s="126" t="str">
        <f aca="false">IF(IFERROR(INDEX(tsk_Name,GanttView[[#This Row],[_Row]])="",TRUE()),"",INDEX(tsk_Show,GanttView[[#This Row],[_Row]])&amp;"")</f>
        <v/>
      </c>
      <c r="M94" s="130" t="n">
        <f aca="false">ROW()-ROW(GanttView[[#Headers],[ID]])</f>
        <v>89</v>
      </c>
      <c r="N94" s="131" t="b">
        <f aca="false">IF(IFERROR(INDEX(tsk_Name,GanttView[[#This Row],[_Row]])="",TRUE()),FALSE(),INDEX(tsk_IsSummary,GanttView[[#This Row],[_Row]]))</f>
        <v>0</v>
      </c>
      <c r="O94" s="131" t="b">
        <f aca="false">IF(IFERROR(INDEX(tsk_Name,GanttView[[#This Row],[_Row]])="",TRUE()),FALSE(),AND(INDEX(tsk_IsLeaf,GanttView[[#This Row],[_Row]])=1,N(INDEX(tsk_Duration,GanttView[[#This Row],[_Row]]))=0))</f>
        <v>0</v>
      </c>
      <c r="P94" s="132" t="n">
        <f aca="false">IF(IFERROR(INDEX(tsk_Name,GanttView[[#This Row],[_Row]])="",TRUE()),0,IF(AND(INDEX(tsk_IsLeaf,GanttView[[#This Row],[_Row]])=1,NOT(GanttView[[#This Row],[_IsMilestone]]),N(GanttView[[#This Row],[%]])&gt;0),GanttView[[#This Row],[Forecast Start]],0))</f>
        <v>0</v>
      </c>
      <c r="Q94" s="132" t="n">
        <f aca="false">IF(GanttView[[#This Row],[_DoneFrom]]=0,0,IF(GanttView[[#This Row],[%]]&gt;=1,GanttView[[#This Row],[Forecast Finish]],MAX(GanttView[[#This Row],[_DoneFrom]],GanttView[[#This Row],[Forecast Start]]+ROUND((GanttView[[#This Row],[Forecast Finish]]-GanttView[[#This Row],[Forecast Start]]+1)*GanttView[[#This Row],[%]],0)-1)))</f>
        <v>0</v>
      </c>
      <c r="R94" s="132" t="n">
        <f aca="false">IF(IFERROR(INDEX(tsk_Name,GanttView[[#This Row],[_Row]])="",TRUE()),0,IF(OR(INDEX(tsk_IsLeaf,GanttView[[#This Row],[_Row]])&lt;&gt;1,GanttView[[#This Row],[_IsMilestone]],N(GanttView[[#This Row],[%]])&gt;=1),0,IF(GanttView[[#This Row],[_DoneTo]]&gt;0,GanttView[[#This Row],[_DoneTo]]+1,GanttView[[#This Row],[Forecast Start]])))</f>
        <v>0</v>
      </c>
      <c r="S94" s="132" t="n">
        <f aca="false">IF(GanttView[[#This Row],[_RemFrom]]=0,0,GanttView[[#This Row],[Forecast Finish]])</f>
        <v>0</v>
      </c>
      <c r="T94" s="131" t="b">
        <f aca="false">IF(IFERROR(INDEX(tsk_Name,GanttView[[#This Row],[_Row]])="",TRUE()),FALSE(),N(INDEX(tsk_Variance,GanttView[[#This Row],[_Row]]))&gt;0)</f>
        <v>0</v>
      </c>
      <c r="U94" s="132" t="n">
        <f aca="false">IF(IFERROR(INDEX(tsk_Name,GanttView[[#This Row],[_Row]])="",TRUE()),0,N(INDEX(tsk_Deadline,GanttView[[#This Row],[_Row]])))</f>
        <v>0</v>
      </c>
      <c r="V94" s="131" t="b">
        <f aca="false">IF(IFERROR(INDEX(tsk_Name,GanttView[[#This Row],[_Row]])="",TRUE()),FALSE(),INDEX(tsk_Critical,GanttView[[#This Row],[_Row]])="Yes")</f>
        <v>0</v>
      </c>
    </row>
    <row r="95" customFormat="false" ht="15" hidden="false" customHeight="false" outlineLevel="0" collapsed="false">
      <c r="A95" s="126" t="str">
        <f aca="false">IF(IFERROR(INDEX(tsk_Name,GanttView[[#This Row],[_Row]])="",TRUE()),"",INDEX(tsk_ID,GanttView[[#This Row],[_Row]]))</f>
        <v/>
      </c>
      <c r="B95" s="126" t="str">
        <f aca="false">IF(IFERROR(INDEX(tsk_Name,GanttView[[#This Row],[_Row]])="",TRUE()),"",INDEX(tsk_WBS,GanttView[[#This Row],[_Row]]))</f>
        <v/>
      </c>
      <c r="C95" s="127" t="str">
        <f aca="false">IF(IFERROR(INDEX(tsk_Name,GanttView[[#This Row],[_Row]])="",TRUE()),"",REPT("    ",INDEX(tsk_Level,GanttView[[#This Row],[_Row]])-1)&amp;INDEX(tsk_Name,GanttView[[#This Row],[_Row]]))</f>
        <v/>
      </c>
      <c r="D95" s="126" t="str">
        <f aca="false">IF(IFERROR(INDEX(tsk_Name,GanttView[[#This Row],[_Row]])="",TRUE()),"",IF(INDEX(tsk_IsSummary,GanttView[[#This Row],[_Row]]),NETWORKDAYS.INTL(INDEX(tsk_FcStart,GanttView[[#This Row],[_Row]]),INDEX(tsk_FcFinish,GanttView[[#This Row],[_Row]]),WorkWeek,Holidays),N(INDEX(tsk_Duration,GanttView[[#This Row],[_Row]]))))</f>
        <v/>
      </c>
      <c r="E95" s="128" t="str">
        <f aca="false">IF(IFERROR(INDEX(tsk_Name,GanttView[[#This Row],[_Row]])="",TRUE()),"",INDEX(tsk_PlanStart,GanttView[[#This Row],[_Row]]))</f>
        <v/>
      </c>
      <c r="F95" s="128" t="str">
        <f aca="false">IF(IFERROR(INDEX(tsk_Name,GanttView[[#This Row],[_Row]])="",TRUE()),"",INDEX(tsk_PlanFinish,GanttView[[#This Row],[_Row]]))</f>
        <v/>
      </c>
      <c r="G95" s="128" t="str">
        <f aca="false">IF(IFERROR(INDEX(tsk_Name,GanttView[[#This Row],[_Row]])="",TRUE()),"",INDEX(tsk_FcStart,GanttView[[#This Row],[_Row]]))</f>
        <v/>
      </c>
      <c r="H95" s="128" t="str">
        <f aca="false">IF(IFERROR(INDEX(tsk_Name,GanttView[[#This Row],[_Row]])="",TRUE()),"",INDEX(tsk_FcFinish,GanttView[[#This Row],[_Row]]))</f>
        <v/>
      </c>
      <c r="I95" s="129" t="str">
        <f aca="false">IF(IFERROR(INDEX(tsk_Name,GanttView[[#This Row],[_Row]])="",TRUE()),"",INDEX(tsk_Progress,GanttView[[#This Row],[_Row]]))</f>
        <v/>
      </c>
      <c r="J95" s="127" t="str">
        <f aca="false">IF(IFERROR(INDEX(tsk_Name,GanttView[[#This Row],[_Row]])="",TRUE()),"",INDEX(tsk_ResourceNames,GanttView[[#This Row],[_Row]])&amp;"")</f>
        <v/>
      </c>
      <c r="K95" s="126" t="str">
        <f aca="false">IF(IFERROR(INDEX(tsk_Name,GanttView[[#This Row],[_Row]])="",TRUE()),"",INDEX(tsk_Status,GanttView[[#This Row],[_Row]]))</f>
        <v/>
      </c>
      <c r="L95" s="126" t="str">
        <f aca="false">IF(IFERROR(INDEX(tsk_Name,GanttView[[#This Row],[_Row]])="",TRUE()),"",INDEX(tsk_Show,GanttView[[#This Row],[_Row]])&amp;"")</f>
        <v/>
      </c>
      <c r="M95" s="130" t="n">
        <f aca="false">ROW()-ROW(GanttView[[#Headers],[ID]])</f>
        <v>90</v>
      </c>
      <c r="N95" s="131" t="b">
        <f aca="false">IF(IFERROR(INDEX(tsk_Name,GanttView[[#This Row],[_Row]])="",TRUE()),FALSE(),INDEX(tsk_IsSummary,GanttView[[#This Row],[_Row]]))</f>
        <v>0</v>
      </c>
      <c r="O95" s="131" t="b">
        <f aca="false">IF(IFERROR(INDEX(tsk_Name,GanttView[[#This Row],[_Row]])="",TRUE()),FALSE(),AND(INDEX(tsk_IsLeaf,GanttView[[#This Row],[_Row]])=1,N(INDEX(tsk_Duration,GanttView[[#This Row],[_Row]]))=0))</f>
        <v>0</v>
      </c>
      <c r="P95" s="132" t="n">
        <f aca="false">IF(IFERROR(INDEX(tsk_Name,GanttView[[#This Row],[_Row]])="",TRUE()),0,IF(AND(INDEX(tsk_IsLeaf,GanttView[[#This Row],[_Row]])=1,NOT(GanttView[[#This Row],[_IsMilestone]]),N(GanttView[[#This Row],[%]])&gt;0),GanttView[[#This Row],[Forecast Start]],0))</f>
        <v>0</v>
      </c>
      <c r="Q95" s="132" t="n">
        <f aca="false">IF(GanttView[[#This Row],[_DoneFrom]]=0,0,IF(GanttView[[#This Row],[%]]&gt;=1,GanttView[[#This Row],[Forecast Finish]],MAX(GanttView[[#This Row],[_DoneFrom]],GanttView[[#This Row],[Forecast Start]]+ROUND((GanttView[[#This Row],[Forecast Finish]]-GanttView[[#This Row],[Forecast Start]]+1)*GanttView[[#This Row],[%]],0)-1)))</f>
        <v>0</v>
      </c>
      <c r="R95" s="132" t="n">
        <f aca="false">IF(IFERROR(INDEX(tsk_Name,GanttView[[#This Row],[_Row]])="",TRUE()),0,IF(OR(INDEX(tsk_IsLeaf,GanttView[[#This Row],[_Row]])&lt;&gt;1,GanttView[[#This Row],[_IsMilestone]],N(GanttView[[#This Row],[%]])&gt;=1),0,IF(GanttView[[#This Row],[_DoneTo]]&gt;0,GanttView[[#This Row],[_DoneTo]]+1,GanttView[[#This Row],[Forecast Start]])))</f>
        <v>0</v>
      </c>
      <c r="S95" s="132" t="n">
        <f aca="false">IF(GanttView[[#This Row],[_RemFrom]]=0,0,GanttView[[#This Row],[Forecast Finish]])</f>
        <v>0</v>
      </c>
      <c r="T95" s="131" t="b">
        <f aca="false">IF(IFERROR(INDEX(tsk_Name,GanttView[[#This Row],[_Row]])="",TRUE()),FALSE(),N(INDEX(tsk_Variance,GanttView[[#This Row],[_Row]]))&gt;0)</f>
        <v>0</v>
      </c>
      <c r="U95" s="132" t="n">
        <f aca="false">IF(IFERROR(INDEX(tsk_Name,GanttView[[#This Row],[_Row]])="",TRUE()),0,N(INDEX(tsk_Deadline,GanttView[[#This Row],[_Row]])))</f>
        <v>0</v>
      </c>
      <c r="V95" s="131" t="b">
        <f aca="false">IF(IFERROR(INDEX(tsk_Name,GanttView[[#This Row],[_Row]])="",TRUE()),FALSE(),INDEX(tsk_Critical,GanttView[[#This Row],[_Row]])="Yes")</f>
        <v>0</v>
      </c>
    </row>
    <row r="96" customFormat="false" ht="15" hidden="false" customHeight="false" outlineLevel="0" collapsed="false">
      <c r="A96" s="126" t="str">
        <f aca="false">IF(IFERROR(INDEX(tsk_Name,GanttView[[#This Row],[_Row]])="",TRUE()),"",INDEX(tsk_ID,GanttView[[#This Row],[_Row]]))</f>
        <v/>
      </c>
      <c r="B96" s="126" t="str">
        <f aca="false">IF(IFERROR(INDEX(tsk_Name,GanttView[[#This Row],[_Row]])="",TRUE()),"",INDEX(tsk_WBS,GanttView[[#This Row],[_Row]]))</f>
        <v/>
      </c>
      <c r="C96" s="127" t="str">
        <f aca="false">IF(IFERROR(INDEX(tsk_Name,GanttView[[#This Row],[_Row]])="",TRUE()),"",REPT("    ",INDEX(tsk_Level,GanttView[[#This Row],[_Row]])-1)&amp;INDEX(tsk_Name,GanttView[[#This Row],[_Row]]))</f>
        <v/>
      </c>
      <c r="D96" s="126" t="str">
        <f aca="false">IF(IFERROR(INDEX(tsk_Name,GanttView[[#This Row],[_Row]])="",TRUE()),"",IF(INDEX(tsk_IsSummary,GanttView[[#This Row],[_Row]]),NETWORKDAYS.INTL(INDEX(tsk_FcStart,GanttView[[#This Row],[_Row]]),INDEX(tsk_FcFinish,GanttView[[#This Row],[_Row]]),WorkWeek,Holidays),N(INDEX(tsk_Duration,GanttView[[#This Row],[_Row]]))))</f>
        <v/>
      </c>
      <c r="E96" s="128" t="str">
        <f aca="false">IF(IFERROR(INDEX(tsk_Name,GanttView[[#This Row],[_Row]])="",TRUE()),"",INDEX(tsk_PlanStart,GanttView[[#This Row],[_Row]]))</f>
        <v/>
      </c>
      <c r="F96" s="128" t="str">
        <f aca="false">IF(IFERROR(INDEX(tsk_Name,GanttView[[#This Row],[_Row]])="",TRUE()),"",INDEX(tsk_PlanFinish,GanttView[[#This Row],[_Row]]))</f>
        <v/>
      </c>
      <c r="G96" s="128" t="str">
        <f aca="false">IF(IFERROR(INDEX(tsk_Name,GanttView[[#This Row],[_Row]])="",TRUE()),"",INDEX(tsk_FcStart,GanttView[[#This Row],[_Row]]))</f>
        <v/>
      </c>
      <c r="H96" s="128" t="str">
        <f aca="false">IF(IFERROR(INDEX(tsk_Name,GanttView[[#This Row],[_Row]])="",TRUE()),"",INDEX(tsk_FcFinish,GanttView[[#This Row],[_Row]]))</f>
        <v/>
      </c>
      <c r="I96" s="129" t="str">
        <f aca="false">IF(IFERROR(INDEX(tsk_Name,GanttView[[#This Row],[_Row]])="",TRUE()),"",INDEX(tsk_Progress,GanttView[[#This Row],[_Row]]))</f>
        <v/>
      </c>
      <c r="J96" s="127" t="str">
        <f aca="false">IF(IFERROR(INDEX(tsk_Name,GanttView[[#This Row],[_Row]])="",TRUE()),"",INDEX(tsk_ResourceNames,GanttView[[#This Row],[_Row]])&amp;"")</f>
        <v/>
      </c>
      <c r="K96" s="126" t="str">
        <f aca="false">IF(IFERROR(INDEX(tsk_Name,GanttView[[#This Row],[_Row]])="",TRUE()),"",INDEX(tsk_Status,GanttView[[#This Row],[_Row]]))</f>
        <v/>
      </c>
      <c r="L96" s="126" t="str">
        <f aca="false">IF(IFERROR(INDEX(tsk_Name,GanttView[[#This Row],[_Row]])="",TRUE()),"",INDEX(tsk_Show,GanttView[[#This Row],[_Row]])&amp;"")</f>
        <v/>
      </c>
      <c r="M96" s="130" t="n">
        <f aca="false">ROW()-ROW(GanttView[[#Headers],[ID]])</f>
        <v>91</v>
      </c>
      <c r="N96" s="131" t="b">
        <f aca="false">IF(IFERROR(INDEX(tsk_Name,GanttView[[#This Row],[_Row]])="",TRUE()),FALSE(),INDEX(tsk_IsSummary,GanttView[[#This Row],[_Row]]))</f>
        <v>0</v>
      </c>
      <c r="O96" s="131" t="b">
        <f aca="false">IF(IFERROR(INDEX(tsk_Name,GanttView[[#This Row],[_Row]])="",TRUE()),FALSE(),AND(INDEX(tsk_IsLeaf,GanttView[[#This Row],[_Row]])=1,N(INDEX(tsk_Duration,GanttView[[#This Row],[_Row]]))=0))</f>
        <v>0</v>
      </c>
      <c r="P96" s="132" t="n">
        <f aca="false">IF(IFERROR(INDEX(tsk_Name,GanttView[[#This Row],[_Row]])="",TRUE()),0,IF(AND(INDEX(tsk_IsLeaf,GanttView[[#This Row],[_Row]])=1,NOT(GanttView[[#This Row],[_IsMilestone]]),N(GanttView[[#This Row],[%]])&gt;0),GanttView[[#This Row],[Forecast Start]],0))</f>
        <v>0</v>
      </c>
      <c r="Q96" s="132" t="n">
        <f aca="false">IF(GanttView[[#This Row],[_DoneFrom]]=0,0,IF(GanttView[[#This Row],[%]]&gt;=1,GanttView[[#This Row],[Forecast Finish]],MAX(GanttView[[#This Row],[_DoneFrom]],GanttView[[#This Row],[Forecast Start]]+ROUND((GanttView[[#This Row],[Forecast Finish]]-GanttView[[#This Row],[Forecast Start]]+1)*GanttView[[#This Row],[%]],0)-1)))</f>
        <v>0</v>
      </c>
      <c r="R96" s="132" t="n">
        <f aca="false">IF(IFERROR(INDEX(tsk_Name,GanttView[[#This Row],[_Row]])="",TRUE()),0,IF(OR(INDEX(tsk_IsLeaf,GanttView[[#This Row],[_Row]])&lt;&gt;1,GanttView[[#This Row],[_IsMilestone]],N(GanttView[[#This Row],[%]])&gt;=1),0,IF(GanttView[[#This Row],[_DoneTo]]&gt;0,GanttView[[#This Row],[_DoneTo]]+1,GanttView[[#This Row],[Forecast Start]])))</f>
        <v>0</v>
      </c>
      <c r="S96" s="132" t="n">
        <f aca="false">IF(GanttView[[#This Row],[_RemFrom]]=0,0,GanttView[[#This Row],[Forecast Finish]])</f>
        <v>0</v>
      </c>
      <c r="T96" s="131" t="b">
        <f aca="false">IF(IFERROR(INDEX(tsk_Name,GanttView[[#This Row],[_Row]])="",TRUE()),FALSE(),N(INDEX(tsk_Variance,GanttView[[#This Row],[_Row]]))&gt;0)</f>
        <v>0</v>
      </c>
      <c r="U96" s="132" t="n">
        <f aca="false">IF(IFERROR(INDEX(tsk_Name,GanttView[[#This Row],[_Row]])="",TRUE()),0,N(INDEX(tsk_Deadline,GanttView[[#This Row],[_Row]])))</f>
        <v>0</v>
      </c>
      <c r="V96" s="131" t="b">
        <f aca="false">IF(IFERROR(INDEX(tsk_Name,GanttView[[#This Row],[_Row]])="",TRUE()),FALSE(),INDEX(tsk_Critical,GanttView[[#This Row],[_Row]])="Yes")</f>
        <v>0</v>
      </c>
    </row>
    <row r="97" customFormat="false" ht="15" hidden="false" customHeight="false" outlineLevel="0" collapsed="false">
      <c r="A97" s="126" t="str">
        <f aca="false">IF(IFERROR(INDEX(tsk_Name,GanttView[[#This Row],[_Row]])="",TRUE()),"",INDEX(tsk_ID,GanttView[[#This Row],[_Row]]))</f>
        <v/>
      </c>
      <c r="B97" s="126" t="str">
        <f aca="false">IF(IFERROR(INDEX(tsk_Name,GanttView[[#This Row],[_Row]])="",TRUE()),"",INDEX(tsk_WBS,GanttView[[#This Row],[_Row]]))</f>
        <v/>
      </c>
      <c r="C97" s="127" t="str">
        <f aca="false">IF(IFERROR(INDEX(tsk_Name,GanttView[[#This Row],[_Row]])="",TRUE()),"",REPT("    ",INDEX(tsk_Level,GanttView[[#This Row],[_Row]])-1)&amp;INDEX(tsk_Name,GanttView[[#This Row],[_Row]]))</f>
        <v/>
      </c>
      <c r="D97" s="126" t="str">
        <f aca="false">IF(IFERROR(INDEX(tsk_Name,GanttView[[#This Row],[_Row]])="",TRUE()),"",IF(INDEX(tsk_IsSummary,GanttView[[#This Row],[_Row]]),NETWORKDAYS.INTL(INDEX(tsk_FcStart,GanttView[[#This Row],[_Row]]),INDEX(tsk_FcFinish,GanttView[[#This Row],[_Row]]),WorkWeek,Holidays),N(INDEX(tsk_Duration,GanttView[[#This Row],[_Row]]))))</f>
        <v/>
      </c>
      <c r="E97" s="128" t="str">
        <f aca="false">IF(IFERROR(INDEX(tsk_Name,GanttView[[#This Row],[_Row]])="",TRUE()),"",INDEX(tsk_PlanStart,GanttView[[#This Row],[_Row]]))</f>
        <v/>
      </c>
      <c r="F97" s="128" t="str">
        <f aca="false">IF(IFERROR(INDEX(tsk_Name,GanttView[[#This Row],[_Row]])="",TRUE()),"",INDEX(tsk_PlanFinish,GanttView[[#This Row],[_Row]]))</f>
        <v/>
      </c>
      <c r="G97" s="128" t="str">
        <f aca="false">IF(IFERROR(INDEX(tsk_Name,GanttView[[#This Row],[_Row]])="",TRUE()),"",INDEX(tsk_FcStart,GanttView[[#This Row],[_Row]]))</f>
        <v/>
      </c>
      <c r="H97" s="128" t="str">
        <f aca="false">IF(IFERROR(INDEX(tsk_Name,GanttView[[#This Row],[_Row]])="",TRUE()),"",INDEX(tsk_FcFinish,GanttView[[#This Row],[_Row]]))</f>
        <v/>
      </c>
      <c r="I97" s="129" t="str">
        <f aca="false">IF(IFERROR(INDEX(tsk_Name,GanttView[[#This Row],[_Row]])="",TRUE()),"",INDEX(tsk_Progress,GanttView[[#This Row],[_Row]]))</f>
        <v/>
      </c>
      <c r="J97" s="127" t="str">
        <f aca="false">IF(IFERROR(INDEX(tsk_Name,GanttView[[#This Row],[_Row]])="",TRUE()),"",INDEX(tsk_ResourceNames,GanttView[[#This Row],[_Row]])&amp;"")</f>
        <v/>
      </c>
      <c r="K97" s="126" t="str">
        <f aca="false">IF(IFERROR(INDEX(tsk_Name,GanttView[[#This Row],[_Row]])="",TRUE()),"",INDEX(tsk_Status,GanttView[[#This Row],[_Row]]))</f>
        <v/>
      </c>
      <c r="L97" s="126" t="str">
        <f aca="false">IF(IFERROR(INDEX(tsk_Name,GanttView[[#This Row],[_Row]])="",TRUE()),"",INDEX(tsk_Show,GanttView[[#This Row],[_Row]])&amp;"")</f>
        <v/>
      </c>
      <c r="M97" s="130" t="n">
        <f aca="false">ROW()-ROW(GanttView[[#Headers],[ID]])</f>
        <v>92</v>
      </c>
      <c r="N97" s="131" t="b">
        <f aca="false">IF(IFERROR(INDEX(tsk_Name,GanttView[[#This Row],[_Row]])="",TRUE()),FALSE(),INDEX(tsk_IsSummary,GanttView[[#This Row],[_Row]]))</f>
        <v>0</v>
      </c>
      <c r="O97" s="131" t="b">
        <f aca="false">IF(IFERROR(INDEX(tsk_Name,GanttView[[#This Row],[_Row]])="",TRUE()),FALSE(),AND(INDEX(tsk_IsLeaf,GanttView[[#This Row],[_Row]])=1,N(INDEX(tsk_Duration,GanttView[[#This Row],[_Row]]))=0))</f>
        <v>0</v>
      </c>
      <c r="P97" s="132" t="n">
        <f aca="false">IF(IFERROR(INDEX(tsk_Name,GanttView[[#This Row],[_Row]])="",TRUE()),0,IF(AND(INDEX(tsk_IsLeaf,GanttView[[#This Row],[_Row]])=1,NOT(GanttView[[#This Row],[_IsMilestone]]),N(GanttView[[#This Row],[%]])&gt;0),GanttView[[#This Row],[Forecast Start]],0))</f>
        <v>0</v>
      </c>
      <c r="Q97" s="132" t="n">
        <f aca="false">IF(GanttView[[#This Row],[_DoneFrom]]=0,0,IF(GanttView[[#This Row],[%]]&gt;=1,GanttView[[#This Row],[Forecast Finish]],MAX(GanttView[[#This Row],[_DoneFrom]],GanttView[[#This Row],[Forecast Start]]+ROUND((GanttView[[#This Row],[Forecast Finish]]-GanttView[[#This Row],[Forecast Start]]+1)*GanttView[[#This Row],[%]],0)-1)))</f>
        <v>0</v>
      </c>
      <c r="R97" s="132" t="n">
        <f aca="false">IF(IFERROR(INDEX(tsk_Name,GanttView[[#This Row],[_Row]])="",TRUE()),0,IF(OR(INDEX(tsk_IsLeaf,GanttView[[#This Row],[_Row]])&lt;&gt;1,GanttView[[#This Row],[_IsMilestone]],N(GanttView[[#This Row],[%]])&gt;=1),0,IF(GanttView[[#This Row],[_DoneTo]]&gt;0,GanttView[[#This Row],[_DoneTo]]+1,GanttView[[#This Row],[Forecast Start]])))</f>
        <v>0</v>
      </c>
      <c r="S97" s="132" t="n">
        <f aca="false">IF(GanttView[[#This Row],[_RemFrom]]=0,0,GanttView[[#This Row],[Forecast Finish]])</f>
        <v>0</v>
      </c>
      <c r="T97" s="131" t="b">
        <f aca="false">IF(IFERROR(INDEX(tsk_Name,GanttView[[#This Row],[_Row]])="",TRUE()),FALSE(),N(INDEX(tsk_Variance,GanttView[[#This Row],[_Row]]))&gt;0)</f>
        <v>0</v>
      </c>
      <c r="U97" s="132" t="n">
        <f aca="false">IF(IFERROR(INDEX(tsk_Name,GanttView[[#This Row],[_Row]])="",TRUE()),0,N(INDEX(tsk_Deadline,GanttView[[#This Row],[_Row]])))</f>
        <v>0</v>
      </c>
      <c r="V97" s="131" t="b">
        <f aca="false">IF(IFERROR(INDEX(tsk_Name,GanttView[[#This Row],[_Row]])="",TRUE()),FALSE(),INDEX(tsk_Critical,GanttView[[#This Row],[_Row]])="Yes")</f>
        <v>0</v>
      </c>
    </row>
    <row r="98" customFormat="false" ht="15" hidden="false" customHeight="false" outlineLevel="0" collapsed="false">
      <c r="A98" s="126" t="str">
        <f aca="false">IF(IFERROR(INDEX(tsk_Name,GanttView[[#This Row],[_Row]])="",TRUE()),"",INDEX(tsk_ID,GanttView[[#This Row],[_Row]]))</f>
        <v/>
      </c>
      <c r="B98" s="126" t="str">
        <f aca="false">IF(IFERROR(INDEX(tsk_Name,GanttView[[#This Row],[_Row]])="",TRUE()),"",INDEX(tsk_WBS,GanttView[[#This Row],[_Row]]))</f>
        <v/>
      </c>
      <c r="C98" s="127" t="str">
        <f aca="false">IF(IFERROR(INDEX(tsk_Name,GanttView[[#This Row],[_Row]])="",TRUE()),"",REPT("    ",INDEX(tsk_Level,GanttView[[#This Row],[_Row]])-1)&amp;INDEX(tsk_Name,GanttView[[#This Row],[_Row]]))</f>
        <v/>
      </c>
      <c r="D98" s="126" t="str">
        <f aca="false">IF(IFERROR(INDEX(tsk_Name,GanttView[[#This Row],[_Row]])="",TRUE()),"",IF(INDEX(tsk_IsSummary,GanttView[[#This Row],[_Row]]),NETWORKDAYS.INTL(INDEX(tsk_FcStart,GanttView[[#This Row],[_Row]]),INDEX(tsk_FcFinish,GanttView[[#This Row],[_Row]]),WorkWeek,Holidays),N(INDEX(tsk_Duration,GanttView[[#This Row],[_Row]]))))</f>
        <v/>
      </c>
      <c r="E98" s="128" t="str">
        <f aca="false">IF(IFERROR(INDEX(tsk_Name,GanttView[[#This Row],[_Row]])="",TRUE()),"",INDEX(tsk_PlanStart,GanttView[[#This Row],[_Row]]))</f>
        <v/>
      </c>
      <c r="F98" s="128" t="str">
        <f aca="false">IF(IFERROR(INDEX(tsk_Name,GanttView[[#This Row],[_Row]])="",TRUE()),"",INDEX(tsk_PlanFinish,GanttView[[#This Row],[_Row]]))</f>
        <v/>
      </c>
      <c r="G98" s="128" t="str">
        <f aca="false">IF(IFERROR(INDEX(tsk_Name,GanttView[[#This Row],[_Row]])="",TRUE()),"",INDEX(tsk_FcStart,GanttView[[#This Row],[_Row]]))</f>
        <v/>
      </c>
      <c r="H98" s="128" t="str">
        <f aca="false">IF(IFERROR(INDEX(tsk_Name,GanttView[[#This Row],[_Row]])="",TRUE()),"",INDEX(tsk_FcFinish,GanttView[[#This Row],[_Row]]))</f>
        <v/>
      </c>
      <c r="I98" s="129" t="str">
        <f aca="false">IF(IFERROR(INDEX(tsk_Name,GanttView[[#This Row],[_Row]])="",TRUE()),"",INDEX(tsk_Progress,GanttView[[#This Row],[_Row]]))</f>
        <v/>
      </c>
      <c r="J98" s="127" t="str">
        <f aca="false">IF(IFERROR(INDEX(tsk_Name,GanttView[[#This Row],[_Row]])="",TRUE()),"",INDEX(tsk_ResourceNames,GanttView[[#This Row],[_Row]])&amp;"")</f>
        <v/>
      </c>
      <c r="K98" s="126" t="str">
        <f aca="false">IF(IFERROR(INDEX(tsk_Name,GanttView[[#This Row],[_Row]])="",TRUE()),"",INDEX(tsk_Status,GanttView[[#This Row],[_Row]]))</f>
        <v/>
      </c>
      <c r="L98" s="126" t="str">
        <f aca="false">IF(IFERROR(INDEX(tsk_Name,GanttView[[#This Row],[_Row]])="",TRUE()),"",INDEX(tsk_Show,GanttView[[#This Row],[_Row]])&amp;"")</f>
        <v/>
      </c>
      <c r="M98" s="130" t="n">
        <f aca="false">ROW()-ROW(GanttView[[#Headers],[ID]])</f>
        <v>93</v>
      </c>
      <c r="N98" s="131" t="b">
        <f aca="false">IF(IFERROR(INDEX(tsk_Name,GanttView[[#This Row],[_Row]])="",TRUE()),FALSE(),INDEX(tsk_IsSummary,GanttView[[#This Row],[_Row]]))</f>
        <v>0</v>
      </c>
      <c r="O98" s="131" t="b">
        <f aca="false">IF(IFERROR(INDEX(tsk_Name,GanttView[[#This Row],[_Row]])="",TRUE()),FALSE(),AND(INDEX(tsk_IsLeaf,GanttView[[#This Row],[_Row]])=1,N(INDEX(tsk_Duration,GanttView[[#This Row],[_Row]]))=0))</f>
        <v>0</v>
      </c>
      <c r="P98" s="132" t="n">
        <f aca="false">IF(IFERROR(INDEX(tsk_Name,GanttView[[#This Row],[_Row]])="",TRUE()),0,IF(AND(INDEX(tsk_IsLeaf,GanttView[[#This Row],[_Row]])=1,NOT(GanttView[[#This Row],[_IsMilestone]]),N(GanttView[[#This Row],[%]])&gt;0),GanttView[[#This Row],[Forecast Start]],0))</f>
        <v>0</v>
      </c>
      <c r="Q98" s="132" t="n">
        <f aca="false">IF(GanttView[[#This Row],[_DoneFrom]]=0,0,IF(GanttView[[#This Row],[%]]&gt;=1,GanttView[[#This Row],[Forecast Finish]],MAX(GanttView[[#This Row],[_DoneFrom]],GanttView[[#This Row],[Forecast Start]]+ROUND((GanttView[[#This Row],[Forecast Finish]]-GanttView[[#This Row],[Forecast Start]]+1)*GanttView[[#This Row],[%]],0)-1)))</f>
        <v>0</v>
      </c>
      <c r="R98" s="132" t="n">
        <f aca="false">IF(IFERROR(INDEX(tsk_Name,GanttView[[#This Row],[_Row]])="",TRUE()),0,IF(OR(INDEX(tsk_IsLeaf,GanttView[[#This Row],[_Row]])&lt;&gt;1,GanttView[[#This Row],[_IsMilestone]],N(GanttView[[#This Row],[%]])&gt;=1),0,IF(GanttView[[#This Row],[_DoneTo]]&gt;0,GanttView[[#This Row],[_DoneTo]]+1,GanttView[[#This Row],[Forecast Start]])))</f>
        <v>0</v>
      </c>
      <c r="S98" s="132" t="n">
        <f aca="false">IF(GanttView[[#This Row],[_RemFrom]]=0,0,GanttView[[#This Row],[Forecast Finish]])</f>
        <v>0</v>
      </c>
      <c r="T98" s="131" t="b">
        <f aca="false">IF(IFERROR(INDEX(tsk_Name,GanttView[[#This Row],[_Row]])="",TRUE()),FALSE(),N(INDEX(tsk_Variance,GanttView[[#This Row],[_Row]]))&gt;0)</f>
        <v>0</v>
      </c>
      <c r="U98" s="132" t="n">
        <f aca="false">IF(IFERROR(INDEX(tsk_Name,GanttView[[#This Row],[_Row]])="",TRUE()),0,N(INDEX(tsk_Deadline,GanttView[[#This Row],[_Row]])))</f>
        <v>0</v>
      </c>
      <c r="V98" s="131" t="b">
        <f aca="false">IF(IFERROR(INDEX(tsk_Name,GanttView[[#This Row],[_Row]])="",TRUE()),FALSE(),INDEX(tsk_Critical,GanttView[[#This Row],[_Row]])="Yes")</f>
        <v>0</v>
      </c>
    </row>
    <row r="99" customFormat="false" ht="15" hidden="false" customHeight="false" outlineLevel="0" collapsed="false">
      <c r="A99" s="126" t="str">
        <f aca="false">IF(IFERROR(INDEX(tsk_Name,GanttView[[#This Row],[_Row]])="",TRUE()),"",INDEX(tsk_ID,GanttView[[#This Row],[_Row]]))</f>
        <v/>
      </c>
      <c r="B99" s="126" t="str">
        <f aca="false">IF(IFERROR(INDEX(tsk_Name,GanttView[[#This Row],[_Row]])="",TRUE()),"",INDEX(tsk_WBS,GanttView[[#This Row],[_Row]]))</f>
        <v/>
      </c>
      <c r="C99" s="127" t="str">
        <f aca="false">IF(IFERROR(INDEX(tsk_Name,GanttView[[#This Row],[_Row]])="",TRUE()),"",REPT("    ",INDEX(tsk_Level,GanttView[[#This Row],[_Row]])-1)&amp;INDEX(tsk_Name,GanttView[[#This Row],[_Row]]))</f>
        <v/>
      </c>
      <c r="D99" s="126" t="str">
        <f aca="false">IF(IFERROR(INDEX(tsk_Name,GanttView[[#This Row],[_Row]])="",TRUE()),"",IF(INDEX(tsk_IsSummary,GanttView[[#This Row],[_Row]]),NETWORKDAYS.INTL(INDEX(tsk_FcStart,GanttView[[#This Row],[_Row]]),INDEX(tsk_FcFinish,GanttView[[#This Row],[_Row]]),WorkWeek,Holidays),N(INDEX(tsk_Duration,GanttView[[#This Row],[_Row]]))))</f>
        <v/>
      </c>
      <c r="E99" s="128" t="str">
        <f aca="false">IF(IFERROR(INDEX(tsk_Name,GanttView[[#This Row],[_Row]])="",TRUE()),"",INDEX(tsk_PlanStart,GanttView[[#This Row],[_Row]]))</f>
        <v/>
      </c>
      <c r="F99" s="128" t="str">
        <f aca="false">IF(IFERROR(INDEX(tsk_Name,GanttView[[#This Row],[_Row]])="",TRUE()),"",INDEX(tsk_PlanFinish,GanttView[[#This Row],[_Row]]))</f>
        <v/>
      </c>
      <c r="G99" s="128" t="str">
        <f aca="false">IF(IFERROR(INDEX(tsk_Name,GanttView[[#This Row],[_Row]])="",TRUE()),"",INDEX(tsk_FcStart,GanttView[[#This Row],[_Row]]))</f>
        <v/>
      </c>
      <c r="H99" s="128" t="str">
        <f aca="false">IF(IFERROR(INDEX(tsk_Name,GanttView[[#This Row],[_Row]])="",TRUE()),"",INDEX(tsk_FcFinish,GanttView[[#This Row],[_Row]]))</f>
        <v/>
      </c>
      <c r="I99" s="129" t="str">
        <f aca="false">IF(IFERROR(INDEX(tsk_Name,GanttView[[#This Row],[_Row]])="",TRUE()),"",INDEX(tsk_Progress,GanttView[[#This Row],[_Row]]))</f>
        <v/>
      </c>
      <c r="J99" s="127" t="str">
        <f aca="false">IF(IFERROR(INDEX(tsk_Name,GanttView[[#This Row],[_Row]])="",TRUE()),"",INDEX(tsk_ResourceNames,GanttView[[#This Row],[_Row]])&amp;"")</f>
        <v/>
      </c>
      <c r="K99" s="126" t="str">
        <f aca="false">IF(IFERROR(INDEX(tsk_Name,GanttView[[#This Row],[_Row]])="",TRUE()),"",INDEX(tsk_Status,GanttView[[#This Row],[_Row]]))</f>
        <v/>
      </c>
      <c r="L99" s="126" t="str">
        <f aca="false">IF(IFERROR(INDEX(tsk_Name,GanttView[[#This Row],[_Row]])="",TRUE()),"",INDEX(tsk_Show,GanttView[[#This Row],[_Row]])&amp;"")</f>
        <v/>
      </c>
      <c r="M99" s="130" t="n">
        <f aca="false">ROW()-ROW(GanttView[[#Headers],[ID]])</f>
        <v>94</v>
      </c>
      <c r="N99" s="131" t="b">
        <f aca="false">IF(IFERROR(INDEX(tsk_Name,GanttView[[#This Row],[_Row]])="",TRUE()),FALSE(),INDEX(tsk_IsSummary,GanttView[[#This Row],[_Row]]))</f>
        <v>0</v>
      </c>
      <c r="O99" s="131" t="b">
        <f aca="false">IF(IFERROR(INDEX(tsk_Name,GanttView[[#This Row],[_Row]])="",TRUE()),FALSE(),AND(INDEX(tsk_IsLeaf,GanttView[[#This Row],[_Row]])=1,N(INDEX(tsk_Duration,GanttView[[#This Row],[_Row]]))=0))</f>
        <v>0</v>
      </c>
      <c r="P99" s="132" t="n">
        <f aca="false">IF(IFERROR(INDEX(tsk_Name,GanttView[[#This Row],[_Row]])="",TRUE()),0,IF(AND(INDEX(tsk_IsLeaf,GanttView[[#This Row],[_Row]])=1,NOT(GanttView[[#This Row],[_IsMilestone]]),N(GanttView[[#This Row],[%]])&gt;0),GanttView[[#This Row],[Forecast Start]],0))</f>
        <v>0</v>
      </c>
      <c r="Q99" s="132" t="n">
        <f aca="false">IF(GanttView[[#This Row],[_DoneFrom]]=0,0,IF(GanttView[[#This Row],[%]]&gt;=1,GanttView[[#This Row],[Forecast Finish]],MAX(GanttView[[#This Row],[_DoneFrom]],GanttView[[#This Row],[Forecast Start]]+ROUND((GanttView[[#This Row],[Forecast Finish]]-GanttView[[#This Row],[Forecast Start]]+1)*GanttView[[#This Row],[%]],0)-1)))</f>
        <v>0</v>
      </c>
      <c r="R99" s="132" t="n">
        <f aca="false">IF(IFERROR(INDEX(tsk_Name,GanttView[[#This Row],[_Row]])="",TRUE()),0,IF(OR(INDEX(tsk_IsLeaf,GanttView[[#This Row],[_Row]])&lt;&gt;1,GanttView[[#This Row],[_IsMilestone]],N(GanttView[[#This Row],[%]])&gt;=1),0,IF(GanttView[[#This Row],[_DoneTo]]&gt;0,GanttView[[#This Row],[_DoneTo]]+1,GanttView[[#This Row],[Forecast Start]])))</f>
        <v>0</v>
      </c>
      <c r="S99" s="132" t="n">
        <f aca="false">IF(GanttView[[#This Row],[_RemFrom]]=0,0,GanttView[[#This Row],[Forecast Finish]])</f>
        <v>0</v>
      </c>
      <c r="T99" s="131" t="b">
        <f aca="false">IF(IFERROR(INDEX(tsk_Name,GanttView[[#This Row],[_Row]])="",TRUE()),FALSE(),N(INDEX(tsk_Variance,GanttView[[#This Row],[_Row]]))&gt;0)</f>
        <v>0</v>
      </c>
      <c r="U99" s="132" t="n">
        <f aca="false">IF(IFERROR(INDEX(tsk_Name,GanttView[[#This Row],[_Row]])="",TRUE()),0,N(INDEX(tsk_Deadline,GanttView[[#This Row],[_Row]])))</f>
        <v>0</v>
      </c>
      <c r="V99" s="131" t="b">
        <f aca="false">IF(IFERROR(INDEX(tsk_Name,GanttView[[#This Row],[_Row]])="",TRUE()),FALSE(),INDEX(tsk_Critical,GanttView[[#This Row],[_Row]])="Yes")</f>
        <v>0</v>
      </c>
    </row>
    <row r="100" customFormat="false" ht="15" hidden="false" customHeight="false" outlineLevel="0" collapsed="false">
      <c r="A100" s="126" t="str">
        <f aca="false">IF(IFERROR(INDEX(tsk_Name,GanttView[[#This Row],[_Row]])="",TRUE()),"",INDEX(tsk_ID,GanttView[[#This Row],[_Row]]))</f>
        <v/>
      </c>
      <c r="B100" s="126" t="str">
        <f aca="false">IF(IFERROR(INDEX(tsk_Name,GanttView[[#This Row],[_Row]])="",TRUE()),"",INDEX(tsk_WBS,GanttView[[#This Row],[_Row]]))</f>
        <v/>
      </c>
      <c r="C100" s="127" t="str">
        <f aca="false">IF(IFERROR(INDEX(tsk_Name,GanttView[[#This Row],[_Row]])="",TRUE()),"",REPT("    ",INDEX(tsk_Level,GanttView[[#This Row],[_Row]])-1)&amp;INDEX(tsk_Name,GanttView[[#This Row],[_Row]]))</f>
        <v/>
      </c>
      <c r="D100" s="126" t="str">
        <f aca="false">IF(IFERROR(INDEX(tsk_Name,GanttView[[#This Row],[_Row]])="",TRUE()),"",IF(INDEX(tsk_IsSummary,GanttView[[#This Row],[_Row]]),NETWORKDAYS.INTL(INDEX(tsk_FcStart,GanttView[[#This Row],[_Row]]),INDEX(tsk_FcFinish,GanttView[[#This Row],[_Row]]),WorkWeek,Holidays),N(INDEX(tsk_Duration,GanttView[[#This Row],[_Row]]))))</f>
        <v/>
      </c>
      <c r="E100" s="128" t="str">
        <f aca="false">IF(IFERROR(INDEX(tsk_Name,GanttView[[#This Row],[_Row]])="",TRUE()),"",INDEX(tsk_PlanStart,GanttView[[#This Row],[_Row]]))</f>
        <v/>
      </c>
      <c r="F100" s="128" t="str">
        <f aca="false">IF(IFERROR(INDEX(tsk_Name,GanttView[[#This Row],[_Row]])="",TRUE()),"",INDEX(tsk_PlanFinish,GanttView[[#This Row],[_Row]]))</f>
        <v/>
      </c>
      <c r="G100" s="128" t="str">
        <f aca="false">IF(IFERROR(INDEX(tsk_Name,GanttView[[#This Row],[_Row]])="",TRUE()),"",INDEX(tsk_FcStart,GanttView[[#This Row],[_Row]]))</f>
        <v/>
      </c>
      <c r="H100" s="128" t="str">
        <f aca="false">IF(IFERROR(INDEX(tsk_Name,GanttView[[#This Row],[_Row]])="",TRUE()),"",INDEX(tsk_FcFinish,GanttView[[#This Row],[_Row]]))</f>
        <v/>
      </c>
      <c r="I100" s="129" t="str">
        <f aca="false">IF(IFERROR(INDEX(tsk_Name,GanttView[[#This Row],[_Row]])="",TRUE()),"",INDEX(tsk_Progress,GanttView[[#This Row],[_Row]]))</f>
        <v/>
      </c>
      <c r="J100" s="127" t="str">
        <f aca="false">IF(IFERROR(INDEX(tsk_Name,GanttView[[#This Row],[_Row]])="",TRUE()),"",INDEX(tsk_ResourceNames,GanttView[[#This Row],[_Row]])&amp;"")</f>
        <v/>
      </c>
      <c r="K100" s="126" t="str">
        <f aca="false">IF(IFERROR(INDEX(tsk_Name,GanttView[[#This Row],[_Row]])="",TRUE()),"",INDEX(tsk_Status,GanttView[[#This Row],[_Row]]))</f>
        <v/>
      </c>
      <c r="L100" s="126" t="str">
        <f aca="false">IF(IFERROR(INDEX(tsk_Name,GanttView[[#This Row],[_Row]])="",TRUE()),"",INDEX(tsk_Show,GanttView[[#This Row],[_Row]])&amp;"")</f>
        <v/>
      </c>
      <c r="M100" s="130" t="n">
        <f aca="false">ROW()-ROW(GanttView[[#Headers],[ID]])</f>
        <v>95</v>
      </c>
      <c r="N100" s="131" t="b">
        <f aca="false">IF(IFERROR(INDEX(tsk_Name,GanttView[[#This Row],[_Row]])="",TRUE()),FALSE(),INDEX(tsk_IsSummary,GanttView[[#This Row],[_Row]]))</f>
        <v>0</v>
      </c>
      <c r="O100" s="131" t="b">
        <f aca="false">IF(IFERROR(INDEX(tsk_Name,GanttView[[#This Row],[_Row]])="",TRUE()),FALSE(),AND(INDEX(tsk_IsLeaf,GanttView[[#This Row],[_Row]])=1,N(INDEX(tsk_Duration,GanttView[[#This Row],[_Row]]))=0))</f>
        <v>0</v>
      </c>
      <c r="P100" s="132" t="n">
        <f aca="false">IF(IFERROR(INDEX(tsk_Name,GanttView[[#This Row],[_Row]])="",TRUE()),0,IF(AND(INDEX(tsk_IsLeaf,GanttView[[#This Row],[_Row]])=1,NOT(GanttView[[#This Row],[_IsMilestone]]),N(GanttView[[#This Row],[%]])&gt;0),GanttView[[#This Row],[Forecast Start]],0))</f>
        <v>0</v>
      </c>
      <c r="Q100" s="132" t="n">
        <f aca="false">IF(GanttView[[#This Row],[_DoneFrom]]=0,0,IF(GanttView[[#This Row],[%]]&gt;=1,GanttView[[#This Row],[Forecast Finish]],MAX(GanttView[[#This Row],[_DoneFrom]],GanttView[[#This Row],[Forecast Start]]+ROUND((GanttView[[#This Row],[Forecast Finish]]-GanttView[[#This Row],[Forecast Start]]+1)*GanttView[[#This Row],[%]],0)-1)))</f>
        <v>0</v>
      </c>
      <c r="R100" s="132" t="n">
        <f aca="false">IF(IFERROR(INDEX(tsk_Name,GanttView[[#This Row],[_Row]])="",TRUE()),0,IF(OR(INDEX(tsk_IsLeaf,GanttView[[#This Row],[_Row]])&lt;&gt;1,GanttView[[#This Row],[_IsMilestone]],N(GanttView[[#This Row],[%]])&gt;=1),0,IF(GanttView[[#This Row],[_DoneTo]]&gt;0,GanttView[[#This Row],[_DoneTo]]+1,GanttView[[#This Row],[Forecast Start]])))</f>
        <v>0</v>
      </c>
      <c r="S100" s="132" t="n">
        <f aca="false">IF(GanttView[[#This Row],[_RemFrom]]=0,0,GanttView[[#This Row],[Forecast Finish]])</f>
        <v>0</v>
      </c>
      <c r="T100" s="131" t="b">
        <f aca="false">IF(IFERROR(INDEX(tsk_Name,GanttView[[#This Row],[_Row]])="",TRUE()),FALSE(),N(INDEX(tsk_Variance,GanttView[[#This Row],[_Row]]))&gt;0)</f>
        <v>0</v>
      </c>
      <c r="U100" s="132" t="n">
        <f aca="false">IF(IFERROR(INDEX(tsk_Name,GanttView[[#This Row],[_Row]])="",TRUE()),0,N(INDEX(tsk_Deadline,GanttView[[#This Row],[_Row]])))</f>
        <v>0</v>
      </c>
      <c r="V100" s="131" t="b">
        <f aca="false">IF(IFERROR(INDEX(tsk_Name,GanttView[[#This Row],[_Row]])="",TRUE()),FALSE(),INDEX(tsk_Critical,GanttView[[#This Row],[_Row]])="Yes")</f>
        <v>0</v>
      </c>
    </row>
    <row r="101" customFormat="false" ht="15" hidden="false" customHeight="false" outlineLevel="0" collapsed="false">
      <c r="A101" s="126" t="str">
        <f aca="false">IF(IFERROR(INDEX(tsk_Name,GanttView[[#This Row],[_Row]])="",TRUE()),"",INDEX(tsk_ID,GanttView[[#This Row],[_Row]]))</f>
        <v/>
      </c>
      <c r="B101" s="126" t="str">
        <f aca="false">IF(IFERROR(INDEX(tsk_Name,GanttView[[#This Row],[_Row]])="",TRUE()),"",INDEX(tsk_WBS,GanttView[[#This Row],[_Row]]))</f>
        <v/>
      </c>
      <c r="C101" s="127" t="str">
        <f aca="false">IF(IFERROR(INDEX(tsk_Name,GanttView[[#This Row],[_Row]])="",TRUE()),"",REPT("    ",INDEX(tsk_Level,GanttView[[#This Row],[_Row]])-1)&amp;INDEX(tsk_Name,GanttView[[#This Row],[_Row]]))</f>
        <v/>
      </c>
      <c r="D101" s="126" t="str">
        <f aca="false">IF(IFERROR(INDEX(tsk_Name,GanttView[[#This Row],[_Row]])="",TRUE()),"",IF(INDEX(tsk_IsSummary,GanttView[[#This Row],[_Row]]),NETWORKDAYS.INTL(INDEX(tsk_FcStart,GanttView[[#This Row],[_Row]]),INDEX(tsk_FcFinish,GanttView[[#This Row],[_Row]]),WorkWeek,Holidays),N(INDEX(tsk_Duration,GanttView[[#This Row],[_Row]]))))</f>
        <v/>
      </c>
      <c r="E101" s="128" t="str">
        <f aca="false">IF(IFERROR(INDEX(tsk_Name,GanttView[[#This Row],[_Row]])="",TRUE()),"",INDEX(tsk_PlanStart,GanttView[[#This Row],[_Row]]))</f>
        <v/>
      </c>
      <c r="F101" s="128" t="str">
        <f aca="false">IF(IFERROR(INDEX(tsk_Name,GanttView[[#This Row],[_Row]])="",TRUE()),"",INDEX(tsk_PlanFinish,GanttView[[#This Row],[_Row]]))</f>
        <v/>
      </c>
      <c r="G101" s="128" t="str">
        <f aca="false">IF(IFERROR(INDEX(tsk_Name,GanttView[[#This Row],[_Row]])="",TRUE()),"",INDEX(tsk_FcStart,GanttView[[#This Row],[_Row]]))</f>
        <v/>
      </c>
      <c r="H101" s="128" t="str">
        <f aca="false">IF(IFERROR(INDEX(tsk_Name,GanttView[[#This Row],[_Row]])="",TRUE()),"",INDEX(tsk_FcFinish,GanttView[[#This Row],[_Row]]))</f>
        <v/>
      </c>
      <c r="I101" s="129" t="str">
        <f aca="false">IF(IFERROR(INDEX(tsk_Name,GanttView[[#This Row],[_Row]])="",TRUE()),"",INDEX(tsk_Progress,GanttView[[#This Row],[_Row]]))</f>
        <v/>
      </c>
      <c r="J101" s="127" t="str">
        <f aca="false">IF(IFERROR(INDEX(tsk_Name,GanttView[[#This Row],[_Row]])="",TRUE()),"",INDEX(tsk_ResourceNames,GanttView[[#This Row],[_Row]])&amp;"")</f>
        <v/>
      </c>
      <c r="K101" s="126" t="str">
        <f aca="false">IF(IFERROR(INDEX(tsk_Name,GanttView[[#This Row],[_Row]])="",TRUE()),"",INDEX(tsk_Status,GanttView[[#This Row],[_Row]]))</f>
        <v/>
      </c>
      <c r="L101" s="126" t="str">
        <f aca="false">IF(IFERROR(INDEX(tsk_Name,GanttView[[#This Row],[_Row]])="",TRUE()),"",INDEX(tsk_Show,GanttView[[#This Row],[_Row]])&amp;"")</f>
        <v/>
      </c>
      <c r="M101" s="130" t="n">
        <f aca="false">ROW()-ROW(GanttView[[#Headers],[ID]])</f>
        <v>96</v>
      </c>
      <c r="N101" s="131" t="b">
        <f aca="false">IF(IFERROR(INDEX(tsk_Name,GanttView[[#This Row],[_Row]])="",TRUE()),FALSE(),INDEX(tsk_IsSummary,GanttView[[#This Row],[_Row]]))</f>
        <v>0</v>
      </c>
      <c r="O101" s="131" t="b">
        <f aca="false">IF(IFERROR(INDEX(tsk_Name,GanttView[[#This Row],[_Row]])="",TRUE()),FALSE(),AND(INDEX(tsk_IsLeaf,GanttView[[#This Row],[_Row]])=1,N(INDEX(tsk_Duration,GanttView[[#This Row],[_Row]]))=0))</f>
        <v>0</v>
      </c>
      <c r="P101" s="132" t="n">
        <f aca="false">IF(IFERROR(INDEX(tsk_Name,GanttView[[#This Row],[_Row]])="",TRUE()),0,IF(AND(INDEX(tsk_IsLeaf,GanttView[[#This Row],[_Row]])=1,NOT(GanttView[[#This Row],[_IsMilestone]]),N(GanttView[[#This Row],[%]])&gt;0),GanttView[[#This Row],[Forecast Start]],0))</f>
        <v>0</v>
      </c>
      <c r="Q101" s="132" t="n">
        <f aca="false">IF(GanttView[[#This Row],[_DoneFrom]]=0,0,IF(GanttView[[#This Row],[%]]&gt;=1,GanttView[[#This Row],[Forecast Finish]],MAX(GanttView[[#This Row],[_DoneFrom]],GanttView[[#This Row],[Forecast Start]]+ROUND((GanttView[[#This Row],[Forecast Finish]]-GanttView[[#This Row],[Forecast Start]]+1)*GanttView[[#This Row],[%]],0)-1)))</f>
        <v>0</v>
      </c>
      <c r="R101" s="132" t="n">
        <f aca="false">IF(IFERROR(INDEX(tsk_Name,GanttView[[#This Row],[_Row]])="",TRUE()),0,IF(OR(INDEX(tsk_IsLeaf,GanttView[[#This Row],[_Row]])&lt;&gt;1,GanttView[[#This Row],[_IsMilestone]],N(GanttView[[#This Row],[%]])&gt;=1),0,IF(GanttView[[#This Row],[_DoneTo]]&gt;0,GanttView[[#This Row],[_DoneTo]]+1,GanttView[[#This Row],[Forecast Start]])))</f>
        <v>0</v>
      </c>
      <c r="S101" s="132" t="n">
        <f aca="false">IF(GanttView[[#This Row],[_RemFrom]]=0,0,GanttView[[#This Row],[Forecast Finish]])</f>
        <v>0</v>
      </c>
      <c r="T101" s="131" t="b">
        <f aca="false">IF(IFERROR(INDEX(tsk_Name,GanttView[[#This Row],[_Row]])="",TRUE()),FALSE(),N(INDEX(tsk_Variance,GanttView[[#This Row],[_Row]]))&gt;0)</f>
        <v>0</v>
      </c>
      <c r="U101" s="132" t="n">
        <f aca="false">IF(IFERROR(INDEX(tsk_Name,GanttView[[#This Row],[_Row]])="",TRUE()),0,N(INDEX(tsk_Deadline,GanttView[[#This Row],[_Row]])))</f>
        <v>0</v>
      </c>
      <c r="V101" s="131" t="b">
        <f aca="false">IF(IFERROR(INDEX(tsk_Name,GanttView[[#This Row],[_Row]])="",TRUE()),FALSE(),INDEX(tsk_Critical,GanttView[[#This Row],[_Row]])="Yes")</f>
        <v>0</v>
      </c>
    </row>
    <row r="102" customFormat="false" ht="15" hidden="false" customHeight="false" outlineLevel="0" collapsed="false">
      <c r="A102" s="126" t="str">
        <f aca="false">IF(IFERROR(INDEX(tsk_Name,GanttView[[#This Row],[_Row]])="",TRUE()),"",INDEX(tsk_ID,GanttView[[#This Row],[_Row]]))</f>
        <v/>
      </c>
      <c r="B102" s="126" t="str">
        <f aca="false">IF(IFERROR(INDEX(tsk_Name,GanttView[[#This Row],[_Row]])="",TRUE()),"",INDEX(tsk_WBS,GanttView[[#This Row],[_Row]]))</f>
        <v/>
      </c>
      <c r="C102" s="127" t="str">
        <f aca="false">IF(IFERROR(INDEX(tsk_Name,GanttView[[#This Row],[_Row]])="",TRUE()),"",REPT("    ",INDEX(tsk_Level,GanttView[[#This Row],[_Row]])-1)&amp;INDEX(tsk_Name,GanttView[[#This Row],[_Row]]))</f>
        <v/>
      </c>
      <c r="D102" s="126" t="str">
        <f aca="false">IF(IFERROR(INDEX(tsk_Name,GanttView[[#This Row],[_Row]])="",TRUE()),"",IF(INDEX(tsk_IsSummary,GanttView[[#This Row],[_Row]]),NETWORKDAYS.INTL(INDEX(tsk_FcStart,GanttView[[#This Row],[_Row]]),INDEX(tsk_FcFinish,GanttView[[#This Row],[_Row]]),WorkWeek,Holidays),N(INDEX(tsk_Duration,GanttView[[#This Row],[_Row]]))))</f>
        <v/>
      </c>
      <c r="E102" s="128" t="str">
        <f aca="false">IF(IFERROR(INDEX(tsk_Name,GanttView[[#This Row],[_Row]])="",TRUE()),"",INDEX(tsk_PlanStart,GanttView[[#This Row],[_Row]]))</f>
        <v/>
      </c>
      <c r="F102" s="128" t="str">
        <f aca="false">IF(IFERROR(INDEX(tsk_Name,GanttView[[#This Row],[_Row]])="",TRUE()),"",INDEX(tsk_PlanFinish,GanttView[[#This Row],[_Row]]))</f>
        <v/>
      </c>
      <c r="G102" s="128" t="str">
        <f aca="false">IF(IFERROR(INDEX(tsk_Name,GanttView[[#This Row],[_Row]])="",TRUE()),"",INDEX(tsk_FcStart,GanttView[[#This Row],[_Row]]))</f>
        <v/>
      </c>
      <c r="H102" s="128" t="str">
        <f aca="false">IF(IFERROR(INDEX(tsk_Name,GanttView[[#This Row],[_Row]])="",TRUE()),"",INDEX(tsk_FcFinish,GanttView[[#This Row],[_Row]]))</f>
        <v/>
      </c>
      <c r="I102" s="129" t="str">
        <f aca="false">IF(IFERROR(INDEX(tsk_Name,GanttView[[#This Row],[_Row]])="",TRUE()),"",INDEX(tsk_Progress,GanttView[[#This Row],[_Row]]))</f>
        <v/>
      </c>
      <c r="J102" s="127" t="str">
        <f aca="false">IF(IFERROR(INDEX(tsk_Name,GanttView[[#This Row],[_Row]])="",TRUE()),"",INDEX(tsk_ResourceNames,GanttView[[#This Row],[_Row]])&amp;"")</f>
        <v/>
      </c>
      <c r="K102" s="126" t="str">
        <f aca="false">IF(IFERROR(INDEX(tsk_Name,GanttView[[#This Row],[_Row]])="",TRUE()),"",INDEX(tsk_Status,GanttView[[#This Row],[_Row]]))</f>
        <v/>
      </c>
      <c r="L102" s="126" t="str">
        <f aca="false">IF(IFERROR(INDEX(tsk_Name,GanttView[[#This Row],[_Row]])="",TRUE()),"",INDEX(tsk_Show,GanttView[[#This Row],[_Row]])&amp;"")</f>
        <v/>
      </c>
      <c r="M102" s="130" t="n">
        <f aca="false">ROW()-ROW(GanttView[[#Headers],[ID]])</f>
        <v>97</v>
      </c>
      <c r="N102" s="131" t="b">
        <f aca="false">IF(IFERROR(INDEX(tsk_Name,GanttView[[#This Row],[_Row]])="",TRUE()),FALSE(),INDEX(tsk_IsSummary,GanttView[[#This Row],[_Row]]))</f>
        <v>0</v>
      </c>
      <c r="O102" s="131" t="b">
        <f aca="false">IF(IFERROR(INDEX(tsk_Name,GanttView[[#This Row],[_Row]])="",TRUE()),FALSE(),AND(INDEX(tsk_IsLeaf,GanttView[[#This Row],[_Row]])=1,N(INDEX(tsk_Duration,GanttView[[#This Row],[_Row]]))=0))</f>
        <v>0</v>
      </c>
      <c r="P102" s="132" t="n">
        <f aca="false">IF(IFERROR(INDEX(tsk_Name,GanttView[[#This Row],[_Row]])="",TRUE()),0,IF(AND(INDEX(tsk_IsLeaf,GanttView[[#This Row],[_Row]])=1,NOT(GanttView[[#This Row],[_IsMilestone]]),N(GanttView[[#This Row],[%]])&gt;0),GanttView[[#This Row],[Forecast Start]],0))</f>
        <v>0</v>
      </c>
      <c r="Q102" s="132" t="n">
        <f aca="false">IF(GanttView[[#This Row],[_DoneFrom]]=0,0,IF(GanttView[[#This Row],[%]]&gt;=1,GanttView[[#This Row],[Forecast Finish]],MAX(GanttView[[#This Row],[_DoneFrom]],GanttView[[#This Row],[Forecast Start]]+ROUND((GanttView[[#This Row],[Forecast Finish]]-GanttView[[#This Row],[Forecast Start]]+1)*GanttView[[#This Row],[%]],0)-1)))</f>
        <v>0</v>
      </c>
      <c r="R102" s="132" t="n">
        <f aca="false">IF(IFERROR(INDEX(tsk_Name,GanttView[[#This Row],[_Row]])="",TRUE()),0,IF(OR(INDEX(tsk_IsLeaf,GanttView[[#This Row],[_Row]])&lt;&gt;1,GanttView[[#This Row],[_IsMilestone]],N(GanttView[[#This Row],[%]])&gt;=1),0,IF(GanttView[[#This Row],[_DoneTo]]&gt;0,GanttView[[#This Row],[_DoneTo]]+1,GanttView[[#This Row],[Forecast Start]])))</f>
        <v>0</v>
      </c>
      <c r="S102" s="132" t="n">
        <f aca="false">IF(GanttView[[#This Row],[_RemFrom]]=0,0,GanttView[[#This Row],[Forecast Finish]])</f>
        <v>0</v>
      </c>
      <c r="T102" s="131" t="b">
        <f aca="false">IF(IFERROR(INDEX(tsk_Name,GanttView[[#This Row],[_Row]])="",TRUE()),FALSE(),N(INDEX(tsk_Variance,GanttView[[#This Row],[_Row]]))&gt;0)</f>
        <v>0</v>
      </c>
      <c r="U102" s="132" t="n">
        <f aca="false">IF(IFERROR(INDEX(tsk_Name,GanttView[[#This Row],[_Row]])="",TRUE()),0,N(INDEX(tsk_Deadline,GanttView[[#This Row],[_Row]])))</f>
        <v>0</v>
      </c>
      <c r="V102" s="131" t="b">
        <f aca="false">IF(IFERROR(INDEX(tsk_Name,GanttView[[#This Row],[_Row]])="",TRUE()),FALSE(),INDEX(tsk_Critical,GanttView[[#This Row],[_Row]])="Yes")</f>
        <v>0</v>
      </c>
    </row>
    <row r="103" customFormat="false" ht="15" hidden="false" customHeight="false" outlineLevel="0" collapsed="false">
      <c r="A103" s="126" t="str">
        <f aca="false">IF(IFERROR(INDEX(tsk_Name,GanttView[[#This Row],[_Row]])="",TRUE()),"",INDEX(tsk_ID,GanttView[[#This Row],[_Row]]))</f>
        <v/>
      </c>
      <c r="B103" s="126" t="str">
        <f aca="false">IF(IFERROR(INDEX(tsk_Name,GanttView[[#This Row],[_Row]])="",TRUE()),"",INDEX(tsk_WBS,GanttView[[#This Row],[_Row]]))</f>
        <v/>
      </c>
      <c r="C103" s="127" t="str">
        <f aca="false">IF(IFERROR(INDEX(tsk_Name,GanttView[[#This Row],[_Row]])="",TRUE()),"",REPT("    ",INDEX(tsk_Level,GanttView[[#This Row],[_Row]])-1)&amp;INDEX(tsk_Name,GanttView[[#This Row],[_Row]]))</f>
        <v/>
      </c>
      <c r="D103" s="126" t="str">
        <f aca="false">IF(IFERROR(INDEX(tsk_Name,GanttView[[#This Row],[_Row]])="",TRUE()),"",IF(INDEX(tsk_IsSummary,GanttView[[#This Row],[_Row]]),NETWORKDAYS.INTL(INDEX(tsk_FcStart,GanttView[[#This Row],[_Row]]),INDEX(tsk_FcFinish,GanttView[[#This Row],[_Row]]),WorkWeek,Holidays),N(INDEX(tsk_Duration,GanttView[[#This Row],[_Row]]))))</f>
        <v/>
      </c>
      <c r="E103" s="128" t="str">
        <f aca="false">IF(IFERROR(INDEX(tsk_Name,GanttView[[#This Row],[_Row]])="",TRUE()),"",INDEX(tsk_PlanStart,GanttView[[#This Row],[_Row]]))</f>
        <v/>
      </c>
      <c r="F103" s="128" t="str">
        <f aca="false">IF(IFERROR(INDEX(tsk_Name,GanttView[[#This Row],[_Row]])="",TRUE()),"",INDEX(tsk_PlanFinish,GanttView[[#This Row],[_Row]]))</f>
        <v/>
      </c>
      <c r="G103" s="128" t="str">
        <f aca="false">IF(IFERROR(INDEX(tsk_Name,GanttView[[#This Row],[_Row]])="",TRUE()),"",INDEX(tsk_FcStart,GanttView[[#This Row],[_Row]]))</f>
        <v/>
      </c>
      <c r="H103" s="128" t="str">
        <f aca="false">IF(IFERROR(INDEX(tsk_Name,GanttView[[#This Row],[_Row]])="",TRUE()),"",INDEX(tsk_FcFinish,GanttView[[#This Row],[_Row]]))</f>
        <v/>
      </c>
      <c r="I103" s="129" t="str">
        <f aca="false">IF(IFERROR(INDEX(tsk_Name,GanttView[[#This Row],[_Row]])="",TRUE()),"",INDEX(tsk_Progress,GanttView[[#This Row],[_Row]]))</f>
        <v/>
      </c>
      <c r="J103" s="127" t="str">
        <f aca="false">IF(IFERROR(INDEX(tsk_Name,GanttView[[#This Row],[_Row]])="",TRUE()),"",INDEX(tsk_ResourceNames,GanttView[[#This Row],[_Row]])&amp;"")</f>
        <v/>
      </c>
      <c r="K103" s="126" t="str">
        <f aca="false">IF(IFERROR(INDEX(tsk_Name,GanttView[[#This Row],[_Row]])="",TRUE()),"",INDEX(tsk_Status,GanttView[[#This Row],[_Row]]))</f>
        <v/>
      </c>
      <c r="L103" s="126" t="str">
        <f aca="false">IF(IFERROR(INDEX(tsk_Name,GanttView[[#This Row],[_Row]])="",TRUE()),"",INDEX(tsk_Show,GanttView[[#This Row],[_Row]])&amp;"")</f>
        <v/>
      </c>
      <c r="M103" s="130" t="n">
        <f aca="false">ROW()-ROW(GanttView[[#Headers],[ID]])</f>
        <v>98</v>
      </c>
      <c r="N103" s="131" t="b">
        <f aca="false">IF(IFERROR(INDEX(tsk_Name,GanttView[[#This Row],[_Row]])="",TRUE()),FALSE(),INDEX(tsk_IsSummary,GanttView[[#This Row],[_Row]]))</f>
        <v>0</v>
      </c>
      <c r="O103" s="131" t="b">
        <f aca="false">IF(IFERROR(INDEX(tsk_Name,GanttView[[#This Row],[_Row]])="",TRUE()),FALSE(),AND(INDEX(tsk_IsLeaf,GanttView[[#This Row],[_Row]])=1,N(INDEX(tsk_Duration,GanttView[[#This Row],[_Row]]))=0))</f>
        <v>0</v>
      </c>
      <c r="P103" s="132" t="n">
        <f aca="false">IF(IFERROR(INDEX(tsk_Name,GanttView[[#This Row],[_Row]])="",TRUE()),0,IF(AND(INDEX(tsk_IsLeaf,GanttView[[#This Row],[_Row]])=1,NOT(GanttView[[#This Row],[_IsMilestone]]),N(GanttView[[#This Row],[%]])&gt;0),GanttView[[#This Row],[Forecast Start]],0))</f>
        <v>0</v>
      </c>
      <c r="Q103" s="132" t="n">
        <f aca="false">IF(GanttView[[#This Row],[_DoneFrom]]=0,0,IF(GanttView[[#This Row],[%]]&gt;=1,GanttView[[#This Row],[Forecast Finish]],MAX(GanttView[[#This Row],[_DoneFrom]],GanttView[[#This Row],[Forecast Start]]+ROUND((GanttView[[#This Row],[Forecast Finish]]-GanttView[[#This Row],[Forecast Start]]+1)*GanttView[[#This Row],[%]],0)-1)))</f>
        <v>0</v>
      </c>
      <c r="R103" s="132" t="n">
        <f aca="false">IF(IFERROR(INDEX(tsk_Name,GanttView[[#This Row],[_Row]])="",TRUE()),0,IF(OR(INDEX(tsk_IsLeaf,GanttView[[#This Row],[_Row]])&lt;&gt;1,GanttView[[#This Row],[_IsMilestone]],N(GanttView[[#This Row],[%]])&gt;=1),0,IF(GanttView[[#This Row],[_DoneTo]]&gt;0,GanttView[[#This Row],[_DoneTo]]+1,GanttView[[#This Row],[Forecast Start]])))</f>
        <v>0</v>
      </c>
      <c r="S103" s="132" t="n">
        <f aca="false">IF(GanttView[[#This Row],[_RemFrom]]=0,0,GanttView[[#This Row],[Forecast Finish]])</f>
        <v>0</v>
      </c>
      <c r="T103" s="131" t="b">
        <f aca="false">IF(IFERROR(INDEX(tsk_Name,GanttView[[#This Row],[_Row]])="",TRUE()),FALSE(),N(INDEX(tsk_Variance,GanttView[[#This Row],[_Row]]))&gt;0)</f>
        <v>0</v>
      </c>
      <c r="U103" s="132" t="n">
        <f aca="false">IF(IFERROR(INDEX(tsk_Name,GanttView[[#This Row],[_Row]])="",TRUE()),0,N(INDEX(tsk_Deadline,GanttView[[#This Row],[_Row]])))</f>
        <v>0</v>
      </c>
      <c r="V103" s="131" t="b">
        <f aca="false">IF(IFERROR(INDEX(tsk_Name,GanttView[[#This Row],[_Row]])="",TRUE()),FALSE(),INDEX(tsk_Critical,GanttView[[#This Row],[_Row]])="Yes")</f>
        <v>0</v>
      </c>
    </row>
    <row r="104" customFormat="false" ht="15" hidden="false" customHeight="false" outlineLevel="0" collapsed="false">
      <c r="A104" s="126" t="str">
        <f aca="false">IF(IFERROR(INDEX(tsk_Name,GanttView[[#This Row],[_Row]])="",TRUE()),"",INDEX(tsk_ID,GanttView[[#This Row],[_Row]]))</f>
        <v/>
      </c>
      <c r="B104" s="126" t="str">
        <f aca="false">IF(IFERROR(INDEX(tsk_Name,GanttView[[#This Row],[_Row]])="",TRUE()),"",INDEX(tsk_WBS,GanttView[[#This Row],[_Row]]))</f>
        <v/>
      </c>
      <c r="C104" s="127" t="str">
        <f aca="false">IF(IFERROR(INDEX(tsk_Name,GanttView[[#This Row],[_Row]])="",TRUE()),"",REPT("    ",INDEX(tsk_Level,GanttView[[#This Row],[_Row]])-1)&amp;INDEX(tsk_Name,GanttView[[#This Row],[_Row]]))</f>
        <v/>
      </c>
      <c r="D104" s="126" t="str">
        <f aca="false">IF(IFERROR(INDEX(tsk_Name,GanttView[[#This Row],[_Row]])="",TRUE()),"",IF(INDEX(tsk_IsSummary,GanttView[[#This Row],[_Row]]),NETWORKDAYS.INTL(INDEX(tsk_FcStart,GanttView[[#This Row],[_Row]]),INDEX(tsk_FcFinish,GanttView[[#This Row],[_Row]]),WorkWeek,Holidays),N(INDEX(tsk_Duration,GanttView[[#This Row],[_Row]]))))</f>
        <v/>
      </c>
      <c r="E104" s="128" t="str">
        <f aca="false">IF(IFERROR(INDEX(tsk_Name,GanttView[[#This Row],[_Row]])="",TRUE()),"",INDEX(tsk_PlanStart,GanttView[[#This Row],[_Row]]))</f>
        <v/>
      </c>
      <c r="F104" s="128" t="str">
        <f aca="false">IF(IFERROR(INDEX(tsk_Name,GanttView[[#This Row],[_Row]])="",TRUE()),"",INDEX(tsk_PlanFinish,GanttView[[#This Row],[_Row]]))</f>
        <v/>
      </c>
      <c r="G104" s="128" t="str">
        <f aca="false">IF(IFERROR(INDEX(tsk_Name,GanttView[[#This Row],[_Row]])="",TRUE()),"",INDEX(tsk_FcStart,GanttView[[#This Row],[_Row]]))</f>
        <v/>
      </c>
      <c r="H104" s="128" t="str">
        <f aca="false">IF(IFERROR(INDEX(tsk_Name,GanttView[[#This Row],[_Row]])="",TRUE()),"",INDEX(tsk_FcFinish,GanttView[[#This Row],[_Row]]))</f>
        <v/>
      </c>
      <c r="I104" s="129" t="str">
        <f aca="false">IF(IFERROR(INDEX(tsk_Name,GanttView[[#This Row],[_Row]])="",TRUE()),"",INDEX(tsk_Progress,GanttView[[#This Row],[_Row]]))</f>
        <v/>
      </c>
      <c r="J104" s="127" t="str">
        <f aca="false">IF(IFERROR(INDEX(tsk_Name,GanttView[[#This Row],[_Row]])="",TRUE()),"",INDEX(tsk_ResourceNames,GanttView[[#This Row],[_Row]])&amp;"")</f>
        <v/>
      </c>
      <c r="K104" s="126" t="str">
        <f aca="false">IF(IFERROR(INDEX(tsk_Name,GanttView[[#This Row],[_Row]])="",TRUE()),"",INDEX(tsk_Status,GanttView[[#This Row],[_Row]]))</f>
        <v/>
      </c>
      <c r="L104" s="126" t="str">
        <f aca="false">IF(IFERROR(INDEX(tsk_Name,GanttView[[#This Row],[_Row]])="",TRUE()),"",INDEX(tsk_Show,GanttView[[#This Row],[_Row]])&amp;"")</f>
        <v/>
      </c>
      <c r="M104" s="130" t="n">
        <f aca="false">ROW()-ROW(GanttView[[#Headers],[ID]])</f>
        <v>99</v>
      </c>
      <c r="N104" s="131" t="b">
        <f aca="false">IF(IFERROR(INDEX(tsk_Name,GanttView[[#This Row],[_Row]])="",TRUE()),FALSE(),INDEX(tsk_IsSummary,GanttView[[#This Row],[_Row]]))</f>
        <v>0</v>
      </c>
      <c r="O104" s="131" t="b">
        <f aca="false">IF(IFERROR(INDEX(tsk_Name,GanttView[[#This Row],[_Row]])="",TRUE()),FALSE(),AND(INDEX(tsk_IsLeaf,GanttView[[#This Row],[_Row]])=1,N(INDEX(tsk_Duration,GanttView[[#This Row],[_Row]]))=0))</f>
        <v>0</v>
      </c>
      <c r="P104" s="132" t="n">
        <f aca="false">IF(IFERROR(INDEX(tsk_Name,GanttView[[#This Row],[_Row]])="",TRUE()),0,IF(AND(INDEX(tsk_IsLeaf,GanttView[[#This Row],[_Row]])=1,NOT(GanttView[[#This Row],[_IsMilestone]]),N(GanttView[[#This Row],[%]])&gt;0),GanttView[[#This Row],[Forecast Start]],0))</f>
        <v>0</v>
      </c>
      <c r="Q104" s="132" t="n">
        <f aca="false">IF(GanttView[[#This Row],[_DoneFrom]]=0,0,IF(GanttView[[#This Row],[%]]&gt;=1,GanttView[[#This Row],[Forecast Finish]],MAX(GanttView[[#This Row],[_DoneFrom]],GanttView[[#This Row],[Forecast Start]]+ROUND((GanttView[[#This Row],[Forecast Finish]]-GanttView[[#This Row],[Forecast Start]]+1)*GanttView[[#This Row],[%]],0)-1)))</f>
        <v>0</v>
      </c>
      <c r="R104" s="132" t="n">
        <f aca="false">IF(IFERROR(INDEX(tsk_Name,GanttView[[#This Row],[_Row]])="",TRUE()),0,IF(OR(INDEX(tsk_IsLeaf,GanttView[[#This Row],[_Row]])&lt;&gt;1,GanttView[[#This Row],[_IsMilestone]],N(GanttView[[#This Row],[%]])&gt;=1),0,IF(GanttView[[#This Row],[_DoneTo]]&gt;0,GanttView[[#This Row],[_DoneTo]]+1,GanttView[[#This Row],[Forecast Start]])))</f>
        <v>0</v>
      </c>
      <c r="S104" s="132" t="n">
        <f aca="false">IF(GanttView[[#This Row],[_RemFrom]]=0,0,GanttView[[#This Row],[Forecast Finish]])</f>
        <v>0</v>
      </c>
      <c r="T104" s="131" t="b">
        <f aca="false">IF(IFERROR(INDEX(tsk_Name,GanttView[[#This Row],[_Row]])="",TRUE()),FALSE(),N(INDEX(tsk_Variance,GanttView[[#This Row],[_Row]]))&gt;0)</f>
        <v>0</v>
      </c>
      <c r="U104" s="132" t="n">
        <f aca="false">IF(IFERROR(INDEX(tsk_Name,GanttView[[#This Row],[_Row]])="",TRUE()),0,N(INDEX(tsk_Deadline,GanttView[[#This Row],[_Row]])))</f>
        <v>0</v>
      </c>
      <c r="V104" s="131" t="b">
        <f aca="false">IF(IFERROR(INDEX(tsk_Name,GanttView[[#This Row],[_Row]])="",TRUE()),FALSE(),INDEX(tsk_Critical,GanttView[[#This Row],[_Row]])="Yes")</f>
        <v>0</v>
      </c>
    </row>
    <row r="105" customFormat="false" ht="15" hidden="false" customHeight="false" outlineLevel="0" collapsed="false">
      <c r="A105" s="126" t="str">
        <f aca="false">IF(IFERROR(INDEX(tsk_Name,GanttView[[#This Row],[_Row]])="",TRUE()),"",INDEX(tsk_ID,GanttView[[#This Row],[_Row]]))</f>
        <v/>
      </c>
      <c r="B105" s="126" t="str">
        <f aca="false">IF(IFERROR(INDEX(tsk_Name,GanttView[[#This Row],[_Row]])="",TRUE()),"",INDEX(tsk_WBS,GanttView[[#This Row],[_Row]]))</f>
        <v/>
      </c>
      <c r="C105" s="127" t="str">
        <f aca="false">IF(IFERROR(INDEX(tsk_Name,GanttView[[#This Row],[_Row]])="",TRUE()),"",REPT("    ",INDEX(tsk_Level,GanttView[[#This Row],[_Row]])-1)&amp;INDEX(tsk_Name,GanttView[[#This Row],[_Row]]))</f>
        <v/>
      </c>
      <c r="D105" s="126" t="str">
        <f aca="false">IF(IFERROR(INDEX(tsk_Name,GanttView[[#This Row],[_Row]])="",TRUE()),"",IF(INDEX(tsk_IsSummary,GanttView[[#This Row],[_Row]]),NETWORKDAYS.INTL(INDEX(tsk_FcStart,GanttView[[#This Row],[_Row]]),INDEX(tsk_FcFinish,GanttView[[#This Row],[_Row]]),WorkWeek,Holidays),N(INDEX(tsk_Duration,GanttView[[#This Row],[_Row]]))))</f>
        <v/>
      </c>
      <c r="E105" s="128" t="str">
        <f aca="false">IF(IFERROR(INDEX(tsk_Name,GanttView[[#This Row],[_Row]])="",TRUE()),"",INDEX(tsk_PlanStart,GanttView[[#This Row],[_Row]]))</f>
        <v/>
      </c>
      <c r="F105" s="128" t="str">
        <f aca="false">IF(IFERROR(INDEX(tsk_Name,GanttView[[#This Row],[_Row]])="",TRUE()),"",INDEX(tsk_PlanFinish,GanttView[[#This Row],[_Row]]))</f>
        <v/>
      </c>
      <c r="G105" s="128" t="str">
        <f aca="false">IF(IFERROR(INDEX(tsk_Name,GanttView[[#This Row],[_Row]])="",TRUE()),"",INDEX(tsk_FcStart,GanttView[[#This Row],[_Row]]))</f>
        <v/>
      </c>
      <c r="H105" s="128" t="str">
        <f aca="false">IF(IFERROR(INDEX(tsk_Name,GanttView[[#This Row],[_Row]])="",TRUE()),"",INDEX(tsk_FcFinish,GanttView[[#This Row],[_Row]]))</f>
        <v/>
      </c>
      <c r="I105" s="129" t="str">
        <f aca="false">IF(IFERROR(INDEX(tsk_Name,GanttView[[#This Row],[_Row]])="",TRUE()),"",INDEX(tsk_Progress,GanttView[[#This Row],[_Row]]))</f>
        <v/>
      </c>
      <c r="J105" s="127" t="str">
        <f aca="false">IF(IFERROR(INDEX(tsk_Name,GanttView[[#This Row],[_Row]])="",TRUE()),"",INDEX(tsk_ResourceNames,GanttView[[#This Row],[_Row]])&amp;"")</f>
        <v/>
      </c>
      <c r="K105" s="126" t="str">
        <f aca="false">IF(IFERROR(INDEX(tsk_Name,GanttView[[#This Row],[_Row]])="",TRUE()),"",INDEX(tsk_Status,GanttView[[#This Row],[_Row]]))</f>
        <v/>
      </c>
      <c r="L105" s="126" t="str">
        <f aca="false">IF(IFERROR(INDEX(tsk_Name,GanttView[[#This Row],[_Row]])="",TRUE()),"",INDEX(tsk_Show,GanttView[[#This Row],[_Row]])&amp;"")</f>
        <v/>
      </c>
      <c r="M105" s="130" t="n">
        <f aca="false">ROW()-ROW(GanttView[[#Headers],[ID]])</f>
        <v>100</v>
      </c>
      <c r="N105" s="131" t="b">
        <f aca="false">IF(IFERROR(INDEX(tsk_Name,GanttView[[#This Row],[_Row]])="",TRUE()),FALSE(),INDEX(tsk_IsSummary,GanttView[[#This Row],[_Row]]))</f>
        <v>0</v>
      </c>
      <c r="O105" s="131" t="b">
        <f aca="false">IF(IFERROR(INDEX(tsk_Name,GanttView[[#This Row],[_Row]])="",TRUE()),FALSE(),AND(INDEX(tsk_IsLeaf,GanttView[[#This Row],[_Row]])=1,N(INDEX(tsk_Duration,GanttView[[#This Row],[_Row]]))=0))</f>
        <v>0</v>
      </c>
      <c r="P105" s="132" t="n">
        <f aca="false">IF(IFERROR(INDEX(tsk_Name,GanttView[[#This Row],[_Row]])="",TRUE()),0,IF(AND(INDEX(tsk_IsLeaf,GanttView[[#This Row],[_Row]])=1,NOT(GanttView[[#This Row],[_IsMilestone]]),N(GanttView[[#This Row],[%]])&gt;0),GanttView[[#This Row],[Forecast Start]],0))</f>
        <v>0</v>
      </c>
      <c r="Q105" s="132" t="n">
        <f aca="false">IF(GanttView[[#This Row],[_DoneFrom]]=0,0,IF(GanttView[[#This Row],[%]]&gt;=1,GanttView[[#This Row],[Forecast Finish]],MAX(GanttView[[#This Row],[_DoneFrom]],GanttView[[#This Row],[Forecast Start]]+ROUND((GanttView[[#This Row],[Forecast Finish]]-GanttView[[#This Row],[Forecast Start]]+1)*GanttView[[#This Row],[%]],0)-1)))</f>
        <v>0</v>
      </c>
      <c r="R105" s="132" t="n">
        <f aca="false">IF(IFERROR(INDEX(tsk_Name,GanttView[[#This Row],[_Row]])="",TRUE()),0,IF(OR(INDEX(tsk_IsLeaf,GanttView[[#This Row],[_Row]])&lt;&gt;1,GanttView[[#This Row],[_IsMilestone]],N(GanttView[[#This Row],[%]])&gt;=1),0,IF(GanttView[[#This Row],[_DoneTo]]&gt;0,GanttView[[#This Row],[_DoneTo]]+1,GanttView[[#This Row],[Forecast Start]])))</f>
        <v>0</v>
      </c>
      <c r="S105" s="132" t="n">
        <f aca="false">IF(GanttView[[#This Row],[_RemFrom]]=0,0,GanttView[[#This Row],[Forecast Finish]])</f>
        <v>0</v>
      </c>
      <c r="T105" s="131" t="b">
        <f aca="false">IF(IFERROR(INDEX(tsk_Name,GanttView[[#This Row],[_Row]])="",TRUE()),FALSE(),N(INDEX(tsk_Variance,GanttView[[#This Row],[_Row]]))&gt;0)</f>
        <v>0</v>
      </c>
      <c r="U105" s="132" t="n">
        <f aca="false">IF(IFERROR(INDEX(tsk_Name,GanttView[[#This Row],[_Row]])="",TRUE()),0,N(INDEX(tsk_Deadline,GanttView[[#This Row],[_Row]])))</f>
        <v>0</v>
      </c>
      <c r="V105" s="131" t="b">
        <f aca="false">IF(IFERROR(INDEX(tsk_Name,GanttView[[#This Row],[_Row]])="",TRUE()),FALSE(),INDEX(tsk_Critical,GanttView[[#This Row],[_Row]])="Yes")</f>
        <v>0</v>
      </c>
    </row>
    <row r="106" customFormat="false" ht="15" hidden="false" customHeight="false" outlineLevel="0" collapsed="false">
      <c r="A106" s="126" t="str">
        <f aca="false">IF(IFERROR(INDEX(tsk_Name,GanttView[[#This Row],[_Row]])="",TRUE()),"",INDEX(tsk_ID,GanttView[[#This Row],[_Row]]))</f>
        <v/>
      </c>
      <c r="B106" s="126" t="str">
        <f aca="false">IF(IFERROR(INDEX(tsk_Name,GanttView[[#This Row],[_Row]])="",TRUE()),"",INDEX(tsk_WBS,GanttView[[#This Row],[_Row]]))</f>
        <v/>
      </c>
      <c r="C106" s="127" t="str">
        <f aca="false">IF(IFERROR(INDEX(tsk_Name,GanttView[[#This Row],[_Row]])="",TRUE()),"",REPT("    ",INDEX(tsk_Level,GanttView[[#This Row],[_Row]])-1)&amp;INDEX(tsk_Name,GanttView[[#This Row],[_Row]]))</f>
        <v/>
      </c>
      <c r="D106" s="126" t="str">
        <f aca="false">IF(IFERROR(INDEX(tsk_Name,GanttView[[#This Row],[_Row]])="",TRUE()),"",IF(INDEX(tsk_IsSummary,GanttView[[#This Row],[_Row]]),NETWORKDAYS.INTL(INDEX(tsk_FcStart,GanttView[[#This Row],[_Row]]),INDEX(tsk_FcFinish,GanttView[[#This Row],[_Row]]),WorkWeek,Holidays),N(INDEX(tsk_Duration,GanttView[[#This Row],[_Row]]))))</f>
        <v/>
      </c>
      <c r="E106" s="128" t="str">
        <f aca="false">IF(IFERROR(INDEX(tsk_Name,GanttView[[#This Row],[_Row]])="",TRUE()),"",INDEX(tsk_PlanStart,GanttView[[#This Row],[_Row]]))</f>
        <v/>
      </c>
      <c r="F106" s="128" t="str">
        <f aca="false">IF(IFERROR(INDEX(tsk_Name,GanttView[[#This Row],[_Row]])="",TRUE()),"",INDEX(tsk_PlanFinish,GanttView[[#This Row],[_Row]]))</f>
        <v/>
      </c>
      <c r="G106" s="128" t="str">
        <f aca="false">IF(IFERROR(INDEX(tsk_Name,GanttView[[#This Row],[_Row]])="",TRUE()),"",INDEX(tsk_FcStart,GanttView[[#This Row],[_Row]]))</f>
        <v/>
      </c>
      <c r="H106" s="128" t="str">
        <f aca="false">IF(IFERROR(INDEX(tsk_Name,GanttView[[#This Row],[_Row]])="",TRUE()),"",INDEX(tsk_FcFinish,GanttView[[#This Row],[_Row]]))</f>
        <v/>
      </c>
      <c r="I106" s="129" t="str">
        <f aca="false">IF(IFERROR(INDEX(tsk_Name,GanttView[[#This Row],[_Row]])="",TRUE()),"",INDEX(tsk_Progress,GanttView[[#This Row],[_Row]]))</f>
        <v/>
      </c>
      <c r="J106" s="127" t="str">
        <f aca="false">IF(IFERROR(INDEX(tsk_Name,GanttView[[#This Row],[_Row]])="",TRUE()),"",INDEX(tsk_ResourceNames,GanttView[[#This Row],[_Row]])&amp;"")</f>
        <v/>
      </c>
      <c r="K106" s="126" t="str">
        <f aca="false">IF(IFERROR(INDEX(tsk_Name,GanttView[[#This Row],[_Row]])="",TRUE()),"",INDEX(tsk_Status,GanttView[[#This Row],[_Row]]))</f>
        <v/>
      </c>
      <c r="L106" s="126" t="str">
        <f aca="false">IF(IFERROR(INDEX(tsk_Name,GanttView[[#This Row],[_Row]])="",TRUE()),"",INDEX(tsk_Show,GanttView[[#This Row],[_Row]])&amp;"")</f>
        <v/>
      </c>
      <c r="M106" s="130" t="n">
        <f aca="false">ROW()-ROW(GanttView[[#Headers],[ID]])</f>
        <v>101</v>
      </c>
      <c r="N106" s="131" t="b">
        <f aca="false">IF(IFERROR(INDEX(tsk_Name,GanttView[[#This Row],[_Row]])="",TRUE()),FALSE(),INDEX(tsk_IsSummary,GanttView[[#This Row],[_Row]]))</f>
        <v>0</v>
      </c>
      <c r="O106" s="131" t="b">
        <f aca="false">IF(IFERROR(INDEX(tsk_Name,GanttView[[#This Row],[_Row]])="",TRUE()),FALSE(),AND(INDEX(tsk_IsLeaf,GanttView[[#This Row],[_Row]])=1,N(INDEX(tsk_Duration,GanttView[[#This Row],[_Row]]))=0))</f>
        <v>0</v>
      </c>
      <c r="P106" s="132" t="n">
        <f aca="false">IF(IFERROR(INDEX(tsk_Name,GanttView[[#This Row],[_Row]])="",TRUE()),0,IF(AND(INDEX(tsk_IsLeaf,GanttView[[#This Row],[_Row]])=1,NOT(GanttView[[#This Row],[_IsMilestone]]),N(GanttView[[#This Row],[%]])&gt;0),GanttView[[#This Row],[Forecast Start]],0))</f>
        <v>0</v>
      </c>
      <c r="Q106" s="132" t="n">
        <f aca="false">IF(GanttView[[#This Row],[_DoneFrom]]=0,0,IF(GanttView[[#This Row],[%]]&gt;=1,GanttView[[#This Row],[Forecast Finish]],MAX(GanttView[[#This Row],[_DoneFrom]],GanttView[[#This Row],[Forecast Start]]+ROUND((GanttView[[#This Row],[Forecast Finish]]-GanttView[[#This Row],[Forecast Start]]+1)*GanttView[[#This Row],[%]],0)-1)))</f>
        <v>0</v>
      </c>
      <c r="R106" s="132" t="n">
        <f aca="false">IF(IFERROR(INDEX(tsk_Name,GanttView[[#This Row],[_Row]])="",TRUE()),0,IF(OR(INDEX(tsk_IsLeaf,GanttView[[#This Row],[_Row]])&lt;&gt;1,GanttView[[#This Row],[_IsMilestone]],N(GanttView[[#This Row],[%]])&gt;=1),0,IF(GanttView[[#This Row],[_DoneTo]]&gt;0,GanttView[[#This Row],[_DoneTo]]+1,GanttView[[#This Row],[Forecast Start]])))</f>
        <v>0</v>
      </c>
      <c r="S106" s="132" t="n">
        <f aca="false">IF(GanttView[[#This Row],[_RemFrom]]=0,0,GanttView[[#This Row],[Forecast Finish]])</f>
        <v>0</v>
      </c>
      <c r="T106" s="131" t="b">
        <f aca="false">IF(IFERROR(INDEX(tsk_Name,GanttView[[#This Row],[_Row]])="",TRUE()),FALSE(),N(INDEX(tsk_Variance,GanttView[[#This Row],[_Row]]))&gt;0)</f>
        <v>0</v>
      </c>
      <c r="U106" s="132" t="n">
        <f aca="false">IF(IFERROR(INDEX(tsk_Name,GanttView[[#This Row],[_Row]])="",TRUE()),0,N(INDEX(tsk_Deadline,GanttView[[#This Row],[_Row]])))</f>
        <v>0</v>
      </c>
      <c r="V106" s="131" t="b">
        <f aca="false">IF(IFERROR(INDEX(tsk_Name,GanttView[[#This Row],[_Row]])="",TRUE()),FALSE(),INDEX(tsk_Critical,GanttView[[#This Row],[_Row]])="Yes")</f>
        <v>0</v>
      </c>
    </row>
    <row r="107" customFormat="false" ht="15" hidden="false" customHeight="false" outlineLevel="0" collapsed="false">
      <c r="A107" s="126" t="str">
        <f aca="false">IF(IFERROR(INDEX(tsk_Name,GanttView[[#This Row],[_Row]])="",TRUE()),"",INDEX(tsk_ID,GanttView[[#This Row],[_Row]]))</f>
        <v/>
      </c>
      <c r="B107" s="126" t="str">
        <f aca="false">IF(IFERROR(INDEX(tsk_Name,GanttView[[#This Row],[_Row]])="",TRUE()),"",INDEX(tsk_WBS,GanttView[[#This Row],[_Row]]))</f>
        <v/>
      </c>
      <c r="C107" s="127" t="str">
        <f aca="false">IF(IFERROR(INDEX(tsk_Name,GanttView[[#This Row],[_Row]])="",TRUE()),"",REPT("    ",INDEX(tsk_Level,GanttView[[#This Row],[_Row]])-1)&amp;INDEX(tsk_Name,GanttView[[#This Row],[_Row]]))</f>
        <v/>
      </c>
      <c r="D107" s="126" t="str">
        <f aca="false">IF(IFERROR(INDEX(tsk_Name,GanttView[[#This Row],[_Row]])="",TRUE()),"",IF(INDEX(tsk_IsSummary,GanttView[[#This Row],[_Row]]),NETWORKDAYS.INTL(INDEX(tsk_FcStart,GanttView[[#This Row],[_Row]]),INDEX(tsk_FcFinish,GanttView[[#This Row],[_Row]]),WorkWeek,Holidays),N(INDEX(tsk_Duration,GanttView[[#This Row],[_Row]]))))</f>
        <v/>
      </c>
      <c r="E107" s="128" t="str">
        <f aca="false">IF(IFERROR(INDEX(tsk_Name,GanttView[[#This Row],[_Row]])="",TRUE()),"",INDEX(tsk_PlanStart,GanttView[[#This Row],[_Row]]))</f>
        <v/>
      </c>
      <c r="F107" s="128" t="str">
        <f aca="false">IF(IFERROR(INDEX(tsk_Name,GanttView[[#This Row],[_Row]])="",TRUE()),"",INDEX(tsk_PlanFinish,GanttView[[#This Row],[_Row]]))</f>
        <v/>
      </c>
      <c r="G107" s="128" t="str">
        <f aca="false">IF(IFERROR(INDEX(tsk_Name,GanttView[[#This Row],[_Row]])="",TRUE()),"",INDEX(tsk_FcStart,GanttView[[#This Row],[_Row]]))</f>
        <v/>
      </c>
      <c r="H107" s="128" t="str">
        <f aca="false">IF(IFERROR(INDEX(tsk_Name,GanttView[[#This Row],[_Row]])="",TRUE()),"",INDEX(tsk_FcFinish,GanttView[[#This Row],[_Row]]))</f>
        <v/>
      </c>
      <c r="I107" s="129" t="str">
        <f aca="false">IF(IFERROR(INDEX(tsk_Name,GanttView[[#This Row],[_Row]])="",TRUE()),"",INDEX(tsk_Progress,GanttView[[#This Row],[_Row]]))</f>
        <v/>
      </c>
      <c r="J107" s="127" t="str">
        <f aca="false">IF(IFERROR(INDEX(tsk_Name,GanttView[[#This Row],[_Row]])="",TRUE()),"",INDEX(tsk_ResourceNames,GanttView[[#This Row],[_Row]])&amp;"")</f>
        <v/>
      </c>
      <c r="K107" s="126" t="str">
        <f aca="false">IF(IFERROR(INDEX(tsk_Name,GanttView[[#This Row],[_Row]])="",TRUE()),"",INDEX(tsk_Status,GanttView[[#This Row],[_Row]]))</f>
        <v/>
      </c>
      <c r="L107" s="126" t="str">
        <f aca="false">IF(IFERROR(INDEX(tsk_Name,GanttView[[#This Row],[_Row]])="",TRUE()),"",INDEX(tsk_Show,GanttView[[#This Row],[_Row]])&amp;"")</f>
        <v/>
      </c>
      <c r="M107" s="130" t="n">
        <f aca="false">ROW()-ROW(GanttView[[#Headers],[ID]])</f>
        <v>102</v>
      </c>
      <c r="N107" s="131" t="b">
        <f aca="false">IF(IFERROR(INDEX(tsk_Name,GanttView[[#This Row],[_Row]])="",TRUE()),FALSE(),INDEX(tsk_IsSummary,GanttView[[#This Row],[_Row]]))</f>
        <v>0</v>
      </c>
      <c r="O107" s="131" t="b">
        <f aca="false">IF(IFERROR(INDEX(tsk_Name,GanttView[[#This Row],[_Row]])="",TRUE()),FALSE(),AND(INDEX(tsk_IsLeaf,GanttView[[#This Row],[_Row]])=1,N(INDEX(tsk_Duration,GanttView[[#This Row],[_Row]]))=0))</f>
        <v>0</v>
      </c>
      <c r="P107" s="132" t="n">
        <f aca="false">IF(IFERROR(INDEX(tsk_Name,GanttView[[#This Row],[_Row]])="",TRUE()),0,IF(AND(INDEX(tsk_IsLeaf,GanttView[[#This Row],[_Row]])=1,NOT(GanttView[[#This Row],[_IsMilestone]]),N(GanttView[[#This Row],[%]])&gt;0),GanttView[[#This Row],[Forecast Start]],0))</f>
        <v>0</v>
      </c>
      <c r="Q107" s="132" t="n">
        <f aca="false">IF(GanttView[[#This Row],[_DoneFrom]]=0,0,IF(GanttView[[#This Row],[%]]&gt;=1,GanttView[[#This Row],[Forecast Finish]],MAX(GanttView[[#This Row],[_DoneFrom]],GanttView[[#This Row],[Forecast Start]]+ROUND((GanttView[[#This Row],[Forecast Finish]]-GanttView[[#This Row],[Forecast Start]]+1)*GanttView[[#This Row],[%]],0)-1)))</f>
        <v>0</v>
      </c>
      <c r="R107" s="132" t="n">
        <f aca="false">IF(IFERROR(INDEX(tsk_Name,GanttView[[#This Row],[_Row]])="",TRUE()),0,IF(OR(INDEX(tsk_IsLeaf,GanttView[[#This Row],[_Row]])&lt;&gt;1,GanttView[[#This Row],[_IsMilestone]],N(GanttView[[#This Row],[%]])&gt;=1),0,IF(GanttView[[#This Row],[_DoneTo]]&gt;0,GanttView[[#This Row],[_DoneTo]]+1,GanttView[[#This Row],[Forecast Start]])))</f>
        <v>0</v>
      </c>
      <c r="S107" s="132" t="n">
        <f aca="false">IF(GanttView[[#This Row],[_RemFrom]]=0,0,GanttView[[#This Row],[Forecast Finish]])</f>
        <v>0</v>
      </c>
      <c r="T107" s="131" t="b">
        <f aca="false">IF(IFERROR(INDEX(tsk_Name,GanttView[[#This Row],[_Row]])="",TRUE()),FALSE(),N(INDEX(tsk_Variance,GanttView[[#This Row],[_Row]]))&gt;0)</f>
        <v>0</v>
      </c>
      <c r="U107" s="132" t="n">
        <f aca="false">IF(IFERROR(INDEX(tsk_Name,GanttView[[#This Row],[_Row]])="",TRUE()),0,N(INDEX(tsk_Deadline,GanttView[[#This Row],[_Row]])))</f>
        <v>0</v>
      </c>
      <c r="V107" s="131" t="b">
        <f aca="false">IF(IFERROR(INDEX(tsk_Name,GanttView[[#This Row],[_Row]])="",TRUE()),FALSE(),INDEX(tsk_Critical,GanttView[[#This Row],[_Row]])="Yes")</f>
        <v>0</v>
      </c>
    </row>
    <row r="108" customFormat="false" ht="15" hidden="false" customHeight="false" outlineLevel="0" collapsed="false">
      <c r="A108" s="126" t="str">
        <f aca="false">IF(IFERROR(INDEX(tsk_Name,GanttView[[#This Row],[_Row]])="",TRUE()),"",INDEX(tsk_ID,GanttView[[#This Row],[_Row]]))</f>
        <v/>
      </c>
      <c r="B108" s="126" t="str">
        <f aca="false">IF(IFERROR(INDEX(tsk_Name,GanttView[[#This Row],[_Row]])="",TRUE()),"",INDEX(tsk_WBS,GanttView[[#This Row],[_Row]]))</f>
        <v/>
      </c>
      <c r="C108" s="127" t="str">
        <f aca="false">IF(IFERROR(INDEX(tsk_Name,GanttView[[#This Row],[_Row]])="",TRUE()),"",REPT("    ",INDEX(tsk_Level,GanttView[[#This Row],[_Row]])-1)&amp;INDEX(tsk_Name,GanttView[[#This Row],[_Row]]))</f>
        <v/>
      </c>
      <c r="D108" s="126" t="str">
        <f aca="false">IF(IFERROR(INDEX(tsk_Name,GanttView[[#This Row],[_Row]])="",TRUE()),"",IF(INDEX(tsk_IsSummary,GanttView[[#This Row],[_Row]]),NETWORKDAYS.INTL(INDEX(tsk_FcStart,GanttView[[#This Row],[_Row]]),INDEX(tsk_FcFinish,GanttView[[#This Row],[_Row]]),WorkWeek,Holidays),N(INDEX(tsk_Duration,GanttView[[#This Row],[_Row]]))))</f>
        <v/>
      </c>
      <c r="E108" s="128" t="str">
        <f aca="false">IF(IFERROR(INDEX(tsk_Name,GanttView[[#This Row],[_Row]])="",TRUE()),"",INDEX(tsk_PlanStart,GanttView[[#This Row],[_Row]]))</f>
        <v/>
      </c>
      <c r="F108" s="128" t="str">
        <f aca="false">IF(IFERROR(INDEX(tsk_Name,GanttView[[#This Row],[_Row]])="",TRUE()),"",INDEX(tsk_PlanFinish,GanttView[[#This Row],[_Row]]))</f>
        <v/>
      </c>
      <c r="G108" s="128" t="str">
        <f aca="false">IF(IFERROR(INDEX(tsk_Name,GanttView[[#This Row],[_Row]])="",TRUE()),"",INDEX(tsk_FcStart,GanttView[[#This Row],[_Row]]))</f>
        <v/>
      </c>
      <c r="H108" s="128" t="str">
        <f aca="false">IF(IFERROR(INDEX(tsk_Name,GanttView[[#This Row],[_Row]])="",TRUE()),"",INDEX(tsk_FcFinish,GanttView[[#This Row],[_Row]]))</f>
        <v/>
      </c>
      <c r="I108" s="129" t="str">
        <f aca="false">IF(IFERROR(INDEX(tsk_Name,GanttView[[#This Row],[_Row]])="",TRUE()),"",INDEX(tsk_Progress,GanttView[[#This Row],[_Row]]))</f>
        <v/>
      </c>
      <c r="J108" s="127" t="str">
        <f aca="false">IF(IFERROR(INDEX(tsk_Name,GanttView[[#This Row],[_Row]])="",TRUE()),"",INDEX(tsk_ResourceNames,GanttView[[#This Row],[_Row]])&amp;"")</f>
        <v/>
      </c>
      <c r="K108" s="126" t="str">
        <f aca="false">IF(IFERROR(INDEX(tsk_Name,GanttView[[#This Row],[_Row]])="",TRUE()),"",INDEX(tsk_Status,GanttView[[#This Row],[_Row]]))</f>
        <v/>
      </c>
      <c r="L108" s="126" t="str">
        <f aca="false">IF(IFERROR(INDEX(tsk_Name,GanttView[[#This Row],[_Row]])="",TRUE()),"",INDEX(tsk_Show,GanttView[[#This Row],[_Row]])&amp;"")</f>
        <v/>
      </c>
      <c r="M108" s="130" t="n">
        <f aca="false">ROW()-ROW(GanttView[[#Headers],[ID]])</f>
        <v>103</v>
      </c>
      <c r="N108" s="131" t="b">
        <f aca="false">IF(IFERROR(INDEX(tsk_Name,GanttView[[#This Row],[_Row]])="",TRUE()),FALSE(),INDEX(tsk_IsSummary,GanttView[[#This Row],[_Row]]))</f>
        <v>0</v>
      </c>
      <c r="O108" s="131" t="b">
        <f aca="false">IF(IFERROR(INDEX(tsk_Name,GanttView[[#This Row],[_Row]])="",TRUE()),FALSE(),AND(INDEX(tsk_IsLeaf,GanttView[[#This Row],[_Row]])=1,N(INDEX(tsk_Duration,GanttView[[#This Row],[_Row]]))=0))</f>
        <v>0</v>
      </c>
      <c r="P108" s="132" t="n">
        <f aca="false">IF(IFERROR(INDEX(tsk_Name,GanttView[[#This Row],[_Row]])="",TRUE()),0,IF(AND(INDEX(tsk_IsLeaf,GanttView[[#This Row],[_Row]])=1,NOT(GanttView[[#This Row],[_IsMilestone]]),N(GanttView[[#This Row],[%]])&gt;0),GanttView[[#This Row],[Forecast Start]],0))</f>
        <v>0</v>
      </c>
      <c r="Q108" s="132" t="n">
        <f aca="false">IF(GanttView[[#This Row],[_DoneFrom]]=0,0,IF(GanttView[[#This Row],[%]]&gt;=1,GanttView[[#This Row],[Forecast Finish]],MAX(GanttView[[#This Row],[_DoneFrom]],GanttView[[#This Row],[Forecast Start]]+ROUND((GanttView[[#This Row],[Forecast Finish]]-GanttView[[#This Row],[Forecast Start]]+1)*GanttView[[#This Row],[%]],0)-1)))</f>
        <v>0</v>
      </c>
      <c r="R108" s="132" t="n">
        <f aca="false">IF(IFERROR(INDEX(tsk_Name,GanttView[[#This Row],[_Row]])="",TRUE()),0,IF(OR(INDEX(tsk_IsLeaf,GanttView[[#This Row],[_Row]])&lt;&gt;1,GanttView[[#This Row],[_IsMilestone]],N(GanttView[[#This Row],[%]])&gt;=1),0,IF(GanttView[[#This Row],[_DoneTo]]&gt;0,GanttView[[#This Row],[_DoneTo]]+1,GanttView[[#This Row],[Forecast Start]])))</f>
        <v>0</v>
      </c>
      <c r="S108" s="132" t="n">
        <f aca="false">IF(GanttView[[#This Row],[_RemFrom]]=0,0,GanttView[[#This Row],[Forecast Finish]])</f>
        <v>0</v>
      </c>
      <c r="T108" s="131" t="b">
        <f aca="false">IF(IFERROR(INDEX(tsk_Name,GanttView[[#This Row],[_Row]])="",TRUE()),FALSE(),N(INDEX(tsk_Variance,GanttView[[#This Row],[_Row]]))&gt;0)</f>
        <v>0</v>
      </c>
      <c r="U108" s="132" t="n">
        <f aca="false">IF(IFERROR(INDEX(tsk_Name,GanttView[[#This Row],[_Row]])="",TRUE()),0,N(INDEX(tsk_Deadline,GanttView[[#This Row],[_Row]])))</f>
        <v>0</v>
      </c>
      <c r="V108" s="131" t="b">
        <f aca="false">IF(IFERROR(INDEX(tsk_Name,GanttView[[#This Row],[_Row]])="",TRUE()),FALSE(),INDEX(tsk_Critical,GanttView[[#This Row],[_Row]])="Yes")</f>
        <v>0</v>
      </c>
    </row>
    <row r="109" customFormat="false" ht="15" hidden="false" customHeight="false" outlineLevel="0" collapsed="false">
      <c r="A109" s="126" t="str">
        <f aca="false">IF(IFERROR(INDEX(tsk_Name,GanttView[[#This Row],[_Row]])="",TRUE()),"",INDEX(tsk_ID,GanttView[[#This Row],[_Row]]))</f>
        <v/>
      </c>
      <c r="B109" s="126" t="str">
        <f aca="false">IF(IFERROR(INDEX(tsk_Name,GanttView[[#This Row],[_Row]])="",TRUE()),"",INDEX(tsk_WBS,GanttView[[#This Row],[_Row]]))</f>
        <v/>
      </c>
      <c r="C109" s="127" t="str">
        <f aca="false">IF(IFERROR(INDEX(tsk_Name,GanttView[[#This Row],[_Row]])="",TRUE()),"",REPT("    ",INDEX(tsk_Level,GanttView[[#This Row],[_Row]])-1)&amp;INDEX(tsk_Name,GanttView[[#This Row],[_Row]]))</f>
        <v/>
      </c>
      <c r="D109" s="126" t="str">
        <f aca="false">IF(IFERROR(INDEX(tsk_Name,GanttView[[#This Row],[_Row]])="",TRUE()),"",IF(INDEX(tsk_IsSummary,GanttView[[#This Row],[_Row]]),NETWORKDAYS.INTL(INDEX(tsk_FcStart,GanttView[[#This Row],[_Row]]),INDEX(tsk_FcFinish,GanttView[[#This Row],[_Row]]),WorkWeek,Holidays),N(INDEX(tsk_Duration,GanttView[[#This Row],[_Row]]))))</f>
        <v/>
      </c>
      <c r="E109" s="128" t="str">
        <f aca="false">IF(IFERROR(INDEX(tsk_Name,GanttView[[#This Row],[_Row]])="",TRUE()),"",INDEX(tsk_PlanStart,GanttView[[#This Row],[_Row]]))</f>
        <v/>
      </c>
      <c r="F109" s="128" t="str">
        <f aca="false">IF(IFERROR(INDEX(tsk_Name,GanttView[[#This Row],[_Row]])="",TRUE()),"",INDEX(tsk_PlanFinish,GanttView[[#This Row],[_Row]]))</f>
        <v/>
      </c>
      <c r="G109" s="128" t="str">
        <f aca="false">IF(IFERROR(INDEX(tsk_Name,GanttView[[#This Row],[_Row]])="",TRUE()),"",INDEX(tsk_FcStart,GanttView[[#This Row],[_Row]]))</f>
        <v/>
      </c>
      <c r="H109" s="128" t="str">
        <f aca="false">IF(IFERROR(INDEX(tsk_Name,GanttView[[#This Row],[_Row]])="",TRUE()),"",INDEX(tsk_FcFinish,GanttView[[#This Row],[_Row]]))</f>
        <v/>
      </c>
      <c r="I109" s="129" t="str">
        <f aca="false">IF(IFERROR(INDEX(tsk_Name,GanttView[[#This Row],[_Row]])="",TRUE()),"",INDEX(tsk_Progress,GanttView[[#This Row],[_Row]]))</f>
        <v/>
      </c>
      <c r="J109" s="127" t="str">
        <f aca="false">IF(IFERROR(INDEX(tsk_Name,GanttView[[#This Row],[_Row]])="",TRUE()),"",INDEX(tsk_ResourceNames,GanttView[[#This Row],[_Row]])&amp;"")</f>
        <v/>
      </c>
      <c r="K109" s="126" t="str">
        <f aca="false">IF(IFERROR(INDEX(tsk_Name,GanttView[[#This Row],[_Row]])="",TRUE()),"",INDEX(tsk_Status,GanttView[[#This Row],[_Row]]))</f>
        <v/>
      </c>
      <c r="L109" s="126" t="str">
        <f aca="false">IF(IFERROR(INDEX(tsk_Name,GanttView[[#This Row],[_Row]])="",TRUE()),"",INDEX(tsk_Show,GanttView[[#This Row],[_Row]])&amp;"")</f>
        <v/>
      </c>
      <c r="M109" s="130" t="n">
        <f aca="false">ROW()-ROW(GanttView[[#Headers],[ID]])</f>
        <v>104</v>
      </c>
      <c r="N109" s="131" t="b">
        <f aca="false">IF(IFERROR(INDEX(tsk_Name,GanttView[[#This Row],[_Row]])="",TRUE()),FALSE(),INDEX(tsk_IsSummary,GanttView[[#This Row],[_Row]]))</f>
        <v>0</v>
      </c>
      <c r="O109" s="131" t="b">
        <f aca="false">IF(IFERROR(INDEX(tsk_Name,GanttView[[#This Row],[_Row]])="",TRUE()),FALSE(),AND(INDEX(tsk_IsLeaf,GanttView[[#This Row],[_Row]])=1,N(INDEX(tsk_Duration,GanttView[[#This Row],[_Row]]))=0))</f>
        <v>0</v>
      </c>
      <c r="P109" s="132" t="n">
        <f aca="false">IF(IFERROR(INDEX(tsk_Name,GanttView[[#This Row],[_Row]])="",TRUE()),0,IF(AND(INDEX(tsk_IsLeaf,GanttView[[#This Row],[_Row]])=1,NOT(GanttView[[#This Row],[_IsMilestone]]),N(GanttView[[#This Row],[%]])&gt;0),GanttView[[#This Row],[Forecast Start]],0))</f>
        <v>0</v>
      </c>
      <c r="Q109" s="132" t="n">
        <f aca="false">IF(GanttView[[#This Row],[_DoneFrom]]=0,0,IF(GanttView[[#This Row],[%]]&gt;=1,GanttView[[#This Row],[Forecast Finish]],MAX(GanttView[[#This Row],[_DoneFrom]],GanttView[[#This Row],[Forecast Start]]+ROUND((GanttView[[#This Row],[Forecast Finish]]-GanttView[[#This Row],[Forecast Start]]+1)*GanttView[[#This Row],[%]],0)-1)))</f>
        <v>0</v>
      </c>
      <c r="R109" s="132" t="n">
        <f aca="false">IF(IFERROR(INDEX(tsk_Name,GanttView[[#This Row],[_Row]])="",TRUE()),0,IF(OR(INDEX(tsk_IsLeaf,GanttView[[#This Row],[_Row]])&lt;&gt;1,GanttView[[#This Row],[_IsMilestone]],N(GanttView[[#This Row],[%]])&gt;=1),0,IF(GanttView[[#This Row],[_DoneTo]]&gt;0,GanttView[[#This Row],[_DoneTo]]+1,GanttView[[#This Row],[Forecast Start]])))</f>
        <v>0</v>
      </c>
      <c r="S109" s="132" t="n">
        <f aca="false">IF(GanttView[[#This Row],[_RemFrom]]=0,0,GanttView[[#This Row],[Forecast Finish]])</f>
        <v>0</v>
      </c>
      <c r="T109" s="131" t="b">
        <f aca="false">IF(IFERROR(INDEX(tsk_Name,GanttView[[#This Row],[_Row]])="",TRUE()),FALSE(),N(INDEX(tsk_Variance,GanttView[[#This Row],[_Row]]))&gt;0)</f>
        <v>0</v>
      </c>
      <c r="U109" s="132" t="n">
        <f aca="false">IF(IFERROR(INDEX(tsk_Name,GanttView[[#This Row],[_Row]])="",TRUE()),0,N(INDEX(tsk_Deadline,GanttView[[#This Row],[_Row]])))</f>
        <v>0</v>
      </c>
      <c r="V109" s="131" t="b">
        <f aca="false">IF(IFERROR(INDEX(tsk_Name,GanttView[[#This Row],[_Row]])="",TRUE()),FALSE(),INDEX(tsk_Critical,GanttView[[#This Row],[_Row]])="Yes")</f>
        <v>0</v>
      </c>
    </row>
    <row r="110" customFormat="false" ht="15" hidden="false" customHeight="false" outlineLevel="0" collapsed="false">
      <c r="A110" s="126" t="str">
        <f aca="false">IF(IFERROR(INDEX(tsk_Name,GanttView[[#This Row],[_Row]])="",TRUE()),"",INDEX(tsk_ID,GanttView[[#This Row],[_Row]]))</f>
        <v/>
      </c>
      <c r="B110" s="126" t="str">
        <f aca="false">IF(IFERROR(INDEX(tsk_Name,GanttView[[#This Row],[_Row]])="",TRUE()),"",INDEX(tsk_WBS,GanttView[[#This Row],[_Row]]))</f>
        <v/>
      </c>
      <c r="C110" s="127" t="str">
        <f aca="false">IF(IFERROR(INDEX(tsk_Name,GanttView[[#This Row],[_Row]])="",TRUE()),"",REPT("    ",INDEX(tsk_Level,GanttView[[#This Row],[_Row]])-1)&amp;INDEX(tsk_Name,GanttView[[#This Row],[_Row]]))</f>
        <v/>
      </c>
      <c r="D110" s="126" t="str">
        <f aca="false">IF(IFERROR(INDEX(tsk_Name,GanttView[[#This Row],[_Row]])="",TRUE()),"",IF(INDEX(tsk_IsSummary,GanttView[[#This Row],[_Row]]),NETWORKDAYS.INTL(INDEX(tsk_FcStart,GanttView[[#This Row],[_Row]]),INDEX(tsk_FcFinish,GanttView[[#This Row],[_Row]]),WorkWeek,Holidays),N(INDEX(tsk_Duration,GanttView[[#This Row],[_Row]]))))</f>
        <v/>
      </c>
      <c r="E110" s="128" t="str">
        <f aca="false">IF(IFERROR(INDEX(tsk_Name,GanttView[[#This Row],[_Row]])="",TRUE()),"",INDEX(tsk_PlanStart,GanttView[[#This Row],[_Row]]))</f>
        <v/>
      </c>
      <c r="F110" s="128" t="str">
        <f aca="false">IF(IFERROR(INDEX(tsk_Name,GanttView[[#This Row],[_Row]])="",TRUE()),"",INDEX(tsk_PlanFinish,GanttView[[#This Row],[_Row]]))</f>
        <v/>
      </c>
      <c r="G110" s="128" t="str">
        <f aca="false">IF(IFERROR(INDEX(tsk_Name,GanttView[[#This Row],[_Row]])="",TRUE()),"",INDEX(tsk_FcStart,GanttView[[#This Row],[_Row]]))</f>
        <v/>
      </c>
      <c r="H110" s="128" t="str">
        <f aca="false">IF(IFERROR(INDEX(tsk_Name,GanttView[[#This Row],[_Row]])="",TRUE()),"",INDEX(tsk_FcFinish,GanttView[[#This Row],[_Row]]))</f>
        <v/>
      </c>
      <c r="I110" s="129" t="str">
        <f aca="false">IF(IFERROR(INDEX(tsk_Name,GanttView[[#This Row],[_Row]])="",TRUE()),"",INDEX(tsk_Progress,GanttView[[#This Row],[_Row]]))</f>
        <v/>
      </c>
      <c r="J110" s="127" t="str">
        <f aca="false">IF(IFERROR(INDEX(tsk_Name,GanttView[[#This Row],[_Row]])="",TRUE()),"",INDEX(tsk_ResourceNames,GanttView[[#This Row],[_Row]])&amp;"")</f>
        <v/>
      </c>
      <c r="K110" s="126" t="str">
        <f aca="false">IF(IFERROR(INDEX(tsk_Name,GanttView[[#This Row],[_Row]])="",TRUE()),"",INDEX(tsk_Status,GanttView[[#This Row],[_Row]]))</f>
        <v/>
      </c>
      <c r="L110" s="126" t="str">
        <f aca="false">IF(IFERROR(INDEX(tsk_Name,GanttView[[#This Row],[_Row]])="",TRUE()),"",INDEX(tsk_Show,GanttView[[#This Row],[_Row]])&amp;"")</f>
        <v/>
      </c>
      <c r="M110" s="130" t="n">
        <f aca="false">ROW()-ROW(GanttView[[#Headers],[ID]])</f>
        <v>105</v>
      </c>
      <c r="N110" s="131" t="b">
        <f aca="false">IF(IFERROR(INDEX(tsk_Name,GanttView[[#This Row],[_Row]])="",TRUE()),FALSE(),INDEX(tsk_IsSummary,GanttView[[#This Row],[_Row]]))</f>
        <v>0</v>
      </c>
      <c r="O110" s="131" t="b">
        <f aca="false">IF(IFERROR(INDEX(tsk_Name,GanttView[[#This Row],[_Row]])="",TRUE()),FALSE(),AND(INDEX(tsk_IsLeaf,GanttView[[#This Row],[_Row]])=1,N(INDEX(tsk_Duration,GanttView[[#This Row],[_Row]]))=0))</f>
        <v>0</v>
      </c>
      <c r="P110" s="132" t="n">
        <f aca="false">IF(IFERROR(INDEX(tsk_Name,GanttView[[#This Row],[_Row]])="",TRUE()),0,IF(AND(INDEX(tsk_IsLeaf,GanttView[[#This Row],[_Row]])=1,NOT(GanttView[[#This Row],[_IsMilestone]]),N(GanttView[[#This Row],[%]])&gt;0),GanttView[[#This Row],[Forecast Start]],0))</f>
        <v>0</v>
      </c>
      <c r="Q110" s="132" t="n">
        <f aca="false">IF(GanttView[[#This Row],[_DoneFrom]]=0,0,IF(GanttView[[#This Row],[%]]&gt;=1,GanttView[[#This Row],[Forecast Finish]],MAX(GanttView[[#This Row],[_DoneFrom]],GanttView[[#This Row],[Forecast Start]]+ROUND((GanttView[[#This Row],[Forecast Finish]]-GanttView[[#This Row],[Forecast Start]]+1)*GanttView[[#This Row],[%]],0)-1)))</f>
        <v>0</v>
      </c>
      <c r="R110" s="132" t="n">
        <f aca="false">IF(IFERROR(INDEX(tsk_Name,GanttView[[#This Row],[_Row]])="",TRUE()),0,IF(OR(INDEX(tsk_IsLeaf,GanttView[[#This Row],[_Row]])&lt;&gt;1,GanttView[[#This Row],[_IsMilestone]],N(GanttView[[#This Row],[%]])&gt;=1),0,IF(GanttView[[#This Row],[_DoneTo]]&gt;0,GanttView[[#This Row],[_DoneTo]]+1,GanttView[[#This Row],[Forecast Start]])))</f>
        <v>0</v>
      </c>
      <c r="S110" s="132" t="n">
        <f aca="false">IF(GanttView[[#This Row],[_RemFrom]]=0,0,GanttView[[#This Row],[Forecast Finish]])</f>
        <v>0</v>
      </c>
      <c r="T110" s="131" t="b">
        <f aca="false">IF(IFERROR(INDEX(tsk_Name,GanttView[[#This Row],[_Row]])="",TRUE()),FALSE(),N(INDEX(tsk_Variance,GanttView[[#This Row],[_Row]]))&gt;0)</f>
        <v>0</v>
      </c>
      <c r="U110" s="132" t="n">
        <f aca="false">IF(IFERROR(INDEX(tsk_Name,GanttView[[#This Row],[_Row]])="",TRUE()),0,N(INDEX(tsk_Deadline,GanttView[[#This Row],[_Row]])))</f>
        <v>0</v>
      </c>
      <c r="V110" s="131" t="b">
        <f aca="false">IF(IFERROR(INDEX(tsk_Name,GanttView[[#This Row],[_Row]])="",TRUE()),FALSE(),INDEX(tsk_Critical,GanttView[[#This Row],[_Row]])="Yes")</f>
        <v>0</v>
      </c>
    </row>
    <row r="111" customFormat="false" ht="15" hidden="false" customHeight="false" outlineLevel="0" collapsed="false">
      <c r="A111" s="126" t="str">
        <f aca="false">IF(IFERROR(INDEX(tsk_Name,GanttView[[#This Row],[_Row]])="",TRUE()),"",INDEX(tsk_ID,GanttView[[#This Row],[_Row]]))</f>
        <v/>
      </c>
      <c r="B111" s="126" t="str">
        <f aca="false">IF(IFERROR(INDEX(tsk_Name,GanttView[[#This Row],[_Row]])="",TRUE()),"",INDEX(tsk_WBS,GanttView[[#This Row],[_Row]]))</f>
        <v/>
      </c>
      <c r="C111" s="127" t="str">
        <f aca="false">IF(IFERROR(INDEX(tsk_Name,GanttView[[#This Row],[_Row]])="",TRUE()),"",REPT("    ",INDEX(tsk_Level,GanttView[[#This Row],[_Row]])-1)&amp;INDEX(tsk_Name,GanttView[[#This Row],[_Row]]))</f>
        <v/>
      </c>
      <c r="D111" s="126" t="str">
        <f aca="false">IF(IFERROR(INDEX(tsk_Name,GanttView[[#This Row],[_Row]])="",TRUE()),"",IF(INDEX(tsk_IsSummary,GanttView[[#This Row],[_Row]]),NETWORKDAYS.INTL(INDEX(tsk_FcStart,GanttView[[#This Row],[_Row]]),INDEX(tsk_FcFinish,GanttView[[#This Row],[_Row]]),WorkWeek,Holidays),N(INDEX(tsk_Duration,GanttView[[#This Row],[_Row]]))))</f>
        <v/>
      </c>
      <c r="E111" s="128" t="str">
        <f aca="false">IF(IFERROR(INDEX(tsk_Name,GanttView[[#This Row],[_Row]])="",TRUE()),"",INDEX(tsk_PlanStart,GanttView[[#This Row],[_Row]]))</f>
        <v/>
      </c>
      <c r="F111" s="128" t="str">
        <f aca="false">IF(IFERROR(INDEX(tsk_Name,GanttView[[#This Row],[_Row]])="",TRUE()),"",INDEX(tsk_PlanFinish,GanttView[[#This Row],[_Row]]))</f>
        <v/>
      </c>
      <c r="G111" s="128" t="str">
        <f aca="false">IF(IFERROR(INDEX(tsk_Name,GanttView[[#This Row],[_Row]])="",TRUE()),"",INDEX(tsk_FcStart,GanttView[[#This Row],[_Row]]))</f>
        <v/>
      </c>
      <c r="H111" s="128" t="str">
        <f aca="false">IF(IFERROR(INDEX(tsk_Name,GanttView[[#This Row],[_Row]])="",TRUE()),"",INDEX(tsk_FcFinish,GanttView[[#This Row],[_Row]]))</f>
        <v/>
      </c>
      <c r="I111" s="129" t="str">
        <f aca="false">IF(IFERROR(INDEX(tsk_Name,GanttView[[#This Row],[_Row]])="",TRUE()),"",INDEX(tsk_Progress,GanttView[[#This Row],[_Row]]))</f>
        <v/>
      </c>
      <c r="J111" s="127" t="str">
        <f aca="false">IF(IFERROR(INDEX(tsk_Name,GanttView[[#This Row],[_Row]])="",TRUE()),"",INDEX(tsk_ResourceNames,GanttView[[#This Row],[_Row]])&amp;"")</f>
        <v/>
      </c>
      <c r="K111" s="126" t="str">
        <f aca="false">IF(IFERROR(INDEX(tsk_Name,GanttView[[#This Row],[_Row]])="",TRUE()),"",INDEX(tsk_Status,GanttView[[#This Row],[_Row]]))</f>
        <v/>
      </c>
      <c r="L111" s="126" t="str">
        <f aca="false">IF(IFERROR(INDEX(tsk_Name,GanttView[[#This Row],[_Row]])="",TRUE()),"",INDEX(tsk_Show,GanttView[[#This Row],[_Row]])&amp;"")</f>
        <v/>
      </c>
      <c r="M111" s="130" t="n">
        <f aca="false">ROW()-ROW(GanttView[[#Headers],[ID]])</f>
        <v>106</v>
      </c>
      <c r="N111" s="131" t="b">
        <f aca="false">IF(IFERROR(INDEX(tsk_Name,GanttView[[#This Row],[_Row]])="",TRUE()),FALSE(),INDEX(tsk_IsSummary,GanttView[[#This Row],[_Row]]))</f>
        <v>0</v>
      </c>
      <c r="O111" s="131" t="b">
        <f aca="false">IF(IFERROR(INDEX(tsk_Name,GanttView[[#This Row],[_Row]])="",TRUE()),FALSE(),AND(INDEX(tsk_IsLeaf,GanttView[[#This Row],[_Row]])=1,N(INDEX(tsk_Duration,GanttView[[#This Row],[_Row]]))=0))</f>
        <v>0</v>
      </c>
      <c r="P111" s="132" t="n">
        <f aca="false">IF(IFERROR(INDEX(tsk_Name,GanttView[[#This Row],[_Row]])="",TRUE()),0,IF(AND(INDEX(tsk_IsLeaf,GanttView[[#This Row],[_Row]])=1,NOT(GanttView[[#This Row],[_IsMilestone]]),N(GanttView[[#This Row],[%]])&gt;0),GanttView[[#This Row],[Forecast Start]],0))</f>
        <v>0</v>
      </c>
      <c r="Q111" s="132" t="n">
        <f aca="false">IF(GanttView[[#This Row],[_DoneFrom]]=0,0,IF(GanttView[[#This Row],[%]]&gt;=1,GanttView[[#This Row],[Forecast Finish]],MAX(GanttView[[#This Row],[_DoneFrom]],GanttView[[#This Row],[Forecast Start]]+ROUND((GanttView[[#This Row],[Forecast Finish]]-GanttView[[#This Row],[Forecast Start]]+1)*GanttView[[#This Row],[%]],0)-1)))</f>
        <v>0</v>
      </c>
      <c r="R111" s="132" t="n">
        <f aca="false">IF(IFERROR(INDEX(tsk_Name,GanttView[[#This Row],[_Row]])="",TRUE()),0,IF(OR(INDEX(tsk_IsLeaf,GanttView[[#This Row],[_Row]])&lt;&gt;1,GanttView[[#This Row],[_IsMilestone]],N(GanttView[[#This Row],[%]])&gt;=1),0,IF(GanttView[[#This Row],[_DoneTo]]&gt;0,GanttView[[#This Row],[_DoneTo]]+1,GanttView[[#This Row],[Forecast Start]])))</f>
        <v>0</v>
      </c>
      <c r="S111" s="132" t="n">
        <f aca="false">IF(GanttView[[#This Row],[_RemFrom]]=0,0,GanttView[[#This Row],[Forecast Finish]])</f>
        <v>0</v>
      </c>
      <c r="T111" s="131" t="b">
        <f aca="false">IF(IFERROR(INDEX(tsk_Name,GanttView[[#This Row],[_Row]])="",TRUE()),FALSE(),N(INDEX(tsk_Variance,GanttView[[#This Row],[_Row]]))&gt;0)</f>
        <v>0</v>
      </c>
      <c r="U111" s="132" t="n">
        <f aca="false">IF(IFERROR(INDEX(tsk_Name,GanttView[[#This Row],[_Row]])="",TRUE()),0,N(INDEX(tsk_Deadline,GanttView[[#This Row],[_Row]])))</f>
        <v>0</v>
      </c>
      <c r="V111" s="131" t="b">
        <f aca="false">IF(IFERROR(INDEX(tsk_Name,GanttView[[#This Row],[_Row]])="",TRUE()),FALSE(),INDEX(tsk_Critical,GanttView[[#This Row],[_Row]])="Yes")</f>
        <v>0</v>
      </c>
    </row>
    <row r="112" customFormat="false" ht="15" hidden="false" customHeight="false" outlineLevel="0" collapsed="false">
      <c r="A112" s="126" t="str">
        <f aca="false">IF(IFERROR(INDEX(tsk_Name,GanttView[[#This Row],[_Row]])="",TRUE()),"",INDEX(tsk_ID,GanttView[[#This Row],[_Row]]))</f>
        <v/>
      </c>
      <c r="B112" s="126" t="str">
        <f aca="false">IF(IFERROR(INDEX(tsk_Name,GanttView[[#This Row],[_Row]])="",TRUE()),"",INDEX(tsk_WBS,GanttView[[#This Row],[_Row]]))</f>
        <v/>
      </c>
      <c r="C112" s="127" t="str">
        <f aca="false">IF(IFERROR(INDEX(tsk_Name,GanttView[[#This Row],[_Row]])="",TRUE()),"",REPT("    ",INDEX(tsk_Level,GanttView[[#This Row],[_Row]])-1)&amp;INDEX(tsk_Name,GanttView[[#This Row],[_Row]]))</f>
        <v/>
      </c>
      <c r="D112" s="126" t="str">
        <f aca="false">IF(IFERROR(INDEX(tsk_Name,GanttView[[#This Row],[_Row]])="",TRUE()),"",IF(INDEX(tsk_IsSummary,GanttView[[#This Row],[_Row]]),NETWORKDAYS.INTL(INDEX(tsk_FcStart,GanttView[[#This Row],[_Row]]),INDEX(tsk_FcFinish,GanttView[[#This Row],[_Row]]),WorkWeek,Holidays),N(INDEX(tsk_Duration,GanttView[[#This Row],[_Row]]))))</f>
        <v/>
      </c>
      <c r="E112" s="128" t="str">
        <f aca="false">IF(IFERROR(INDEX(tsk_Name,GanttView[[#This Row],[_Row]])="",TRUE()),"",INDEX(tsk_PlanStart,GanttView[[#This Row],[_Row]]))</f>
        <v/>
      </c>
      <c r="F112" s="128" t="str">
        <f aca="false">IF(IFERROR(INDEX(tsk_Name,GanttView[[#This Row],[_Row]])="",TRUE()),"",INDEX(tsk_PlanFinish,GanttView[[#This Row],[_Row]]))</f>
        <v/>
      </c>
      <c r="G112" s="128" t="str">
        <f aca="false">IF(IFERROR(INDEX(tsk_Name,GanttView[[#This Row],[_Row]])="",TRUE()),"",INDEX(tsk_FcStart,GanttView[[#This Row],[_Row]]))</f>
        <v/>
      </c>
      <c r="H112" s="128" t="str">
        <f aca="false">IF(IFERROR(INDEX(tsk_Name,GanttView[[#This Row],[_Row]])="",TRUE()),"",INDEX(tsk_FcFinish,GanttView[[#This Row],[_Row]]))</f>
        <v/>
      </c>
      <c r="I112" s="129" t="str">
        <f aca="false">IF(IFERROR(INDEX(tsk_Name,GanttView[[#This Row],[_Row]])="",TRUE()),"",INDEX(tsk_Progress,GanttView[[#This Row],[_Row]]))</f>
        <v/>
      </c>
      <c r="J112" s="127" t="str">
        <f aca="false">IF(IFERROR(INDEX(tsk_Name,GanttView[[#This Row],[_Row]])="",TRUE()),"",INDEX(tsk_ResourceNames,GanttView[[#This Row],[_Row]])&amp;"")</f>
        <v/>
      </c>
      <c r="K112" s="126" t="str">
        <f aca="false">IF(IFERROR(INDEX(tsk_Name,GanttView[[#This Row],[_Row]])="",TRUE()),"",INDEX(tsk_Status,GanttView[[#This Row],[_Row]]))</f>
        <v/>
      </c>
      <c r="L112" s="126" t="str">
        <f aca="false">IF(IFERROR(INDEX(tsk_Name,GanttView[[#This Row],[_Row]])="",TRUE()),"",INDEX(tsk_Show,GanttView[[#This Row],[_Row]])&amp;"")</f>
        <v/>
      </c>
      <c r="M112" s="130" t="n">
        <f aca="false">ROW()-ROW(GanttView[[#Headers],[ID]])</f>
        <v>107</v>
      </c>
      <c r="N112" s="131" t="b">
        <f aca="false">IF(IFERROR(INDEX(tsk_Name,GanttView[[#This Row],[_Row]])="",TRUE()),FALSE(),INDEX(tsk_IsSummary,GanttView[[#This Row],[_Row]]))</f>
        <v>0</v>
      </c>
      <c r="O112" s="131" t="b">
        <f aca="false">IF(IFERROR(INDEX(tsk_Name,GanttView[[#This Row],[_Row]])="",TRUE()),FALSE(),AND(INDEX(tsk_IsLeaf,GanttView[[#This Row],[_Row]])=1,N(INDEX(tsk_Duration,GanttView[[#This Row],[_Row]]))=0))</f>
        <v>0</v>
      </c>
      <c r="P112" s="132" t="n">
        <f aca="false">IF(IFERROR(INDEX(tsk_Name,GanttView[[#This Row],[_Row]])="",TRUE()),0,IF(AND(INDEX(tsk_IsLeaf,GanttView[[#This Row],[_Row]])=1,NOT(GanttView[[#This Row],[_IsMilestone]]),N(GanttView[[#This Row],[%]])&gt;0),GanttView[[#This Row],[Forecast Start]],0))</f>
        <v>0</v>
      </c>
      <c r="Q112" s="132" t="n">
        <f aca="false">IF(GanttView[[#This Row],[_DoneFrom]]=0,0,IF(GanttView[[#This Row],[%]]&gt;=1,GanttView[[#This Row],[Forecast Finish]],MAX(GanttView[[#This Row],[_DoneFrom]],GanttView[[#This Row],[Forecast Start]]+ROUND((GanttView[[#This Row],[Forecast Finish]]-GanttView[[#This Row],[Forecast Start]]+1)*GanttView[[#This Row],[%]],0)-1)))</f>
        <v>0</v>
      </c>
      <c r="R112" s="132" t="n">
        <f aca="false">IF(IFERROR(INDEX(tsk_Name,GanttView[[#This Row],[_Row]])="",TRUE()),0,IF(OR(INDEX(tsk_IsLeaf,GanttView[[#This Row],[_Row]])&lt;&gt;1,GanttView[[#This Row],[_IsMilestone]],N(GanttView[[#This Row],[%]])&gt;=1),0,IF(GanttView[[#This Row],[_DoneTo]]&gt;0,GanttView[[#This Row],[_DoneTo]]+1,GanttView[[#This Row],[Forecast Start]])))</f>
        <v>0</v>
      </c>
      <c r="S112" s="132" t="n">
        <f aca="false">IF(GanttView[[#This Row],[_RemFrom]]=0,0,GanttView[[#This Row],[Forecast Finish]])</f>
        <v>0</v>
      </c>
      <c r="T112" s="131" t="b">
        <f aca="false">IF(IFERROR(INDEX(tsk_Name,GanttView[[#This Row],[_Row]])="",TRUE()),FALSE(),N(INDEX(tsk_Variance,GanttView[[#This Row],[_Row]]))&gt;0)</f>
        <v>0</v>
      </c>
      <c r="U112" s="132" t="n">
        <f aca="false">IF(IFERROR(INDEX(tsk_Name,GanttView[[#This Row],[_Row]])="",TRUE()),0,N(INDEX(tsk_Deadline,GanttView[[#This Row],[_Row]])))</f>
        <v>0</v>
      </c>
      <c r="V112" s="131" t="b">
        <f aca="false">IF(IFERROR(INDEX(tsk_Name,GanttView[[#This Row],[_Row]])="",TRUE()),FALSE(),INDEX(tsk_Critical,GanttView[[#This Row],[_Row]])="Yes")</f>
        <v>0</v>
      </c>
    </row>
    <row r="113" customFormat="false" ht="15" hidden="false" customHeight="false" outlineLevel="0" collapsed="false">
      <c r="A113" s="126" t="str">
        <f aca="false">IF(IFERROR(INDEX(tsk_Name,GanttView[[#This Row],[_Row]])="",TRUE()),"",INDEX(tsk_ID,GanttView[[#This Row],[_Row]]))</f>
        <v/>
      </c>
      <c r="B113" s="126" t="str">
        <f aca="false">IF(IFERROR(INDEX(tsk_Name,GanttView[[#This Row],[_Row]])="",TRUE()),"",INDEX(tsk_WBS,GanttView[[#This Row],[_Row]]))</f>
        <v/>
      </c>
      <c r="C113" s="127" t="str">
        <f aca="false">IF(IFERROR(INDEX(tsk_Name,GanttView[[#This Row],[_Row]])="",TRUE()),"",REPT("    ",INDEX(tsk_Level,GanttView[[#This Row],[_Row]])-1)&amp;INDEX(tsk_Name,GanttView[[#This Row],[_Row]]))</f>
        <v/>
      </c>
      <c r="D113" s="126" t="str">
        <f aca="false">IF(IFERROR(INDEX(tsk_Name,GanttView[[#This Row],[_Row]])="",TRUE()),"",IF(INDEX(tsk_IsSummary,GanttView[[#This Row],[_Row]]),NETWORKDAYS.INTL(INDEX(tsk_FcStart,GanttView[[#This Row],[_Row]]),INDEX(tsk_FcFinish,GanttView[[#This Row],[_Row]]),WorkWeek,Holidays),N(INDEX(tsk_Duration,GanttView[[#This Row],[_Row]]))))</f>
        <v/>
      </c>
      <c r="E113" s="128" t="str">
        <f aca="false">IF(IFERROR(INDEX(tsk_Name,GanttView[[#This Row],[_Row]])="",TRUE()),"",INDEX(tsk_PlanStart,GanttView[[#This Row],[_Row]]))</f>
        <v/>
      </c>
      <c r="F113" s="128" t="str">
        <f aca="false">IF(IFERROR(INDEX(tsk_Name,GanttView[[#This Row],[_Row]])="",TRUE()),"",INDEX(tsk_PlanFinish,GanttView[[#This Row],[_Row]]))</f>
        <v/>
      </c>
      <c r="G113" s="128" t="str">
        <f aca="false">IF(IFERROR(INDEX(tsk_Name,GanttView[[#This Row],[_Row]])="",TRUE()),"",INDEX(tsk_FcStart,GanttView[[#This Row],[_Row]]))</f>
        <v/>
      </c>
      <c r="H113" s="128" t="str">
        <f aca="false">IF(IFERROR(INDEX(tsk_Name,GanttView[[#This Row],[_Row]])="",TRUE()),"",INDEX(tsk_FcFinish,GanttView[[#This Row],[_Row]]))</f>
        <v/>
      </c>
      <c r="I113" s="129" t="str">
        <f aca="false">IF(IFERROR(INDEX(tsk_Name,GanttView[[#This Row],[_Row]])="",TRUE()),"",INDEX(tsk_Progress,GanttView[[#This Row],[_Row]]))</f>
        <v/>
      </c>
      <c r="J113" s="127" t="str">
        <f aca="false">IF(IFERROR(INDEX(tsk_Name,GanttView[[#This Row],[_Row]])="",TRUE()),"",INDEX(tsk_ResourceNames,GanttView[[#This Row],[_Row]])&amp;"")</f>
        <v/>
      </c>
      <c r="K113" s="126" t="str">
        <f aca="false">IF(IFERROR(INDEX(tsk_Name,GanttView[[#This Row],[_Row]])="",TRUE()),"",INDEX(tsk_Status,GanttView[[#This Row],[_Row]]))</f>
        <v/>
      </c>
      <c r="L113" s="126" t="str">
        <f aca="false">IF(IFERROR(INDEX(tsk_Name,GanttView[[#This Row],[_Row]])="",TRUE()),"",INDEX(tsk_Show,GanttView[[#This Row],[_Row]])&amp;"")</f>
        <v/>
      </c>
      <c r="M113" s="130" t="n">
        <f aca="false">ROW()-ROW(GanttView[[#Headers],[ID]])</f>
        <v>108</v>
      </c>
      <c r="N113" s="131" t="b">
        <f aca="false">IF(IFERROR(INDEX(tsk_Name,GanttView[[#This Row],[_Row]])="",TRUE()),FALSE(),INDEX(tsk_IsSummary,GanttView[[#This Row],[_Row]]))</f>
        <v>0</v>
      </c>
      <c r="O113" s="131" t="b">
        <f aca="false">IF(IFERROR(INDEX(tsk_Name,GanttView[[#This Row],[_Row]])="",TRUE()),FALSE(),AND(INDEX(tsk_IsLeaf,GanttView[[#This Row],[_Row]])=1,N(INDEX(tsk_Duration,GanttView[[#This Row],[_Row]]))=0))</f>
        <v>0</v>
      </c>
      <c r="P113" s="132" t="n">
        <f aca="false">IF(IFERROR(INDEX(tsk_Name,GanttView[[#This Row],[_Row]])="",TRUE()),0,IF(AND(INDEX(tsk_IsLeaf,GanttView[[#This Row],[_Row]])=1,NOT(GanttView[[#This Row],[_IsMilestone]]),N(GanttView[[#This Row],[%]])&gt;0),GanttView[[#This Row],[Forecast Start]],0))</f>
        <v>0</v>
      </c>
      <c r="Q113" s="132" t="n">
        <f aca="false">IF(GanttView[[#This Row],[_DoneFrom]]=0,0,IF(GanttView[[#This Row],[%]]&gt;=1,GanttView[[#This Row],[Forecast Finish]],MAX(GanttView[[#This Row],[_DoneFrom]],GanttView[[#This Row],[Forecast Start]]+ROUND((GanttView[[#This Row],[Forecast Finish]]-GanttView[[#This Row],[Forecast Start]]+1)*GanttView[[#This Row],[%]],0)-1)))</f>
        <v>0</v>
      </c>
      <c r="R113" s="132" t="n">
        <f aca="false">IF(IFERROR(INDEX(tsk_Name,GanttView[[#This Row],[_Row]])="",TRUE()),0,IF(OR(INDEX(tsk_IsLeaf,GanttView[[#This Row],[_Row]])&lt;&gt;1,GanttView[[#This Row],[_IsMilestone]],N(GanttView[[#This Row],[%]])&gt;=1),0,IF(GanttView[[#This Row],[_DoneTo]]&gt;0,GanttView[[#This Row],[_DoneTo]]+1,GanttView[[#This Row],[Forecast Start]])))</f>
        <v>0</v>
      </c>
      <c r="S113" s="132" t="n">
        <f aca="false">IF(GanttView[[#This Row],[_RemFrom]]=0,0,GanttView[[#This Row],[Forecast Finish]])</f>
        <v>0</v>
      </c>
      <c r="T113" s="131" t="b">
        <f aca="false">IF(IFERROR(INDEX(tsk_Name,GanttView[[#This Row],[_Row]])="",TRUE()),FALSE(),N(INDEX(tsk_Variance,GanttView[[#This Row],[_Row]]))&gt;0)</f>
        <v>0</v>
      </c>
      <c r="U113" s="132" t="n">
        <f aca="false">IF(IFERROR(INDEX(tsk_Name,GanttView[[#This Row],[_Row]])="",TRUE()),0,N(INDEX(tsk_Deadline,GanttView[[#This Row],[_Row]])))</f>
        <v>0</v>
      </c>
      <c r="V113" s="131" t="b">
        <f aca="false">IF(IFERROR(INDEX(tsk_Name,GanttView[[#This Row],[_Row]])="",TRUE()),FALSE(),INDEX(tsk_Critical,GanttView[[#This Row],[_Row]])="Yes")</f>
        <v>0</v>
      </c>
    </row>
    <row r="114" customFormat="false" ht="15" hidden="false" customHeight="false" outlineLevel="0" collapsed="false">
      <c r="A114" s="126" t="str">
        <f aca="false">IF(IFERROR(INDEX(tsk_Name,GanttView[[#This Row],[_Row]])="",TRUE()),"",INDEX(tsk_ID,GanttView[[#This Row],[_Row]]))</f>
        <v/>
      </c>
      <c r="B114" s="126" t="str">
        <f aca="false">IF(IFERROR(INDEX(tsk_Name,GanttView[[#This Row],[_Row]])="",TRUE()),"",INDEX(tsk_WBS,GanttView[[#This Row],[_Row]]))</f>
        <v/>
      </c>
      <c r="C114" s="127" t="str">
        <f aca="false">IF(IFERROR(INDEX(tsk_Name,GanttView[[#This Row],[_Row]])="",TRUE()),"",REPT("    ",INDEX(tsk_Level,GanttView[[#This Row],[_Row]])-1)&amp;INDEX(tsk_Name,GanttView[[#This Row],[_Row]]))</f>
        <v/>
      </c>
      <c r="D114" s="126" t="str">
        <f aca="false">IF(IFERROR(INDEX(tsk_Name,GanttView[[#This Row],[_Row]])="",TRUE()),"",IF(INDEX(tsk_IsSummary,GanttView[[#This Row],[_Row]]),NETWORKDAYS.INTL(INDEX(tsk_FcStart,GanttView[[#This Row],[_Row]]),INDEX(tsk_FcFinish,GanttView[[#This Row],[_Row]]),WorkWeek,Holidays),N(INDEX(tsk_Duration,GanttView[[#This Row],[_Row]]))))</f>
        <v/>
      </c>
      <c r="E114" s="128" t="str">
        <f aca="false">IF(IFERROR(INDEX(tsk_Name,GanttView[[#This Row],[_Row]])="",TRUE()),"",INDEX(tsk_PlanStart,GanttView[[#This Row],[_Row]]))</f>
        <v/>
      </c>
      <c r="F114" s="128" t="str">
        <f aca="false">IF(IFERROR(INDEX(tsk_Name,GanttView[[#This Row],[_Row]])="",TRUE()),"",INDEX(tsk_PlanFinish,GanttView[[#This Row],[_Row]]))</f>
        <v/>
      </c>
      <c r="G114" s="128" t="str">
        <f aca="false">IF(IFERROR(INDEX(tsk_Name,GanttView[[#This Row],[_Row]])="",TRUE()),"",INDEX(tsk_FcStart,GanttView[[#This Row],[_Row]]))</f>
        <v/>
      </c>
      <c r="H114" s="128" t="str">
        <f aca="false">IF(IFERROR(INDEX(tsk_Name,GanttView[[#This Row],[_Row]])="",TRUE()),"",INDEX(tsk_FcFinish,GanttView[[#This Row],[_Row]]))</f>
        <v/>
      </c>
      <c r="I114" s="129" t="str">
        <f aca="false">IF(IFERROR(INDEX(tsk_Name,GanttView[[#This Row],[_Row]])="",TRUE()),"",INDEX(tsk_Progress,GanttView[[#This Row],[_Row]]))</f>
        <v/>
      </c>
      <c r="J114" s="127" t="str">
        <f aca="false">IF(IFERROR(INDEX(tsk_Name,GanttView[[#This Row],[_Row]])="",TRUE()),"",INDEX(tsk_ResourceNames,GanttView[[#This Row],[_Row]])&amp;"")</f>
        <v/>
      </c>
      <c r="K114" s="126" t="str">
        <f aca="false">IF(IFERROR(INDEX(tsk_Name,GanttView[[#This Row],[_Row]])="",TRUE()),"",INDEX(tsk_Status,GanttView[[#This Row],[_Row]]))</f>
        <v/>
      </c>
      <c r="L114" s="126" t="str">
        <f aca="false">IF(IFERROR(INDEX(tsk_Name,GanttView[[#This Row],[_Row]])="",TRUE()),"",INDEX(tsk_Show,GanttView[[#This Row],[_Row]])&amp;"")</f>
        <v/>
      </c>
      <c r="M114" s="130" t="n">
        <f aca="false">ROW()-ROW(GanttView[[#Headers],[ID]])</f>
        <v>109</v>
      </c>
      <c r="N114" s="131" t="b">
        <f aca="false">IF(IFERROR(INDEX(tsk_Name,GanttView[[#This Row],[_Row]])="",TRUE()),FALSE(),INDEX(tsk_IsSummary,GanttView[[#This Row],[_Row]]))</f>
        <v>0</v>
      </c>
      <c r="O114" s="131" t="b">
        <f aca="false">IF(IFERROR(INDEX(tsk_Name,GanttView[[#This Row],[_Row]])="",TRUE()),FALSE(),AND(INDEX(tsk_IsLeaf,GanttView[[#This Row],[_Row]])=1,N(INDEX(tsk_Duration,GanttView[[#This Row],[_Row]]))=0))</f>
        <v>0</v>
      </c>
      <c r="P114" s="132" t="n">
        <f aca="false">IF(IFERROR(INDEX(tsk_Name,GanttView[[#This Row],[_Row]])="",TRUE()),0,IF(AND(INDEX(tsk_IsLeaf,GanttView[[#This Row],[_Row]])=1,NOT(GanttView[[#This Row],[_IsMilestone]]),N(GanttView[[#This Row],[%]])&gt;0),GanttView[[#This Row],[Forecast Start]],0))</f>
        <v>0</v>
      </c>
      <c r="Q114" s="132" t="n">
        <f aca="false">IF(GanttView[[#This Row],[_DoneFrom]]=0,0,IF(GanttView[[#This Row],[%]]&gt;=1,GanttView[[#This Row],[Forecast Finish]],MAX(GanttView[[#This Row],[_DoneFrom]],GanttView[[#This Row],[Forecast Start]]+ROUND((GanttView[[#This Row],[Forecast Finish]]-GanttView[[#This Row],[Forecast Start]]+1)*GanttView[[#This Row],[%]],0)-1)))</f>
        <v>0</v>
      </c>
      <c r="R114" s="132" t="n">
        <f aca="false">IF(IFERROR(INDEX(tsk_Name,GanttView[[#This Row],[_Row]])="",TRUE()),0,IF(OR(INDEX(tsk_IsLeaf,GanttView[[#This Row],[_Row]])&lt;&gt;1,GanttView[[#This Row],[_IsMilestone]],N(GanttView[[#This Row],[%]])&gt;=1),0,IF(GanttView[[#This Row],[_DoneTo]]&gt;0,GanttView[[#This Row],[_DoneTo]]+1,GanttView[[#This Row],[Forecast Start]])))</f>
        <v>0</v>
      </c>
      <c r="S114" s="132" t="n">
        <f aca="false">IF(GanttView[[#This Row],[_RemFrom]]=0,0,GanttView[[#This Row],[Forecast Finish]])</f>
        <v>0</v>
      </c>
      <c r="T114" s="131" t="b">
        <f aca="false">IF(IFERROR(INDEX(tsk_Name,GanttView[[#This Row],[_Row]])="",TRUE()),FALSE(),N(INDEX(tsk_Variance,GanttView[[#This Row],[_Row]]))&gt;0)</f>
        <v>0</v>
      </c>
      <c r="U114" s="132" t="n">
        <f aca="false">IF(IFERROR(INDEX(tsk_Name,GanttView[[#This Row],[_Row]])="",TRUE()),0,N(INDEX(tsk_Deadline,GanttView[[#This Row],[_Row]])))</f>
        <v>0</v>
      </c>
      <c r="V114" s="131" t="b">
        <f aca="false">IF(IFERROR(INDEX(tsk_Name,GanttView[[#This Row],[_Row]])="",TRUE()),FALSE(),INDEX(tsk_Critical,GanttView[[#This Row],[_Row]])="Yes")</f>
        <v>0</v>
      </c>
    </row>
    <row r="115" customFormat="false" ht="15" hidden="false" customHeight="false" outlineLevel="0" collapsed="false">
      <c r="A115" s="126" t="str">
        <f aca="false">IF(IFERROR(INDEX(tsk_Name,GanttView[[#This Row],[_Row]])="",TRUE()),"",INDEX(tsk_ID,GanttView[[#This Row],[_Row]]))</f>
        <v/>
      </c>
      <c r="B115" s="126" t="str">
        <f aca="false">IF(IFERROR(INDEX(tsk_Name,GanttView[[#This Row],[_Row]])="",TRUE()),"",INDEX(tsk_WBS,GanttView[[#This Row],[_Row]]))</f>
        <v/>
      </c>
      <c r="C115" s="127" t="str">
        <f aca="false">IF(IFERROR(INDEX(tsk_Name,GanttView[[#This Row],[_Row]])="",TRUE()),"",REPT("    ",INDEX(tsk_Level,GanttView[[#This Row],[_Row]])-1)&amp;INDEX(tsk_Name,GanttView[[#This Row],[_Row]]))</f>
        <v/>
      </c>
      <c r="D115" s="126" t="str">
        <f aca="false">IF(IFERROR(INDEX(tsk_Name,GanttView[[#This Row],[_Row]])="",TRUE()),"",IF(INDEX(tsk_IsSummary,GanttView[[#This Row],[_Row]]),NETWORKDAYS.INTL(INDEX(tsk_FcStart,GanttView[[#This Row],[_Row]]),INDEX(tsk_FcFinish,GanttView[[#This Row],[_Row]]),WorkWeek,Holidays),N(INDEX(tsk_Duration,GanttView[[#This Row],[_Row]]))))</f>
        <v/>
      </c>
      <c r="E115" s="128" t="str">
        <f aca="false">IF(IFERROR(INDEX(tsk_Name,GanttView[[#This Row],[_Row]])="",TRUE()),"",INDEX(tsk_PlanStart,GanttView[[#This Row],[_Row]]))</f>
        <v/>
      </c>
      <c r="F115" s="128" t="str">
        <f aca="false">IF(IFERROR(INDEX(tsk_Name,GanttView[[#This Row],[_Row]])="",TRUE()),"",INDEX(tsk_PlanFinish,GanttView[[#This Row],[_Row]]))</f>
        <v/>
      </c>
      <c r="G115" s="128" t="str">
        <f aca="false">IF(IFERROR(INDEX(tsk_Name,GanttView[[#This Row],[_Row]])="",TRUE()),"",INDEX(tsk_FcStart,GanttView[[#This Row],[_Row]]))</f>
        <v/>
      </c>
      <c r="H115" s="128" t="str">
        <f aca="false">IF(IFERROR(INDEX(tsk_Name,GanttView[[#This Row],[_Row]])="",TRUE()),"",INDEX(tsk_FcFinish,GanttView[[#This Row],[_Row]]))</f>
        <v/>
      </c>
      <c r="I115" s="129" t="str">
        <f aca="false">IF(IFERROR(INDEX(tsk_Name,GanttView[[#This Row],[_Row]])="",TRUE()),"",INDEX(tsk_Progress,GanttView[[#This Row],[_Row]]))</f>
        <v/>
      </c>
      <c r="J115" s="127" t="str">
        <f aca="false">IF(IFERROR(INDEX(tsk_Name,GanttView[[#This Row],[_Row]])="",TRUE()),"",INDEX(tsk_ResourceNames,GanttView[[#This Row],[_Row]])&amp;"")</f>
        <v/>
      </c>
      <c r="K115" s="126" t="str">
        <f aca="false">IF(IFERROR(INDEX(tsk_Name,GanttView[[#This Row],[_Row]])="",TRUE()),"",INDEX(tsk_Status,GanttView[[#This Row],[_Row]]))</f>
        <v/>
      </c>
      <c r="L115" s="126" t="str">
        <f aca="false">IF(IFERROR(INDEX(tsk_Name,GanttView[[#This Row],[_Row]])="",TRUE()),"",INDEX(tsk_Show,GanttView[[#This Row],[_Row]])&amp;"")</f>
        <v/>
      </c>
      <c r="M115" s="130" t="n">
        <f aca="false">ROW()-ROW(GanttView[[#Headers],[ID]])</f>
        <v>110</v>
      </c>
      <c r="N115" s="131" t="b">
        <f aca="false">IF(IFERROR(INDEX(tsk_Name,GanttView[[#This Row],[_Row]])="",TRUE()),FALSE(),INDEX(tsk_IsSummary,GanttView[[#This Row],[_Row]]))</f>
        <v>0</v>
      </c>
      <c r="O115" s="131" t="b">
        <f aca="false">IF(IFERROR(INDEX(tsk_Name,GanttView[[#This Row],[_Row]])="",TRUE()),FALSE(),AND(INDEX(tsk_IsLeaf,GanttView[[#This Row],[_Row]])=1,N(INDEX(tsk_Duration,GanttView[[#This Row],[_Row]]))=0))</f>
        <v>0</v>
      </c>
      <c r="P115" s="132" t="n">
        <f aca="false">IF(IFERROR(INDEX(tsk_Name,GanttView[[#This Row],[_Row]])="",TRUE()),0,IF(AND(INDEX(tsk_IsLeaf,GanttView[[#This Row],[_Row]])=1,NOT(GanttView[[#This Row],[_IsMilestone]]),N(GanttView[[#This Row],[%]])&gt;0),GanttView[[#This Row],[Forecast Start]],0))</f>
        <v>0</v>
      </c>
      <c r="Q115" s="132" t="n">
        <f aca="false">IF(GanttView[[#This Row],[_DoneFrom]]=0,0,IF(GanttView[[#This Row],[%]]&gt;=1,GanttView[[#This Row],[Forecast Finish]],MAX(GanttView[[#This Row],[_DoneFrom]],GanttView[[#This Row],[Forecast Start]]+ROUND((GanttView[[#This Row],[Forecast Finish]]-GanttView[[#This Row],[Forecast Start]]+1)*GanttView[[#This Row],[%]],0)-1)))</f>
        <v>0</v>
      </c>
      <c r="R115" s="132" t="n">
        <f aca="false">IF(IFERROR(INDEX(tsk_Name,GanttView[[#This Row],[_Row]])="",TRUE()),0,IF(OR(INDEX(tsk_IsLeaf,GanttView[[#This Row],[_Row]])&lt;&gt;1,GanttView[[#This Row],[_IsMilestone]],N(GanttView[[#This Row],[%]])&gt;=1),0,IF(GanttView[[#This Row],[_DoneTo]]&gt;0,GanttView[[#This Row],[_DoneTo]]+1,GanttView[[#This Row],[Forecast Start]])))</f>
        <v>0</v>
      </c>
      <c r="S115" s="132" t="n">
        <f aca="false">IF(GanttView[[#This Row],[_RemFrom]]=0,0,GanttView[[#This Row],[Forecast Finish]])</f>
        <v>0</v>
      </c>
      <c r="T115" s="131" t="b">
        <f aca="false">IF(IFERROR(INDEX(tsk_Name,GanttView[[#This Row],[_Row]])="",TRUE()),FALSE(),N(INDEX(tsk_Variance,GanttView[[#This Row],[_Row]]))&gt;0)</f>
        <v>0</v>
      </c>
      <c r="U115" s="132" t="n">
        <f aca="false">IF(IFERROR(INDEX(tsk_Name,GanttView[[#This Row],[_Row]])="",TRUE()),0,N(INDEX(tsk_Deadline,GanttView[[#This Row],[_Row]])))</f>
        <v>0</v>
      </c>
      <c r="V115" s="131" t="b">
        <f aca="false">IF(IFERROR(INDEX(tsk_Name,GanttView[[#This Row],[_Row]])="",TRUE()),FALSE(),INDEX(tsk_Critical,GanttView[[#This Row],[_Row]])="Yes")</f>
        <v>0</v>
      </c>
    </row>
    <row r="116" customFormat="false" ht="15" hidden="false" customHeight="false" outlineLevel="0" collapsed="false">
      <c r="A116" s="126" t="str">
        <f aca="false">IF(IFERROR(INDEX(tsk_Name,GanttView[[#This Row],[_Row]])="",TRUE()),"",INDEX(tsk_ID,GanttView[[#This Row],[_Row]]))</f>
        <v/>
      </c>
      <c r="B116" s="126" t="str">
        <f aca="false">IF(IFERROR(INDEX(tsk_Name,GanttView[[#This Row],[_Row]])="",TRUE()),"",INDEX(tsk_WBS,GanttView[[#This Row],[_Row]]))</f>
        <v/>
      </c>
      <c r="C116" s="127" t="str">
        <f aca="false">IF(IFERROR(INDEX(tsk_Name,GanttView[[#This Row],[_Row]])="",TRUE()),"",REPT("    ",INDEX(tsk_Level,GanttView[[#This Row],[_Row]])-1)&amp;INDEX(tsk_Name,GanttView[[#This Row],[_Row]]))</f>
        <v/>
      </c>
      <c r="D116" s="126" t="str">
        <f aca="false">IF(IFERROR(INDEX(tsk_Name,GanttView[[#This Row],[_Row]])="",TRUE()),"",IF(INDEX(tsk_IsSummary,GanttView[[#This Row],[_Row]]),NETWORKDAYS.INTL(INDEX(tsk_FcStart,GanttView[[#This Row],[_Row]]),INDEX(tsk_FcFinish,GanttView[[#This Row],[_Row]]),WorkWeek,Holidays),N(INDEX(tsk_Duration,GanttView[[#This Row],[_Row]]))))</f>
        <v/>
      </c>
      <c r="E116" s="128" t="str">
        <f aca="false">IF(IFERROR(INDEX(tsk_Name,GanttView[[#This Row],[_Row]])="",TRUE()),"",INDEX(tsk_PlanStart,GanttView[[#This Row],[_Row]]))</f>
        <v/>
      </c>
      <c r="F116" s="128" t="str">
        <f aca="false">IF(IFERROR(INDEX(tsk_Name,GanttView[[#This Row],[_Row]])="",TRUE()),"",INDEX(tsk_PlanFinish,GanttView[[#This Row],[_Row]]))</f>
        <v/>
      </c>
      <c r="G116" s="128" t="str">
        <f aca="false">IF(IFERROR(INDEX(tsk_Name,GanttView[[#This Row],[_Row]])="",TRUE()),"",INDEX(tsk_FcStart,GanttView[[#This Row],[_Row]]))</f>
        <v/>
      </c>
      <c r="H116" s="128" t="str">
        <f aca="false">IF(IFERROR(INDEX(tsk_Name,GanttView[[#This Row],[_Row]])="",TRUE()),"",INDEX(tsk_FcFinish,GanttView[[#This Row],[_Row]]))</f>
        <v/>
      </c>
      <c r="I116" s="129" t="str">
        <f aca="false">IF(IFERROR(INDEX(tsk_Name,GanttView[[#This Row],[_Row]])="",TRUE()),"",INDEX(tsk_Progress,GanttView[[#This Row],[_Row]]))</f>
        <v/>
      </c>
      <c r="J116" s="127" t="str">
        <f aca="false">IF(IFERROR(INDEX(tsk_Name,GanttView[[#This Row],[_Row]])="",TRUE()),"",INDEX(tsk_ResourceNames,GanttView[[#This Row],[_Row]])&amp;"")</f>
        <v/>
      </c>
      <c r="K116" s="126" t="str">
        <f aca="false">IF(IFERROR(INDEX(tsk_Name,GanttView[[#This Row],[_Row]])="",TRUE()),"",INDEX(tsk_Status,GanttView[[#This Row],[_Row]]))</f>
        <v/>
      </c>
      <c r="L116" s="126" t="str">
        <f aca="false">IF(IFERROR(INDEX(tsk_Name,GanttView[[#This Row],[_Row]])="",TRUE()),"",INDEX(tsk_Show,GanttView[[#This Row],[_Row]])&amp;"")</f>
        <v/>
      </c>
      <c r="M116" s="130" t="n">
        <f aca="false">ROW()-ROW(GanttView[[#Headers],[ID]])</f>
        <v>111</v>
      </c>
      <c r="N116" s="131" t="b">
        <f aca="false">IF(IFERROR(INDEX(tsk_Name,GanttView[[#This Row],[_Row]])="",TRUE()),FALSE(),INDEX(tsk_IsSummary,GanttView[[#This Row],[_Row]]))</f>
        <v>0</v>
      </c>
      <c r="O116" s="131" t="b">
        <f aca="false">IF(IFERROR(INDEX(tsk_Name,GanttView[[#This Row],[_Row]])="",TRUE()),FALSE(),AND(INDEX(tsk_IsLeaf,GanttView[[#This Row],[_Row]])=1,N(INDEX(tsk_Duration,GanttView[[#This Row],[_Row]]))=0))</f>
        <v>0</v>
      </c>
      <c r="P116" s="132" t="n">
        <f aca="false">IF(IFERROR(INDEX(tsk_Name,GanttView[[#This Row],[_Row]])="",TRUE()),0,IF(AND(INDEX(tsk_IsLeaf,GanttView[[#This Row],[_Row]])=1,NOT(GanttView[[#This Row],[_IsMilestone]]),N(GanttView[[#This Row],[%]])&gt;0),GanttView[[#This Row],[Forecast Start]],0))</f>
        <v>0</v>
      </c>
      <c r="Q116" s="132" t="n">
        <f aca="false">IF(GanttView[[#This Row],[_DoneFrom]]=0,0,IF(GanttView[[#This Row],[%]]&gt;=1,GanttView[[#This Row],[Forecast Finish]],MAX(GanttView[[#This Row],[_DoneFrom]],GanttView[[#This Row],[Forecast Start]]+ROUND((GanttView[[#This Row],[Forecast Finish]]-GanttView[[#This Row],[Forecast Start]]+1)*GanttView[[#This Row],[%]],0)-1)))</f>
        <v>0</v>
      </c>
      <c r="R116" s="132" t="n">
        <f aca="false">IF(IFERROR(INDEX(tsk_Name,GanttView[[#This Row],[_Row]])="",TRUE()),0,IF(OR(INDEX(tsk_IsLeaf,GanttView[[#This Row],[_Row]])&lt;&gt;1,GanttView[[#This Row],[_IsMilestone]],N(GanttView[[#This Row],[%]])&gt;=1),0,IF(GanttView[[#This Row],[_DoneTo]]&gt;0,GanttView[[#This Row],[_DoneTo]]+1,GanttView[[#This Row],[Forecast Start]])))</f>
        <v>0</v>
      </c>
      <c r="S116" s="132" t="n">
        <f aca="false">IF(GanttView[[#This Row],[_RemFrom]]=0,0,GanttView[[#This Row],[Forecast Finish]])</f>
        <v>0</v>
      </c>
      <c r="T116" s="131" t="b">
        <f aca="false">IF(IFERROR(INDEX(tsk_Name,GanttView[[#This Row],[_Row]])="",TRUE()),FALSE(),N(INDEX(tsk_Variance,GanttView[[#This Row],[_Row]]))&gt;0)</f>
        <v>0</v>
      </c>
      <c r="U116" s="132" t="n">
        <f aca="false">IF(IFERROR(INDEX(tsk_Name,GanttView[[#This Row],[_Row]])="",TRUE()),0,N(INDEX(tsk_Deadline,GanttView[[#This Row],[_Row]])))</f>
        <v>0</v>
      </c>
      <c r="V116" s="131" t="b">
        <f aca="false">IF(IFERROR(INDEX(tsk_Name,GanttView[[#This Row],[_Row]])="",TRUE()),FALSE(),INDEX(tsk_Critical,GanttView[[#This Row],[_Row]])="Yes")</f>
        <v>0</v>
      </c>
    </row>
    <row r="117" customFormat="false" ht="15" hidden="false" customHeight="false" outlineLevel="0" collapsed="false">
      <c r="A117" s="126" t="str">
        <f aca="false">IF(IFERROR(INDEX(tsk_Name,GanttView[[#This Row],[_Row]])="",TRUE()),"",INDEX(tsk_ID,GanttView[[#This Row],[_Row]]))</f>
        <v/>
      </c>
      <c r="B117" s="126" t="str">
        <f aca="false">IF(IFERROR(INDEX(tsk_Name,GanttView[[#This Row],[_Row]])="",TRUE()),"",INDEX(tsk_WBS,GanttView[[#This Row],[_Row]]))</f>
        <v/>
      </c>
      <c r="C117" s="127" t="str">
        <f aca="false">IF(IFERROR(INDEX(tsk_Name,GanttView[[#This Row],[_Row]])="",TRUE()),"",REPT("    ",INDEX(tsk_Level,GanttView[[#This Row],[_Row]])-1)&amp;INDEX(tsk_Name,GanttView[[#This Row],[_Row]]))</f>
        <v/>
      </c>
      <c r="D117" s="126" t="str">
        <f aca="false">IF(IFERROR(INDEX(tsk_Name,GanttView[[#This Row],[_Row]])="",TRUE()),"",IF(INDEX(tsk_IsSummary,GanttView[[#This Row],[_Row]]),NETWORKDAYS.INTL(INDEX(tsk_FcStart,GanttView[[#This Row],[_Row]]),INDEX(tsk_FcFinish,GanttView[[#This Row],[_Row]]),WorkWeek,Holidays),N(INDEX(tsk_Duration,GanttView[[#This Row],[_Row]]))))</f>
        <v/>
      </c>
      <c r="E117" s="128" t="str">
        <f aca="false">IF(IFERROR(INDEX(tsk_Name,GanttView[[#This Row],[_Row]])="",TRUE()),"",INDEX(tsk_PlanStart,GanttView[[#This Row],[_Row]]))</f>
        <v/>
      </c>
      <c r="F117" s="128" t="str">
        <f aca="false">IF(IFERROR(INDEX(tsk_Name,GanttView[[#This Row],[_Row]])="",TRUE()),"",INDEX(tsk_PlanFinish,GanttView[[#This Row],[_Row]]))</f>
        <v/>
      </c>
      <c r="G117" s="128" t="str">
        <f aca="false">IF(IFERROR(INDEX(tsk_Name,GanttView[[#This Row],[_Row]])="",TRUE()),"",INDEX(tsk_FcStart,GanttView[[#This Row],[_Row]]))</f>
        <v/>
      </c>
      <c r="H117" s="128" t="str">
        <f aca="false">IF(IFERROR(INDEX(tsk_Name,GanttView[[#This Row],[_Row]])="",TRUE()),"",INDEX(tsk_FcFinish,GanttView[[#This Row],[_Row]]))</f>
        <v/>
      </c>
      <c r="I117" s="129" t="str">
        <f aca="false">IF(IFERROR(INDEX(tsk_Name,GanttView[[#This Row],[_Row]])="",TRUE()),"",INDEX(tsk_Progress,GanttView[[#This Row],[_Row]]))</f>
        <v/>
      </c>
      <c r="J117" s="127" t="str">
        <f aca="false">IF(IFERROR(INDEX(tsk_Name,GanttView[[#This Row],[_Row]])="",TRUE()),"",INDEX(tsk_ResourceNames,GanttView[[#This Row],[_Row]])&amp;"")</f>
        <v/>
      </c>
      <c r="K117" s="126" t="str">
        <f aca="false">IF(IFERROR(INDEX(tsk_Name,GanttView[[#This Row],[_Row]])="",TRUE()),"",INDEX(tsk_Status,GanttView[[#This Row],[_Row]]))</f>
        <v/>
      </c>
      <c r="L117" s="126" t="str">
        <f aca="false">IF(IFERROR(INDEX(tsk_Name,GanttView[[#This Row],[_Row]])="",TRUE()),"",INDEX(tsk_Show,GanttView[[#This Row],[_Row]])&amp;"")</f>
        <v/>
      </c>
      <c r="M117" s="130" t="n">
        <f aca="false">ROW()-ROW(GanttView[[#Headers],[ID]])</f>
        <v>112</v>
      </c>
      <c r="N117" s="131" t="b">
        <f aca="false">IF(IFERROR(INDEX(tsk_Name,GanttView[[#This Row],[_Row]])="",TRUE()),FALSE(),INDEX(tsk_IsSummary,GanttView[[#This Row],[_Row]]))</f>
        <v>0</v>
      </c>
      <c r="O117" s="131" t="b">
        <f aca="false">IF(IFERROR(INDEX(tsk_Name,GanttView[[#This Row],[_Row]])="",TRUE()),FALSE(),AND(INDEX(tsk_IsLeaf,GanttView[[#This Row],[_Row]])=1,N(INDEX(tsk_Duration,GanttView[[#This Row],[_Row]]))=0))</f>
        <v>0</v>
      </c>
      <c r="P117" s="132" t="n">
        <f aca="false">IF(IFERROR(INDEX(tsk_Name,GanttView[[#This Row],[_Row]])="",TRUE()),0,IF(AND(INDEX(tsk_IsLeaf,GanttView[[#This Row],[_Row]])=1,NOT(GanttView[[#This Row],[_IsMilestone]]),N(GanttView[[#This Row],[%]])&gt;0),GanttView[[#This Row],[Forecast Start]],0))</f>
        <v>0</v>
      </c>
      <c r="Q117" s="132" t="n">
        <f aca="false">IF(GanttView[[#This Row],[_DoneFrom]]=0,0,IF(GanttView[[#This Row],[%]]&gt;=1,GanttView[[#This Row],[Forecast Finish]],MAX(GanttView[[#This Row],[_DoneFrom]],GanttView[[#This Row],[Forecast Start]]+ROUND((GanttView[[#This Row],[Forecast Finish]]-GanttView[[#This Row],[Forecast Start]]+1)*GanttView[[#This Row],[%]],0)-1)))</f>
        <v>0</v>
      </c>
      <c r="R117" s="132" t="n">
        <f aca="false">IF(IFERROR(INDEX(tsk_Name,GanttView[[#This Row],[_Row]])="",TRUE()),0,IF(OR(INDEX(tsk_IsLeaf,GanttView[[#This Row],[_Row]])&lt;&gt;1,GanttView[[#This Row],[_IsMilestone]],N(GanttView[[#This Row],[%]])&gt;=1),0,IF(GanttView[[#This Row],[_DoneTo]]&gt;0,GanttView[[#This Row],[_DoneTo]]+1,GanttView[[#This Row],[Forecast Start]])))</f>
        <v>0</v>
      </c>
      <c r="S117" s="132" t="n">
        <f aca="false">IF(GanttView[[#This Row],[_RemFrom]]=0,0,GanttView[[#This Row],[Forecast Finish]])</f>
        <v>0</v>
      </c>
      <c r="T117" s="131" t="b">
        <f aca="false">IF(IFERROR(INDEX(tsk_Name,GanttView[[#This Row],[_Row]])="",TRUE()),FALSE(),N(INDEX(tsk_Variance,GanttView[[#This Row],[_Row]]))&gt;0)</f>
        <v>0</v>
      </c>
      <c r="U117" s="132" t="n">
        <f aca="false">IF(IFERROR(INDEX(tsk_Name,GanttView[[#This Row],[_Row]])="",TRUE()),0,N(INDEX(tsk_Deadline,GanttView[[#This Row],[_Row]])))</f>
        <v>0</v>
      </c>
      <c r="V117" s="131" t="b">
        <f aca="false">IF(IFERROR(INDEX(tsk_Name,GanttView[[#This Row],[_Row]])="",TRUE()),FALSE(),INDEX(tsk_Critical,GanttView[[#This Row],[_Row]])="Yes")</f>
        <v>0</v>
      </c>
    </row>
    <row r="118" customFormat="false" ht="15" hidden="false" customHeight="false" outlineLevel="0" collapsed="false">
      <c r="A118" s="126" t="str">
        <f aca="false">IF(IFERROR(INDEX(tsk_Name,GanttView[[#This Row],[_Row]])="",TRUE()),"",INDEX(tsk_ID,GanttView[[#This Row],[_Row]]))</f>
        <v/>
      </c>
      <c r="B118" s="126" t="str">
        <f aca="false">IF(IFERROR(INDEX(tsk_Name,GanttView[[#This Row],[_Row]])="",TRUE()),"",INDEX(tsk_WBS,GanttView[[#This Row],[_Row]]))</f>
        <v/>
      </c>
      <c r="C118" s="127" t="str">
        <f aca="false">IF(IFERROR(INDEX(tsk_Name,GanttView[[#This Row],[_Row]])="",TRUE()),"",REPT("    ",INDEX(tsk_Level,GanttView[[#This Row],[_Row]])-1)&amp;INDEX(tsk_Name,GanttView[[#This Row],[_Row]]))</f>
        <v/>
      </c>
      <c r="D118" s="126" t="str">
        <f aca="false">IF(IFERROR(INDEX(tsk_Name,GanttView[[#This Row],[_Row]])="",TRUE()),"",IF(INDEX(tsk_IsSummary,GanttView[[#This Row],[_Row]]),NETWORKDAYS.INTL(INDEX(tsk_FcStart,GanttView[[#This Row],[_Row]]),INDEX(tsk_FcFinish,GanttView[[#This Row],[_Row]]),WorkWeek,Holidays),N(INDEX(tsk_Duration,GanttView[[#This Row],[_Row]]))))</f>
        <v/>
      </c>
      <c r="E118" s="128" t="str">
        <f aca="false">IF(IFERROR(INDEX(tsk_Name,GanttView[[#This Row],[_Row]])="",TRUE()),"",INDEX(tsk_PlanStart,GanttView[[#This Row],[_Row]]))</f>
        <v/>
      </c>
      <c r="F118" s="128" t="str">
        <f aca="false">IF(IFERROR(INDEX(tsk_Name,GanttView[[#This Row],[_Row]])="",TRUE()),"",INDEX(tsk_PlanFinish,GanttView[[#This Row],[_Row]]))</f>
        <v/>
      </c>
      <c r="G118" s="128" t="str">
        <f aca="false">IF(IFERROR(INDEX(tsk_Name,GanttView[[#This Row],[_Row]])="",TRUE()),"",INDEX(tsk_FcStart,GanttView[[#This Row],[_Row]]))</f>
        <v/>
      </c>
      <c r="H118" s="128" t="str">
        <f aca="false">IF(IFERROR(INDEX(tsk_Name,GanttView[[#This Row],[_Row]])="",TRUE()),"",INDEX(tsk_FcFinish,GanttView[[#This Row],[_Row]]))</f>
        <v/>
      </c>
      <c r="I118" s="129" t="str">
        <f aca="false">IF(IFERROR(INDEX(tsk_Name,GanttView[[#This Row],[_Row]])="",TRUE()),"",INDEX(tsk_Progress,GanttView[[#This Row],[_Row]]))</f>
        <v/>
      </c>
      <c r="J118" s="127" t="str">
        <f aca="false">IF(IFERROR(INDEX(tsk_Name,GanttView[[#This Row],[_Row]])="",TRUE()),"",INDEX(tsk_ResourceNames,GanttView[[#This Row],[_Row]])&amp;"")</f>
        <v/>
      </c>
      <c r="K118" s="126" t="str">
        <f aca="false">IF(IFERROR(INDEX(tsk_Name,GanttView[[#This Row],[_Row]])="",TRUE()),"",INDEX(tsk_Status,GanttView[[#This Row],[_Row]]))</f>
        <v/>
      </c>
      <c r="L118" s="126" t="str">
        <f aca="false">IF(IFERROR(INDEX(tsk_Name,GanttView[[#This Row],[_Row]])="",TRUE()),"",INDEX(tsk_Show,GanttView[[#This Row],[_Row]])&amp;"")</f>
        <v/>
      </c>
      <c r="M118" s="130" t="n">
        <f aca="false">ROW()-ROW(GanttView[[#Headers],[ID]])</f>
        <v>113</v>
      </c>
      <c r="N118" s="131" t="b">
        <f aca="false">IF(IFERROR(INDEX(tsk_Name,GanttView[[#This Row],[_Row]])="",TRUE()),FALSE(),INDEX(tsk_IsSummary,GanttView[[#This Row],[_Row]]))</f>
        <v>0</v>
      </c>
      <c r="O118" s="131" t="b">
        <f aca="false">IF(IFERROR(INDEX(tsk_Name,GanttView[[#This Row],[_Row]])="",TRUE()),FALSE(),AND(INDEX(tsk_IsLeaf,GanttView[[#This Row],[_Row]])=1,N(INDEX(tsk_Duration,GanttView[[#This Row],[_Row]]))=0))</f>
        <v>0</v>
      </c>
      <c r="P118" s="132" t="n">
        <f aca="false">IF(IFERROR(INDEX(tsk_Name,GanttView[[#This Row],[_Row]])="",TRUE()),0,IF(AND(INDEX(tsk_IsLeaf,GanttView[[#This Row],[_Row]])=1,NOT(GanttView[[#This Row],[_IsMilestone]]),N(GanttView[[#This Row],[%]])&gt;0),GanttView[[#This Row],[Forecast Start]],0))</f>
        <v>0</v>
      </c>
      <c r="Q118" s="132" t="n">
        <f aca="false">IF(GanttView[[#This Row],[_DoneFrom]]=0,0,IF(GanttView[[#This Row],[%]]&gt;=1,GanttView[[#This Row],[Forecast Finish]],MAX(GanttView[[#This Row],[_DoneFrom]],GanttView[[#This Row],[Forecast Start]]+ROUND((GanttView[[#This Row],[Forecast Finish]]-GanttView[[#This Row],[Forecast Start]]+1)*GanttView[[#This Row],[%]],0)-1)))</f>
        <v>0</v>
      </c>
      <c r="R118" s="132" t="n">
        <f aca="false">IF(IFERROR(INDEX(tsk_Name,GanttView[[#This Row],[_Row]])="",TRUE()),0,IF(OR(INDEX(tsk_IsLeaf,GanttView[[#This Row],[_Row]])&lt;&gt;1,GanttView[[#This Row],[_IsMilestone]],N(GanttView[[#This Row],[%]])&gt;=1),0,IF(GanttView[[#This Row],[_DoneTo]]&gt;0,GanttView[[#This Row],[_DoneTo]]+1,GanttView[[#This Row],[Forecast Start]])))</f>
        <v>0</v>
      </c>
      <c r="S118" s="132" t="n">
        <f aca="false">IF(GanttView[[#This Row],[_RemFrom]]=0,0,GanttView[[#This Row],[Forecast Finish]])</f>
        <v>0</v>
      </c>
      <c r="T118" s="131" t="b">
        <f aca="false">IF(IFERROR(INDEX(tsk_Name,GanttView[[#This Row],[_Row]])="",TRUE()),FALSE(),N(INDEX(tsk_Variance,GanttView[[#This Row],[_Row]]))&gt;0)</f>
        <v>0</v>
      </c>
      <c r="U118" s="132" t="n">
        <f aca="false">IF(IFERROR(INDEX(tsk_Name,GanttView[[#This Row],[_Row]])="",TRUE()),0,N(INDEX(tsk_Deadline,GanttView[[#This Row],[_Row]])))</f>
        <v>0</v>
      </c>
      <c r="V118" s="131" t="b">
        <f aca="false">IF(IFERROR(INDEX(tsk_Name,GanttView[[#This Row],[_Row]])="",TRUE()),FALSE(),INDEX(tsk_Critical,GanttView[[#This Row],[_Row]])="Yes")</f>
        <v>0</v>
      </c>
    </row>
    <row r="119" customFormat="false" ht="15" hidden="false" customHeight="false" outlineLevel="0" collapsed="false">
      <c r="A119" s="126" t="str">
        <f aca="false">IF(IFERROR(INDEX(tsk_Name,GanttView[[#This Row],[_Row]])="",TRUE()),"",INDEX(tsk_ID,GanttView[[#This Row],[_Row]]))</f>
        <v/>
      </c>
      <c r="B119" s="126" t="str">
        <f aca="false">IF(IFERROR(INDEX(tsk_Name,GanttView[[#This Row],[_Row]])="",TRUE()),"",INDEX(tsk_WBS,GanttView[[#This Row],[_Row]]))</f>
        <v/>
      </c>
      <c r="C119" s="127" t="str">
        <f aca="false">IF(IFERROR(INDEX(tsk_Name,GanttView[[#This Row],[_Row]])="",TRUE()),"",REPT("    ",INDEX(tsk_Level,GanttView[[#This Row],[_Row]])-1)&amp;INDEX(tsk_Name,GanttView[[#This Row],[_Row]]))</f>
        <v/>
      </c>
      <c r="D119" s="126" t="str">
        <f aca="false">IF(IFERROR(INDEX(tsk_Name,GanttView[[#This Row],[_Row]])="",TRUE()),"",IF(INDEX(tsk_IsSummary,GanttView[[#This Row],[_Row]]),NETWORKDAYS.INTL(INDEX(tsk_FcStart,GanttView[[#This Row],[_Row]]),INDEX(tsk_FcFinish,GanttView[[#This Row],[_Row]]),WorkWeek,Holidays),N(INDEX(tsk_Duration,GanttView[[#This Row],[_Row]]))))</f>
        <v/>
      </c>
      <c r="E119" s="128" t="str">
        <f aca="false">IF(IFERROR(INDEX(tsk_Name,GanttView[[#This Row],[_Row]])="",TRUE()),"",INDEX(tsk_PlanStart,GanttView[[#This Row],[_Row]]))</f>
        <v/>
      </c>
      <c r="F119" s="128" t="str">
        <f aca="false">IF(IFERROR(INDEX(tsk_Name,GanttView[[#This Row],[_Row]])="",TRUE()),"",INDEX(tsk_PlanFinish,GanttView[[#This Row],[_Row]]))</f>
        <v/>
      </c>
      <c r="G119" s="128" t="str">
        <f aca="false">IF(IFERROR(INDEX(tsk_Name,GanttView[[#This Row],[_Row]])="",TRUE()),"",INDEX(tsk_FcStart,GanttView[[#This Row],[_Row]]))</f>
        <v/>
      </c>
      <c r="H119" s="128" t="str">
        <f aca="false">IF(IFERROR(INDEX(tsk_Name,GanttView[[#This Row],[_Row]])="",TRUE()),"",INDEX(tsk_FcFinish,GanttView[[#This Row],[_Row]]))</f>
        <v/>
      </c>
      <c r="I119" s="129" t="str">
        <f aca="false">IF(IFERROR(INDEX(tsk_Name,GanttView[[#This Row],[_Row]])="",TRUE()),"",INDEX(tsk_Progress,GanttView[[#This Row],[_Row]]))</f>
        <v/>
      </c>
      <c r="J119" s="127" t="str">
        <f aca="false">IF(IFERROR(INDEX(tsk_Name,GanttView[[#This Row],[_Row]])="",TRUE()),"",INDEX(tsk_ResourceNames,GanttView[[#This Row],[_Row]])&amp;"")</f>
        <v/>
      </c>
      <c r="K119" s="126" t="str">
        <f aca="false">IF(IFERROR(INDEX(tsk_Name,GanttView[[#This Row],[_Row]])="",TRUE()),"",INDEX(tsk_Status,GanttView[[#This Row],[_Row]]))</f>
        <v/>
      </c>
      <c r="L119" s="126" t="str">
        <f aca="false">IF(IFERROR(INDEX(tsk_Name,GanttView[[#This Row],[_Row]])="",TRUE()),"",INDEX(tsk_Show,GanttView[[#This Row],[_Row]])&amp;"")</f>
        <v/>
      </c>
      <c r="M119" s="130" t="n">
        <f aca="false">ROW()-ROW(GanttView[[#Headers],[ID]])</f>
        <v>114</v>
      </c>
      <c r="N119" s="131" t="b">
        <f aca="false">IF(IFERROR(INDEX(tsk_Name,GanttView[[#This Row],[_Row]])="",TRUE()),FALSE(),INDEX(tsk_IsSummary,GanttView[[#This Row],[_Row]]))</f>
        <v>0</v>
      </c>
      <c r="O119" s="131" t="b">
        <f aca="false">IF(IFERROR(INDEX(tsk_Name,GanttView[[#This Row],[_Row]])="",TRUE()),FALSE(),AND(INDEX(tsk_IsLeaf,GanttView[[#This Row],[_Row]])=1,N(INDEX(tsk_Duration,GanttView[[#This Row],[_Row]]))=0))</f>
        <v>0</v>
      </c>
      <c r="P119" s="132" t="n">
        <f aca="false">IF(IFERROR(INDEX(tsk_Name,GanttView[[#This Row],[_Row]])="",TRUE()),0,IF(AND(INDEX(tsk_IsLeaf,GanttView[[#This Row],[_Row]])=1,NOT(GanttView[[#This Row],[_IsMilestone]]),N(GanttView[[#This Row],[%]])&gt;0),GanttView[[#This Row],[Forecast Start]],0))</f>
        <v>0</v>
      </c>
      <c r="Q119" s="132" t="n">
        <f aca="false">IF(GanttView[[#This Row],[_DoneFrom]]=0,0,IF(GanttView[[#This Row],[%]]&gt;=1,GanttView[[#This Row],[Forecast Finish]],MAX(GanttView[[#This Row],[_DoneFrom]],GanttView[[#This Row],[Forecast Start]]+ROUND((GanttView[[#This Row],[Forecast Finish]]-GanttView[[#This Row],[Forecast Start]]+1)*GanttView[[#This Row],[%]],0)-1)))</f>
        <v>0</v>
      </c>
      <c r="R119" s="132" t="n">
        <f aca="false">IF(IFERROR(INDEX(tsk_Name,GanttView[[#This Row],[_Row]])="",TRUE()),0,IF(OR(INDEX(tsk_IsLeaf,GanttView[[#This Row],[_Row]])&lt;&gt;1,GanttView[[#This Row],[_IsMilestone]],N(GanttView[[#This Row],[%]])&gt;=1),0,IF(GanttView[[#This Row],[_DoneTo]]&gt;0,GanttView[[#This Row],[_DoneTo]]+1,GanttView[[#This Row],[Forecast Start]])))</f>
        <v>0</v>
      </c>
      <c r="S119" s="132" t="n">
        <f aca="false">IF(GanttView[[#This Row],[_RemFrom]]=0,0,GanttView[[#This Row],[Forecast Finish]])</f>
        <v>0</v>
      </c>
      <c r="T119" s="131" t="b">
        <f aca="false">IF(IFERROR(INDEX(tsk_Name,GanttView[[#This Row],[_Row]])="",TRUE()),FALSE(),N(INDEX(tsk_Variance,GanttView[[#This Row],[_Row]]))&gt;0)</f>
        <v>0</v>
      </c>
      <c r="U119" s="132" t="n">
        <f aca="false">IF(IFERROR(INDEX(tsk_Name,GanttView[[#This Row],[_Row]])="",TRUE()),0,N(INDEX(tsk_Deadline,GanttView[[#This Row],[_Row]])))</f>
        <v>0</v>
      </c>
      <c r="V119" s="131" t="b">
        <f aca="false">IF(IFERROR(INDEX(tsk_Name,GanttView[[#This Row],[_Row]])="",TRUE()),FALSE(),INDEX(tsk_Critical,GanttView[[#This Row],[_Row]])="Yes")</f>
        <v>0</v>
      </c>
    </row>
    <row r="120" customFormat="false" ht="15" hidden="false" customHeight="false" outlineLevel="0" collapsed="false">
      <c r="A120" s="126" t="str">
        <f aca="false">IF(IFERROR(INDEX(tsk_Name,GanttView[[#This Row],[_Row]])="",TRUE()),"",INDEX(tsk_ID,GanttView[[#This Row],[_Row]]))</f>
        <v/>
      </c>
      <c r="B120" s="126" t="str">
        <f aca="false">IF(IFERROR(INDEX(tsk_Name,GanttView[[#This Row],[_Row]])="",TRUE()),"",INDEX(tsk_WBS,GanttView[[#This Row],[_Row]]))</f>
        <v/>
      </c>
      <c r="C120" s="127" t="str">
        <f aca="false">IF(IFERROR(INDEX(tsk_Name,GanttView[[#This Row],[_Row]])="",TRUE()),"",REPT("    ",INDEX(tsk_Level,GanttView[[#This Row],[_Row]])-1)&amp;INDEX(tsk_Name,GanttView[[#This Row],[_Row]]))</f>
        <v/>
      </c>
      <c r="D120" s="126" t="str">
        <f aca="false">IF(IFERROR(INDEX(tsk_Name,GanttView[[#This Row],[_Row]])="",TRUE()),"",IF(INDEX(tsk_IsSummary,GanttView[[#This Row],[_Row]]),NETWORKDAYS.INTL(INDEX(tsk_FcStart,GanttView[[#This Row],[_Row]]),INDEX(tsk_FcFinish,GanttView[[#This Row],[_Row]]),WorkWeek,Holidays),N(INDEX(tsk_Duration,GanttView[[#This Row],[_Row]]))))</f>
        <v/>
      </c>
      <c r="E120" s="128" t="str">
        <f aca="false">IF(IFERROR(INDEX(tsk_Name,GanttView[[#This Row],[_Row]])="",TRUE()),"",INDEX(tsk_PlanStart,GanttView[[#This Row],[_Row]]))</f>
        <v/>
      </c>
      <c r="F120" s="128" t="str">
        <f aca="false">IF(IFERROR(INDEX(tsk_Name,GanttView[[#This Row],[_Row]])="",TRUE()),"",INDEX(tsk_PlanFinish,GanttView[[#This Row],[_Row]]))</f>
        <v/>
      </c>
      <c r="G120" s="128" t="str">
        <f aca="false">IF(IFERROR(INDEX(tsk_Name,GanttView[[#This Row],[_Row]])="",TRUE()),"",INDEX(tsk_FcStart,GanttView[[#This Row],[_Row]]))</f>
        <v/>
      </c>
      <c r="H120" s="128" t="str">
        <f aca="false">IF(IFERROR(INDEX(tsk_Name,GanttView[[#This Row],[_Row]])="",TRUE()),"",INDEX(tsk_FcFinish,GanttView[[#This Row],[_Row]]))</f>
        <v/>
      </c>
      <c r="I120" s="129" t="str">
        <f aca="false">IF(IFERROR(INDEX(tsk_Name,GanttView[[#This Row],[_Row]])="",TRUE()),"",INDEX(tsk_Progress,GanttView[[#This Row],[_Row]]))</f>
        <v/>
      </c>
      <c r="J120" s="127" t="str">
        <f aca="false">IF(IFERROR(INDEX(tsk_Name,GanttView[[#This Row],[_Row]])="",TRUE()),"",INDEX(tsk_ResourceNames,GanttView[[#This Row],[_Row]])&amp;"")</f>
        <v/>
      </c>
      <c r="K120" s="126" t="str">
        <f aca="false">IF(IFERROR(INDEX(tsk_Name,GanttView[[#This Row],[_Row]])="",TRUE()),"",INDEX(tsk_Status,GanttView[[#This Row],[_Row]]))</f>
        <v/>
      </c>
      <c r="L120" s="126" t="str">
        <f aca="false">IF(IFERROR(INDEX(tsk_Name,GanttView[[#This Row],[_Row]])="",TRUE()),"",INDEX(tsk_Show,GanttView[[#This Row],[_Row]])&amp;"")</f>
        <v/>
      </c>
      <c r="M120" s="130" t="n">
        <f aca="false">ROW()-ROW(GanttView[[#Headers],[ID]])</f>
        <v>115</v>
      </c>
      <c r="N120" s="131" t="b">
        <f aca="false">IF(IFERROR(INDEX(tsk_Name,GanttView[[#This Row],[_Row]])="",TRUE()),FALSE(),INDEX(tsk_IsSummary,GanttView[[#This Row],[_Row]]))</f>
        <v>0</v>
      </c>
      <c r="O120" s="131" t="b">
        <f aca="false">IF(IFERROR(INDEX(tsk_Name,GanttView[[#This Row],[_Row]])="",TRUE()),FALSE(),AND(INDEX(tsk_IsLeaf,GanttView[[#This Row],[_Row]])=1,N(INDEX(tsk_Duration,GanttView[[#This Row],[_Row]]))=0))</f>
        <v>0</v>
      </c>
      <c r="P120" s="132" t="n">
        <f aca="false">IF(IFERROR(INDEX(tsk_Name,GanttView[[#This Row],[_Row]])="",TRUE()),0,IF(AND(INDEX(tsk_IsLeaf,GanttView[[#This Row],[_Row]])=1,NOT(GanttView[[#This Row],[_IsMilestone]]),N(GanttView[[#This Row],[%]])&gt;0),GanttView[[#This Row],[Forecast Start]],0))</f>
        <v>0</v>
      </c>
      <c r="Q120" s="132" t="n">
        <f aca="false">IF(GanttView[[#This Row],[_DoneFrom]]=0,0,IF(GanttView[[#This Row],[%]]&gt;=1,GanttView[[#This Row],[Forecast Finish]],MAX(GanttView[[#This Row],[_DoneFrom]],GanttView[[#This Row],[Forecast Start]]+ROUND((GanttView[[#This Row],[Forecast Finish]]-GanttView[[#This Row],[Forecast Start]]+1)*GanttView[[#This Row],[%]],0)-1)))</f>
        <v>0</v>
      </c>
      <c r="R120" s="132" t="n">
        <f aca="false">IF(IFERROR(INDEX(tsk_Name,GanttView[[#This Row],[_Row]])="",TRUE()),0,IF(OR(INDEX(tsk_IsLeaf,GanttView[[#This Row],[_Row]])&lt;&gt;1,GanttView[[#This Row],[_IsMilestone]],N(GanttView[[#This Row],[%]])&gt;=1),0,IF(GanttView[[#This Row],[_DoneTo]]&gt;0,GanttView[[#This Row],[_DoneTo]]+1,GanttView[[#This Row],[Forecast Start]])))</f>
        <v>0</v>
      </c>
      <c r="S120" s="132" t="n">
        <f aca="false">IF(GanttView[[#This Row],[_RemFrom]]=0,0,GanttView[[#This Row],[Forecast Finish]])</f>
        <v>0</v>
      </c>
      <c r="T120" s="131" t="b">
        <f aca="false">IF(IFERROR(INDEX(tsk_Name,GanttView[[#This Row],[_Row]])="",TRUE()),FALSE(),N(INDEX(tsk_Variance,GanttView[[#This Row],[_Row]]))&gt;0)</f>
        <v>0</v>
      </c>
      <c r="U120" s="132" t="n">
        <f aca="false">IF(IFERROR(INDEX(tsk_Name,GanttView[[#This Row],[_Row]])="",TRUE()),0,N(INDEX(tsk_Deadline,GanttView[[#This Row],[_Row]])))</f>
        <v>0</v>
      </c>
      <c r="V120" s="131" t="b">
        <f aca="false">IF(IFERROR(INDEX(tsk_Name,GanttView[[#This Row],[_Row]])="",TRUE()),FALSE(),INDEX(tsk_Critical,GanttView[[#This Row],[_Row]])="Yes")</f>
        <v>0</v>
      </c>
    </row>
    <row r="121" customFormat="false" ht="15" hidden="false" customHeight="false" outlineLevel="0" collapsed="false">
      <c r="A121" s="126" t="str">
        <f aca="false">IF(IFERROR(INDEX(tsk_Name,GanttView[[#This Row],[_Row]])="",TRUE()),"",INDEX(tsk_ID,GanttView[[#This Row],[_Row]]))</f>
        <v/>
      </c>
      <c r="B121" s="126" t="str">
        <f aca="false">IF(IFERROR(INDEX(tsk_Name,GanttView[[#This Row],[_Row]])="",TRUE()),"",INDEX(tsk_WBS,GanttView[[#This Row],[_Row]]))</f>
        <v/>
      </c>
      <c r="C121" s="127" t="str">
        <f aca="false">IF(IFERROR(INDEX(tsk_Name,GanttView[[#This Row],[_Row]])="",TRUE()),"",REPT("    ",INDEX(tsk_Level,GanttView[[#This Row],[_Row]])-1)&amp;INDEX(tsk_Name,GanttView[[#This Row],[_Row]]))</f>
        <v/>
      </c>
      <c r="D121" s="126" t="str">
        <f aca="false">IF(IFERROR(INDEX(tsk_Name,GanttView[[#This Row],[_Row]])="",TRUE()),"",IF(INDEX(tsk_IsSummary,GanttView[[#This Row],[_Row]]),NETWORKDAYS.INTL(INDEX(tsk_FcStart,GanttView[[#This Row],[_Row]]),INDEX(tsk_FcFinish,GanttView[[#This Row],[_Row]]),WorkWeek,Holidays),N(INDEX(tsk_Duration,GanttView[[#This Row],[_Row]]))))</f>
        <v/>
      </c>
      <c r="E121" s="128" t="str">
        <f aca="false">IF(IFERROR(INDEX(tsk_Name,GanttView[[#This Row],[_Row]])="",TRUE()),"",INDEX(tsk_PlanStart,GanttView[[#This Row],[_Row]]))</f>
        <v/>
      </c>
      <c r="F121" s="128" t="str">
        <f aca="false">IF(IFERROR(INDEX(tsk_Name,GanttView[[#This Row],[_Row]])="",TRUE()),"",INDEX(tsk_PlanFinish,GanttView[[#This Row],[_Row]]))</f>
        <v/>
      </c>
      <c r="G121" s="128" t="str">
        <f aca="false">IF(IFERROR(INDEX(tsk_Name,GanttView[[#This Row],[_Row]])="",TRUE()),"",INDEX(tsk_FcStart,GanttView[[#This Row],[_Row]]))</f>
        <v/>
      </c>
      <c r="H121" s="128" t="str">
        <f aca="false">IF(IFERROR(INDEX(tsk_Name,GanttView[[#This Row],[_Row]])="",TRUE()),"",INDEX(tsk_FcFinish,GanttView[[#This Row],[_Row]]))</f>
        <v/>
      </c>
      <c r="I121" s="129" t="str">
        <f aca="false">IF(IFERROR(INDEX(tsk_Name,GanttView[[#This Row],[_Row]])="",TRUE()),"",INDEX(tsk_Progress,GanttView[[#This Row],[_Row]]))</f>
        <v/>
      </c>
      <c r="J121" s="127" t="str">
        <f aca="false">IF(IFERROR(INDEX(tsk_Name,GanttView[[#This Row],[_Row]])="",TRUE()),"",INDEX(tsk_ResourceNames,GanttView[[#This Row],[_Row]])&amp;"")</f>
        <v/>
      </c>
      <c r="K121" s="126" t="str">
        <f aca="false">IF(IFERROR(INDEX(tsk_Name,GanttView[[#This Row],[_Row]])="",TRUE()),"",INDEX(tsk_Status,GanttView[[#This Row],[_Row]]))</f>
        <v/>
      </c>
      <c r="L121" s="126" t="str">
        <f aca="false">IF(IFERROR(INDEX(tsk_Name,GanttView[[#This Row],[_Row]])="",TRUE()),"",INDEX(tsk_Show,GanttView[[#This Row],[_Row]])&amp;"")</f>
        <v/>
      </c>
      <c r="M121" s="130" t="n">
        <f aca="false">ROW()-ROW(GanttView[[#Headers],[ID]])</f>
        <v>116</v>
      </c>
      <c r="N121" s="131" t="b">
        <f aca="false">IF(IFERROR(INDEX(tsk_Name,GanttView[[#This Row],[_Row]])="",TRUE()),FALSE(),INDEX(tsk_IsSummary,GanttView[[#This Row],[_Row]]))</f>
        <v>0</v>
      </c>
      <c r="O121" s="131" t="b">
        <f aca="false">IF(IFERROR(INDEX(tsk_Name,GanttView[[#This Row],[_Row]])="",TRUE()),FALSE(),AND(INDEX(tsk_IsLeaf,GanttView[[#This Row],[_Row]])=1,N(INDEX(tsk_Duration,GanttView[[#This Row],[_Row]]))=0))</f>
        <v>0</v>
      </c>
      <c r="P121" s="132" t="n">
        <f aca="false">IF(IFERROR(INDEX(tsk_Name,GanttView[[#This Row],[_Row]])="",TRUE()),0,IF(AND(INDEX(tsk_IsLeaf,GanttView[[#This Row],[_Row]])=1,NOT(GanttView[[#This Row],[_IsMilestone]]),N(GanttView[[#This Row],[%]])&gt;0),GanttView[[#This Row],[Forecast Start]],0))</f>
        <v>0</v>
      </c>
      <c r="Q121" s="132" t="n">
        <f aca="false">IF(GanttView[[#This Row],[_DoneFrom]]=0,0,IF(GanttView[[#This Row],[%]]&gt;=1,GanttView[[#This Row],[Forecast Finish]],MAX(GanttView[[#This Row],[_DoneFrom]],GanttView[[#This Row],[Forecast Start]]+ROUND((GanttView[[#This Row],[Forecast Finish]]-GanttView[[#This Row],[Forecast Start]]+1)*GanttView[[#This Row],[%]],0)-1)))</f>
        <v>0</v>
      </c>
      <c r="R121" s="132" t="n">
        <f aca="false">IF(IFERROR(INDEX(tsk_Name,GanttView[[#This Row],[_Row]])="",TRUE()),0,IF(OR(INDEX(tsk_IsLeaf,GanttView[[#This Row],[_Row]])&lt;&gt;1,GanttView[[#This Row],[_IsMilestone]],N(GanttView[[#This Row],[%]])&gt;=1),0,IF(GanttView[[#This Row],[_DoneTo]]&gt;0,GanttView[[#This Row],[_DoneTo]]+1,GanttView[[#This Row],[Forecast Start]])))</f>
        <v>0</v>
      </c>
      <c r="S121" s="132" t="n">
        <f aca="false">IF(GanttView[[#This Row],[_RemFrom]]=0,0,GanttView[[#This Row],[Forecast Finish]])</f>
        <v>0</v>
      </c>
      <c r="T121" s="131" t="b">
        <f aca="false">IF(IFERROR(INDEX(tsk_Name,GanttView[[#This Row],[_Row]])="",TRUE()),FALSE(),N(INDEX(tsk_Variance,GanttView[[#This Row],[_Row]]))&gt;0)</f>
        <v>0</v>
      </c>
      <c r="U121" s="132" t="n">
        <f aca="false">IF(IFERROR(INDEX(tsk_Name,GanttView[[#This Row],[_Row]])="",TRUE()),0,N(INDEX(tsk_Deadline,GanttView[[#This Row],[_Row]])))</f>
        <v>0</v>
      </c>
      <c r="V121" s="131" t="b">
        <f aca="false">IF(IFERROR(INDEX(tsk_Name,GanttView[[#This Row],[_Row]])="",TRUE()),FALSE(),INDEX(tsk_Critical,GanttView[[#This Row],[_Row]])="Yes")</f>
        <v>0</v>
      </c>
    </row>
    <row r="122" customFormat="false" ht="15" hidden="false" customHeight="false" outlineLevel="0" collapsed="false">
      <c r="A122" s="126" t="str">
        <f aca="false">IF(IFERROR(INDEX(tsk_Name,GanttView[[#This Row],[_Row]])="",TRUE()),"",INDEX(tsk_ID,GanttView[[#This Row],[_Row]]))</f>
        <v/>
      </c>
      <c r="B122" s="126" t="str">
        <f aca="false">IF(IFERROR(INDEX(tsk_Name,GanttView[[#This Row],[_Row]])="",TRUE()),"",INDEX(tsk_WBS,GanttView[[#This Row],[_Row]]))</f>
        <v/>
      </c>
      <c r="C122" s="127" t="str">
        <f aca="false">IF(IFERROR(INDEX(tsk_Name,GanttView[[#This Row],[_Row]])="",TRUE()),"",REPT("    ",INDEX(tsk_Level,GanttView[[#This Row],[_Row]])-1)&amp;INDEX(tsk_Name,GanttView[[#This Row],[_Row]]))</f>
        <v/>
      </c>
      <c r="D122" s="126" t="str">
        <f aca="false">IF(IFERROR(INDEX(tsk_Name,GanttView[[#This Row],[_Row]])="",TRUE()),"",IF(INDEX(tsk_IsSummary,GanttView[[#This Row],[_Row]]),NETWORKDAYS.INTL(INDEX(tsk_FcStart,GanttView[[#This Row],[_Row]]),INDEX(tsk_FcFinish,GanttView[[#This Row],[_Row]]),WorkWeek,Holidays),N(INDEX(tsk_Duration,GanttView[[#This Row],[_Row]]))))</f>
        <v/>
      </c>
      <c r="E122" s="128" t="str">
        <f aca="false">IF(IFERROR(INDEX(tsk_Name,GanttView[[#This Row],[_Row]])="",TRUE()),"",INDEX(tsk_PlanStart,GanttView[[#This Row],[_Row]]))</f>
        <v/>
      </c>
      <c r="F122" s="128" t="str">
        <f aca="false">IF(IFERROR(INDEX(tsk_Name,GanttView[[#This Row],[_Row]])="",TRUE()),"",INDEX(tsk_PlanFinish,GanttView[[#This Row],[_Row]]))</f>
        <v/>
      </c>
      <c r="G122" s="128" t="str">
        <f aca="false">IF(IFERROR(INDEX(tsk_Name,GanttView[[#This Row],[_Row]])="",TRUE()),"",INDEX(tsk_FcStart,GanttView[[#This Row],[_Row]]))</f>
        <v/>
      </c>
      <c r="H122" s="128" t="str">
        <f aca="false">IF(IFERROR(INDEX(tsk_Name,GanttView[[#This Row],[_Row]])="",TRUE()),"",INDEX(tsk_FcFinish,GanttView[[#This Row],[_Row]]))</f>
        <v/>
      </c>
      <c r="I122" s="129" t="str">
        <f aca="false">IF(IFERROR(INDEX(tsk_Name,GanttView[[#This Row],[_Row]])="",TRUE()),"",INDEX(tsk_Progress,GanttView[[#This Row],[_Row]]))</f>
        <v/>
      </c>
      <c r="J122" s="127" t="str">
        <f aca="false">IF(IFERROR(INDEX(tsk_Name,GanttView[[#This Row],[_Row]])="",TRUE()),"",INDEX(tsk_ResourceNames,GanttView[[#This Row],[_Row]])&amp;"")</f>
        <v/>
      </c>
      <c r="K122" s="126" t="str">
        <f aca="false">IF(IFERROR(INDEX(tsk_Name,GanttView[[#This Row],[_Row]])="",TRUE()),"",INDEX(tsk_Status,GanttView[[#This Row],[_Row]]))</f>
        <v/>
      </c>
      <c r="L122" s="126" t="str">
        <f aca="false">IF(IFERROR(INDEX(tsk_Name,GanttView[[#This Row],[_Row]])="",TRUE()),"",INDEX(tsk_Show,GanttView[[#This Row],[_Row]])&amp;"")</f>
        <v/>
      </c>
      <c r="M122" s="130" t="n">
        <f aca="false">ROW()-ROW(GanttView[[#Headers],[ID]])</f>
        <v>117</v>
      </c>
      <c r="N122" s="131" t="b">
        <f aca="false">IF(IFERROR(INDEX(tsk_Name,GanttView[[#This Row],[_Row]])="",TRUE()),FALSE(),INDEX(tsk_IsSummary,GanttView[[#This Row],[_Row]]))</f>
        <v>0</v>
      </c>
      <c r="O122" s="131" t="b">
        <f aca="false">IF(IFERROR(INDEX(tsk_Name,GanttView[[#This Row],[_Row]])="",TRUE()),FALSE(),AND(INDEX(tsk_IsLeaf,GanttView[[#This Row],[_Row]])=1,N(INDEX(tsk_Duration,GanttView[[#This Row],[_Row]]))=0))</f>
        <v>0</v>
      </c>
      <c r="P122" s="132" t="n">
        <f aca="false">IF(IFERROR(INDEX(tsk_Name,GanttView[[#This Row],[_Row]])="",TRUE()),0,IF(AND(INDEX(tsk_IsLeaf,GanttView[[#This Row],[_Row]])=1,NOT(GanttView[[#This Row],[_IsMilestone]]),N(GanttView[[#This Row],[%]])&gt;0),GanttView[[#This Row],[Forecast Start]],0))</f>
        <v>0</v>
      </c>
      <c r="Q122" s="132" t="n">
        <f aca="false">IF(GanttView[[#This Row],[_DoneFrom]]=0,0,IF(GanttView[[#This Row],[%]]&gt;=1,GanttView[[#This Row],[Forecast Finish]],MAX(GanttView[[#This Row],[_DoneFrom]],GanttView[[#This Row],[Forecast Start]]+ROUND((GanttView[[#This Row],[Forecast Finish]]-GanttView[[#This Row],[Forecast Start]]+1)*GanttView[[#This Row],[%]],0)-1)))</f>
        <v>0</v>
      </c>
      <c r="R122" s="132" t="n">
        <f aca="false">IF(IFERROR(INDEX(tsk_Name,GanttView[[#This Row],[_Row]])="",TRUE()),0,IF(OR(INDEX(tsk_IsLeaf,GanttView[[#This Row],[_Row]])&lt;&gt;1,GanttView[[#This Row],[_IsMilestone]],N(GanttView[[#This Row],[%]])&gt;=1),0,IF(GanttView[[#This Row],[_DoneTo]]&gt;0,GanttView[[#This Row],[_DoneTo]]+1,GanttView[[#This Row],[Forecast Start]])))</f>
        <v>0</v>
      </c>
      <c r="S122" s="132" t="n">
        <f aca="false">IF(GanttView[[#This Row],[_RemFrom]]=0,0,GanttView[[#This Row],[Forecast Finish]])</f>
        <v>0</v>
      </c>
      <c r="T122" s="131" t="b">
        <f aca="false">IF(IFERROR(INDEX(tsk_Name,GanttView[[#This Row],[_Row]])="",TRUE()),FALSE(),N(INDEX(tsk_Variance,GanttView[[#This Row],[_Row]]))&gt;0)</f>
        <v>0</v>
      </c>
      <c r="U122" s="132" t="n">
        <f aca="false">IF(IFERROR(INDEX(tsk_Name,GanttView[[#This Row],[_Row]])="",TRUE()),0,N(INDEX(tsk_Deadline,GanttView[[#This Row],[_Row]])))</f>
        <v>0</v>
      </c>
      <c r="V122" s="131" t="b">
        <f aca="false">IF(IFERROR(INDEX(tsk_Name,GanttView[[#This Row],[_Row]])="",TRUE()),FALSE(),INDEX(tsk_Critical,GanttView[[#This Row],[_Row]])="Yes")</f>
        <v>0</v>
      </c>
    </row>
    <row r="123" customFormat="false" ht="15" hidden="false" customHeight="false" outlineLevel="0" collapsed="false">
      <c r="A123" s="126" t="str">
        <f aca="false">IF(IFERROR(INDEX(tsk_Name,GanttView[[#This Row],[_Row]])="",TRUE()),"",INDEX(tsk_ID,GanttView[[#This Row],[_Row]]))</f>
        <v/>
      </c>
      <c r="B123" s="126" t="str">
        <f aca="false">IF(IFERROR(INDEX(tsk_Name,GanttView[[#This Row],[_Row]])="",TRUE()),"",INDEX(tsk_WBS,GanttView[[#This Row],[_Row]]))</f>
        <v/>
      </c>
      <c r="C123" s="127" t="str">
        <f aca="false">IF(IFERROR(INDEX(tsk_Name,GanttView[[#This Row],[_Row]])="",TRUE()),"",REPT("    ",INDEX(tsk_Level,GanttView[[#This Row],[_Row]])-1)&amp;INDEX(tsk_Name,GanttView[[#This Row],[_Row]]))</f>
        <v/>
      </c>
      <c r="D123" s="126" t="str">
        <f aca="false">IF(IFERROR(INDEX(tsk_Name,GanttView[[#This Row],[_Row]])="",TRUE()),"",IF(INDEX(tsk_IsSummary,GanttView[[#This Row],[_Row]]),NETWORKDAYS.INTL(INDEX(tsk_FcStart,GanttView[[#This Row],[_Row]]),INDEX(tsk_FcFinish,GanttView[[#This Row],[_Row]]),WorkWeek,Holidays),N(INDEX(tsk_Duration,GanttView[[#This Row],[_Row]]))))</f>
        <v/>
      </c>
      <c r="E123" s="128" t="str">
        <f aca="false">IF(IFERROR(INDEX(tsk_Name,GanttView[[#This Row],[_Row]])="",TRUE()),"",INDEX(tsk_PlanStart,GanttView[[#This Row],[_Row]]))</f>
        <v/>
      </c>
      <c r="F123" s="128" t="str">
        <f aca="false">IF(IFERROR(INDEX(tsk_Name,GanttView[[#This Row],[_Row]])="",TRUE()),"",INDEX(tsk_PlanFinish,GanttView[[#This Row],[_Row]]))</f>
        <v/>
      </c>
      <c r="G123" s="128" t="str">
        <f aca="false">IF(IFERROR(INDEX(tsk_Name,GanttView[[#This Row],[_Row]])="",TRUE()),"",INDEX(tsk_FcStart,GanttView[[#This Row],[_Row]]))</f>
        <v/>
      </c>
      <c r="H123" s="128" t="str">
        <f aca="false">IF(IFERROR(INDEX(tsk_Name,GanttView[[#This Row],[_Row]])="",TRUE()),"",INDEX(tsk_FcFinish,GanttView[[#This Row],[_Row]]))</f>
        <v/>
      </c>
      <c r="I123" s="129" t="str">
        <f aca="false">IF(IFERROR(INDEX(tsk_Name,GanttView[[#This Row],[_Row]])="",TRUE()),"",INDEX(tsk_Progress,GanttView[[#This Row],[_Row]]))</f>
        <v/>
      </c>
      <c r="J123" s="127" t="str">
        <f aca="false">IF(IFERROR(INDEX(tsk_Name,GanttView[[#This Row],[_Row]])="",TRUE()),"",INDEX(tsk_ResourceNames,GanttView[[#This Row],[_Row]])&amp;"")</f>
        <v/>
      </c>
      <c r="K123" s="126" t="str">
        <f aca="false">IF(IFERROR(INDEX(tsk_Name,GanttView[[#This Row],[_Row]])="",TRUE()),"",INDEX(tsk_Status,GanttView[[#This Row],[_Row]]))</f>
        <v/>
      </c>
      <c r="L123" s="126" t="str">
        <f aca="false">IF(IFERROR(INDEX(tsk_Name,GanttView[[#This Row],[_Row]])="",TRUE()),"",INDEX(tsk_Show,GanttView[[#This Row],[_Row]])&amp;"")</f>
        <v/>
      </c>
      <c r="M123" s="130" t="n">
        <f aca="false">ROW()-ROW(GanttView[[#Headers],[ID]])</f>
        <v>118</v>
      </c>
      <c r="N123" s="131" t="b">
        <f aca="false">IF(IFERROR(INDEX(tsk_Name,GanttView[[#This Row],[_Row]])="",TRUE()),FALSE(),INDEX(tsk_IsSummary,GanttView[[#This Row],[_Row]]))</f>
        <v>0</v>
      </c>
      <c r="O123" s="131" t="b">
        <f aca="false">IF(IFERROR(INDEX(tsk_Name,GanttView[[#This Row],[_Row]])="",TRUE()),FALSE(),AND(INDEX(tsk_IsLeaf,GanttView[[#This Row],[_Row]])=1,N(INDEX(tsk_Duration,GanttView[[#This Row],[_Row]]))=0))</f>
        <v>0</v>
      </c>
      <c r="P123" s="132" t="n">
        <f aca="false">IF(IFERROR(INDEX(tsk_Name,GanttView[[#This Row],[_Row]])="",TRUE()),0,IF(AND(INDEX(tsk_IsLeaf,GanttView[[#This Row],[_Row]])=1,NOT(GanttView[[#This Row],[_IsMilestone]]),N(GanttView[[#This Row],[%]])&gt;0),GanttView[[#This Row],[Forecast Start]],0))</f>
        <v>0</v>
      </c>
      <c r="Q123" s="132" t="n">
        <f aca="false">IF(GanttView[[#This Row],[_DoneFrom]]=0,0,IF(GanttView[[#This Row],[%]]&gt;=1,GanttView[[#This Row],[Forecast Finish]],MAX(GanttView[[#This Row],[_DoneFrom]],GanttView[[#This Row],[Forecast Start]]+ROUND((GanttView[[#This Row],[Forecast Finish]]-GanttView[[#This Row],[Forecast Start]]+1)*GanttView[[#This Row],[%]],0)-1)))</f>
        <v>0</v>
      </c>
      <c r="R123" s="132" t="n">
        <f aca="false">IF(IFERROR(INDEX(tsk_Name,GanttView[[#This Row],[_Row]])="",TRUE()),0,IF(OR(INDEX(tsk_IsLeaf,GanttView[[#This Row],[_Row]])&lt;&gt;1,GanttView[[#This Row],[_IsMilestone]],N(GanttView[[#This Row],[%]])&gt;=1),0,IF(GanttView[[#This Row],[_DoneTo]]&gt;0,GanttView[[#This Row],[_DoneTo]]+1,GanttView[[#This Row],[Forecast Start]])))</f>
        <v>0</v>
      </c>
      <c r="S123" s="132" t="n">
        <f aca="false">IF(GanttView[[#This Row],[_RemFrom]]=0,0,GanttView[[#This Row],[Forecast Finish]])</f>
        <v>0</v>
      </c>
      <c r="T123" s="131" t="b">
        <f aca="false">IF(IFERROR(INDEX(tsk_Name,GanttView[[#This Row],[_Row]])="",TRUE()),FALSE(),N(INDEX(tsk_Variance,GanttView[[#This Row],[_Row]]))&gt;0)</f>
        <v>0</v>
      </c>
      <c r="U123" s="132" t="n">
        <f aca="false">IF(IFERROR(INDEX(tsk_Name,GanttView[[#This Row],[_Row]])="",TRUE()),0,N(INDEX(tsk_Deadline,GanttView[[#This Row],[_Row]])))</f>
        <v>0</v>
      </c>
      <c r="V123" s="131" t="b">
        <f aca="false">IF(IFERROR(INDEX(tsk_Name,GanttView[[#This Row],[_Row]])="",TRUE()),FALSE(),INDEX(tsk_Critical,GanttView[[#This Row],[_Row]])="Yes")</f>
        <v>0</v>
      </c>
    </row>
    <row r="124" customFormat="false" ht="15" hidden="false" customHeight="false" outlineLevel="0" collapsed="false">
      <c r="A124" s="126" t="str">
        <f aca="false">IF(IFERROR(INDEX(tsk_Name,GanttView[[#This Row],[_Row]])="",TRUE()),"",INDEX(tsk_ID,GanttView[[#This Row],[_Row]]))</f>
        <v/>
      </c>
      <c r="B124" s="126" t="str">
        <f aca="false">IF(IFERROR(INDEX(tsk_Name,GanttView[[#This Row],[_Row]])="",TRUE()),"",INDEX(tsk_WBS,GanttView[[#This Row],[_Row]]))</f>
        <v/>
      </c>
      <c r="C124" s="127" t="str">
        <f aca="false">IF(IFERROR(INDEX(tsk_Name,GanttView[[#This Row],[_Row]])="",TRUE()),"",REPT("    ",INDEX(tsk_Level,GanttView[[#This Row],[_Row]])-1)&amp;INDEX(tsk_Name,GanttView[[#This Row],[_Row]]))</f>
        <v/>
      </c>
      <c r="D124" s="126" t="str">
        <f aca="false">IF(IFERROR(INDEX(tsk_Name,GanttView[[#This Row],[_Row]])="",TRUE()),"",IF(INDEX(tsk_IsSummary,GanttView[[#This Row],[_Row]]),NETWORKDAYS.INTL(INDEX(tsk_FcStart,GanttView[[#This Row],[_Row]]),INDEX(tsk_FcFinish,GanttView[[#This Row],[_Row]]),WorkWeek,Holidays),N(INDEX(tsk_Duration,GanttView[[#This Row],[_Row]]))))</f>
        <v/>
      </c>
      <c r="E124" s="128" t="str">
        <f aca="false">IF(IFERROR(INDEX(tsk_Name,GanttView[[#This Row],[_Row]])="",TRUE()),"",INDEX(tsk_PlanStart,GanttView[[#This Row],[_Row]]))</f>
        <v/>
      </c>
      <c r="F124" s="128" t="str">
        <f aca="false">IF(IFERROR(INDEX(tsk_Name,GanttView[[#This Row],[_Row]])="",TRUE()),"",INDEX(tsk_PlanFinish,GanttView[[#This Row],[_Row]]))</f>
        <v/>
      </c>
      <c r="G124" s="128" t="str">
        <f aca="false">IF(IFERROR(INDEX(tsk_Name,GanttView[[#This Row],[_Row]])="",TRUE()),"",INDEX(tsk_FcStart,GanttView[[#This Row],[_Row]]))</f>
        <v/>
      </c>
      <c r="H124" s="128" t="str">
        <f aca="false">IF(IFERROR(INDEX(tsk_Name,GanttView[[#This Row],[_Row]])="",TRUE()),"",INDEX(tsk_FcFinish,GanttView[[#This Row],[_Row]]))</f>
        <v/>
      </c>
      <c r="I124" s="129" t="str">
        <f aca="false">IF(IFERROR(INDEX(tsk_Name,GanttView[[#This Row],[_Row]])="",TRUE()),"",INDEX(tsk_Progress,GanttView[[#This Row],[_Row]]))</f>
        <v/>
      </c>
      <c r="J124" s="127" t="str">
        <f aca="false">IF(IFERROR(INDEX(tsk_Name,GanttView[[#This Row],[_Row]])="",TRUE()),"",INDEX(tsk_ResourceNames,GanttView[[#This Row],[_Row]])&amp;"")</f>
        <v/>
      </c>
      <c r="K124" s="126" t="str">
        <f aca="false">IF(IFERROR(INDEX(tsk_Name,GanttView[[#This Row],[_Row]])="",TRUE()),"",INDEX(tsk_Status,GanttView[[#This Row],[_Row]]))</f>
        <v/>
      </c>
      <c r="L124" s="126" t="str">
        <f aca="false">IF(IFERROR(INDEX(tsk_Name,GanttView[[#This Row],[_Row]])="",TRUE()),"",INDEX(tsk_Show,GanttView[[#This Row],[_Row]])&amp;"")</f>
        <v/>
      </c>
      <c r="M124" s="130" t="n">
        <f aca="false">ROW()-ROW(GanttView[[#Headers],[ID]])</f>
        <v>119</v>
      </c>
      <c r="N124" s="131" t="b">
        <f aca="false">IF(IFERROR(INDEX(tsk_Name,GanttView[[#This Row],[_Row]])="",TRUE()),FALSE(),INDEX(tsk_IsSummary,GanttView[[#This Row],[_Row]]))</f>
        <v>0</v>
      </c>
      <c r="O124" s="131" t="b">
        <f aca="false">IF(IFERROR(INDEX(tsk_Name,GanttView[[#This Row],[_Row]])="",TRUE()),FALSE(),AND(INDEX(tsk_IsLeaf,GanttView[[#This Row],[_Row]])=1,N(INDEX(tsk_Duration,GanttView[[#This Row],[_Row]]))=0))</f>
        <v>0</v>
      </c>
      <c r="P124" s="132" t="n">
        <f aca="false">IF(IFERROR(INDEX(tsk_Name,GanttView[[#This Row],[_Row]])="",TRUE()),0,IF(AND(INDEX(tsk_IsLeaf,GanttView[[#This Row],[_Row]])=1,NOT(GanttView[[#This Row],[_IsMilestone]]),N(GanttView[[#This Row],[%]])&gt;0),GanttView[[#This Row],[Forecast Start]],0))</f>
        <v>0</v>
      </c>
      <c r="Q124" s="132" t="n">
        <f aca="false">IF(GanttView[[#This Row],[_DoneFrom]]=0,0,IF(GanttView[[#This Row],[%]]&gt;=1,GanttView[[#This Row],[Forecast Finish]],MAX(GanttView[[#This Row],[_DoneFrom]],GanttView[[#This Row],[Forecast Start]]+ROUND((GanttView[[#This Row],[Forecast Finish]]-GanttView[[#This Row],[Forecast Start]]+1)*GanttView[[#This Row],[%]],0)-1)))</f>
        <v>0</v>
      </c>
      <c r="R124" s="132" t="n">
        <f aca="false">IF(IFERROR(INDEX(tsk_Name,GanttView[[#This Row],[_Row]])="",TRUE()),0,IF(OR(INDEX(tsk_IsLeaf,GanttView[[#This Row],[_Row]])&lt;&gt;1,GanttView[[#This Row],[_IsMilestone]],N(GanttView[[#This Row],[%]])&gt;=1),0,IF(GanttView[[#This Row],[_DoneTo]]&gt;0,GanttView[[#This Row],[_DoneTo]]+1,GanttView[[#This Row],[Forecast Start]])))</f>
        <v>0</v>
      </c>
      <c r="S124" s="132" t="n">
        <f aca="false">IF(GanttView[[#This Row],[_RemFrom]]=0,0,GanttView[[#This Row],[Forecast Finish]])</f>
        <v>0</v>
      </c>
      <c r="T124" s="131" t="b">
        <f aca="false">IF(IFERROR(INDEX(tsk_Name,GanttView[[#This Row],[_Row]])="",TRUE()),FALSE(),N(INDEX(tsk_Variance,GanttView[[#This Row],[_Row]]))&gt;0)</f>
        <v>0</v>
      </c>
      <c r="U124" s="132" t="n">
        <f aca="false">IF(IFERROR(INDEX(tsk_Name,GanttView[[#This Row],[_Row]])="",TRUE()),0,N(INDEX(tsk_Deadline,GanttView[[#This Row],[_Row]])))</f>
        <v>0</v>
      </c>
      <c r="V124" s="131" t="b">
        <f aca="false">IF(IFERROR(INDEX(tsk_Name,GanttView[[#This Row],[_Row]])="",TRUE()),FALSE(),INDEX(tsk_Critical,GanttView[[#This Row],[_Row]])="Yes")</f>
        <v>0</v>
      </c>
    </row>
    <row r="125" customFormat="false" ht="15" hidden="false" customHeight="false" outlineLevel="0" collapsed="false">
      <c r="A125" s="126" t="str">
        <f aca="false">IF(IFERROR(INDEX(tsk_Name,GanttView[[#This Row],[_Row]])="",TRUE()),"",INDEX(tsk_ID,GanttView[[#This Row],[_Row]]))</f>
        <v/>
      </c>
      <c r="B125" s="126" t="str">
        <f aca="false">IF(IFERROR(INDEX(tsk_Name,GanttView[[#This Row],[_Row]])="",TRUE()),"",INDEX(tsk_WBS,GanttView[[#This Row],[_Row]]))</f>
        <v/>
      </c>
      <c r="C125" s="127" t="str">
        <f aca="false">IF(IFERROR(INDEX(tsk_Name,GanttView[[#This Row],[_Row]])="",TRUE()),"",REPT("    ",INDEX(tsk_Level,GanttView[[#This Row],[_Row]])-1)&amp;INDEX(tsk_Name,GanttView[[#This Row],[_Row]]))</f>
        <v/>
      </c>
      <c r="D125" s="126" t="str">
        <f aca="false">IF(IFERROR(INDEX(tsk_Name,GanttView[[#This Row],[_Row]])="",TRUE()),"",IF(INDEX(tsk_IsSummary,GanttView[[#This Row],[_Row]]),NETWORKDAYS.INTL(INDEX(tsk_FcStart,GanttView[[#This Row],[_Row]]),INDEX(tsk_FcFinish,GanttView[[#This Row],[_Row]]),WorkWeek,Holidays),N(INDEX(tsk_Duration,GanttView[[#This Row],[_Row]]))))</f>
        <v/>
      </c>
      <c r="E125" s="128" t="str">
        <f aca="false">IF(IFERROR(INDEX(tsk_Name,GanttView[[#This Row],[_Row]])="",TRUE()),"",INDEX(tsk_PlanStart,GanttView[[#This Row],[_Row]]))</f>
        <v/>
      </c>
      <c r="F125" s="128" t="str">
        <f aca="false">IF(IFERROR(INDEX(tsk_Name,GanttView[[#This Row],[_Row]])="",TRUE()),"",INDEX(tsk_PlanFinish,GanttView[[#This Row],[_Row]]))</f>
        <v/>
      </c>
      <c r="G125" s="128" t="str">
        <f aca="false">IF(IFERROR(INDEX(tsk_Name,GanttView[[#This Row],[_Row]])="",TRUE()),"",INDEX(tsk_FcStart,GanttView[[#This Row],[_Row]]))</f>
        <v/>
      </c>
      <c r="H125" s="128" t="str">
        <f aca="false">IF(IFERROR(INDEX(tsk_Name,GanttView[[#This Row],[_Row]])="",TRUE()),"",INDEX(tsk_FcFinish,GanttView[[#This Row],[_Row]]))</f>
        <v/>
      </c>
      <c r="I125" s="129" t="str">
        <f aca="false">IF(IFERROR(INDEX(tsk_Name,GanttView[[#This Row],[_Row]])="",TRUE()),"",INDEX(tsk_Progress,GanttView[[#This Row],[_Row]]))</f>
        <v/>
      </c>
      <c r="J125" s="127" t="str">
        <f aca="false">IF(IFERROR(INDEX(tsk_Name,GanttView[[#This Row],[_Row]])="",TRUE()),"",INDEX(tsk_ResourceNames,GanttView[[#This Row],[_Row]])&amp;"")</f>
        <v/>
      </c>
      <c r="K125" s="126" t="str">
        <f aca="false">IF(IFERROR(INDEX(tsk_Name,GanttView[[#This Row],[_Row]])="",TRUE()),"",INDEX(tsk_Status,GanttView[[#This Row],[_Row]]))</f>
        <v/>
      </c>
      <c r="L125" s="126" t="str">
        <f aca="false">IF(IFERROR(INDEX(tsk_Name,GanttView[[#This Row],[_Row]])="",TRUE()),"",INDEX(tsk_Show,GanttView[[#This Row],[_Row]])&amp;"")</f>
        <v/>
      </c>
      <c r="M125" s="130" t="n">
        <f aca="false">ROW()-ROW(GanttView[[#Headers],[ID]])</f>
        <v>120</v>
      </c>
      <c r="N125" s="131" t="b">
        <f aca="false">IF(IFERROR(INDEX(tsk_Name,GanttView[[#This Row],[_Row]])="",TRUE()),FALSE(),INDEX(tsk_IsSummary,GanttView[[#This Row],[_Row]]))</f>
        <v>0</v>
      </c>
      <c r="O125" s="131" t="b">
        <f aca="false">IF(IFERROR(INDEX(tsk_Name,GanttView[[#This Row],[_Row]])="",TRUE()),FALSE(),AND(INDEX(tsk_IsLeaf,GanttView[[#This Row],[_Row]])=1,N(INDEX(tsk_Duration,GanttView[[#This Row],[_Row]]))=0))</f>
        <v>0</v>
      </c>
      <c r="P125" s="132" t="n">
        <f aca="false">IF(IFERROR(INDEX(tsk_Name,GanttView[[#This Row],[_Row]])="",TRUE()),0,IF(AND(INDEX(tsk_IsLeaf,GanttView[[#This Row],[_Row]])=1,NOT(GanttView[[#This Row],[_IsMilestone]]),N(GanttView[[#This Row],[%]])&gt;0),GanttView[[#This Row],[Forecast Start]],0))</f>
        <v>0</v>
      </c>
      <c r="Q125" s="132" t="n">
        <f aca="false">IF(GanttView[[#This Row],[_DoneFrom]]=0,0,IF(GanttView[[#This Row],[%]]&gt;=1,GanttView[[#This Row],[Forecast Finish]],MAX(GanttView[[#This Row],[_DoneFrom]],GanttView[[#This Row],[Forecast Start]]+ROUND((GanttView[[#This Row],[Forecast Finish]]-GanttView[[#This Row],[Forecast Start]]+1)*GanttView[[#This Row],[%]],0)-1)))</f>
        <v>0</v>
      </c>
      <c r="R125" s="132" t="n">
        <f aca="false">IF(IFERROR(INDEX(tsk_Name,GanttView[[#This Row],[_Row]])="",TRUE()),0,IF(OR(INDEX(tsk_IsLeaf,GanttView[[#This Row],[_Row]])&lt;&gt;1,GanttView[[#This Row],[_IsMilestone]],N(GanttView[[#This Row],[%]])&gt;=1),0,IF(GanttView[[#This Row],[_DoneTo]]&gt;0,GanttView[[#This Row],[_DoneTo]]+1,GanttView[[#This Row],[Forecast Start]])))</f>
        <v>0</v>
      </c>
      <c r="S125" s="132" t="n">
        <f aca="false">IF(GanttView[[#This Row],[_RemFrom]]=0,0,GanttView[[#This Row],[Forecast Finish]])</f>
        <v>0</v>
      </c>
      <c r="T125" s="131" t="b">
        <f aca="false">IF(IFERROR(INDEX(tsk_Name,GanttView[[#This Row],[_Row]])="",TRUE()),FALSE(),N(INDEX(tsk_Variance,GanttView[[#This Row],[_Row]]))&gt;0)</f>
        <v>0</v>
      </c>
      <c r="U125" s="132" t="n">
        <f aca="false">IF(IFERROR(INDEX(tsk_Name,GanttView[[#This Row],[_Row]])="",TRUE()),0,N(INDEX(tsk_Deadline,GanttView[[#This Row],[_Row]])))</f>
        <v>0</v>
      </c>
      <c r="V125" s="131" t="b">
        <f aca="false">IF(IFERROR(INDEX(tsk_Name,GanttView[[#This Row],[_Row]])="",TRUE()),FALSE(),INDEX(tsk_Critical,GanttView[[#This Row],[_Row]])="Yes")</f>
        <v>0</v>
      </c>
    </row>
    <row r="126" customFormat="false" ht="15" hidden="false" customHeight="false" outlineLevel="0" collapsed="false">
      <c r="A126" s="126" t="str">
        <f aca="false">IF(IFERROR(INDEX(tsk_Name,GanttView[[#This Row],[_Row]])="",TRUE()),"",INDEX(tsk_ID,GanttView[[#This Row],[_Row]]))</f>
        <v/>
      </c>
      <c r="B126" s="126" t="str">
        <f aca="false">IF(IFERROR(INDEX(tsk_Name,GanttView[[#This Row],[_Row]])="",TRUE()),"",INDEX(tsk_WBS,GanttView[[#This Row],[_Row]]))</f>
        <v/>
      </c>
      <c r="C126" s="127" t="str">
        <f aca="false">IF(IFERROR(INDEX(tsk_Name,GanttView[[#This Row],[_Row]])="",TRUE()),"",REPT("    ",INDEX(tsk_Level,GanttView[[#This Row],[_Row]])-1)&amp;INDEX(tsk_Name,GanttView[[#This Row],[_Row]]))</f>
        <v/>
      </c>
      <c r="D126" s="126" t="str">
        <f aca="false">IF(IFERROR(INDEX(tsk_Name,GanttView[[#This Row],[_Row]])="",TRUE()),"",IF(INDEX(tsk_IsSummary,GanttView[[#This Row],[_Row]]),NETWORKDAYS.INTL(INDEX(tsk_FcStart,GanttView[[#This Row],[_Row]]),INDEX(tsk_FcFinish,GanttView[[#This Row],[_Row]]),WorkWeek,Holidays),N(INDEX(tsk_Duration,GanttView[[#This Row],[_Row]]))))</f>
        <v/>
      </c>
      <c r="E126" s="128" t="str">
        <f aca="false">IF(IFERROR(INDEX(tsk_Name,GanttView[[#This Row],[_Row]])="",TRUE()),"",INDEX(tsk_PlanStart,GanttView[[#This Row],[_Row]]))</f>
        <v/>
      </c>
      <c r="F126" s="128" t="str">
        <f aca="false">IF(IFERROR(INDEX(tsk_Name,GanttView[[#This Row],[_Row]])="",TRUE()),"",INDEX(tsk_PlanFinish,GanttView[[#This Row],[_Row]]))</f>
        <v/>
      </c>
      <c r="G126" s="128" t="str">
        <f aca="false">IF(IFERROR(INDEX(tsk_Name,GanttView[[#This Row],[_Row]])="",TRUE()),"",INDEX(tsk_FcStart,GanttView[[#This Row],[_Row]]))</f>
        <v/>
      </c>
      <c r="H126" s="128" t="str">
        <f aca="false">IF(IFERROR(INDEX(tsk_Name,GanttView[[#This Row],[_Row]])="",TRUE()),"",INDEX(tsk_FcFinish,GanttView[[#This Row],[_Row]]))</f>
        <v/>
      </c>
      <c r="I126" s="129" t="str">
        <f aca="false">IF(IFERROR(INDEX(tsk_Name,GanttView[[#This Row],[_Row]])="",TRUE()),"",INDEX(tsk_Progress,GanttView[[#This Row],[_Row]]))</f>
        <v/>
      </c>
      <c r="J126" s="127" t="str">
        <f aca="false">IF(IFERROR(INDEX(tsk_Name,GanttView[[#This Row],[_Row]])="",TRUE()),"",INDEX(tsk_ResourceNames,GanttView[[#This Row],[_Row]])&amp;"")</f>
        <v/>
      </c>
      <c r="K126" s="126" t="str">
        <f aca="false">IF(IFERROR(INDEX(tsk_Name,GanttView[[#This Row],[_Row]])="",TRUE()),"",INDEX(tsk_Status,GanttView[[#This Row],[_Row]]))</f>
        <v/>
      </c>
      <c r="L126" s="126" t="str">
        <f aca="false">IF(IFERROR(INDEX(tsk_Name,GanttView[[#This Row],[_Row]])="",TRUE()),"",INDEX(tsk_Show,GanttView[[#This Row],[_Row]])&amp;"")</f>
        <v/>
      </c>
      <c r="M126" s="130" t="n">
        <f aca="false">ROW()-ROW(GanttView[[#Headers],[ID]])</f>
        <v>121</v>
      </c>
      <c r="N126" s="131" t="b">
        <f aca="false">IF(IFERROR(INDEX(tsk_Name,GanttView[[#This Row],[_Row]])="",TRUE()),FALSE(),INDEX(tsk_IsSummary,GanttView[[#This Row],[_Row]]))</f>
        <v>0</v>
      </c>
      <c r="O126" s="131" t="b">
        <f aca="false">IF(IFERROR(INDEX(tsk_Name,GanttView[[#This Row],[_Row]])="",TRUE()),FALSE(),AND(INDEX(tsk_IsLeaf,GanttView[[#This Row],[_Row]])=1,N(INDEX(tsk_Duration,GanttView[[#This Row],[_Row]]))=0))</f>
        <v>0</v>
      </c>
      <c r="P126" s="132" t="n">
        <f aca="false">IF(IFERROR(INDEX(tsk_Name,GanttView[[#This Row],[_Row]])="",TRUE()),0,IF(AND(INDEX(tsk_IsLeaf,GanttView[[#This Row],[_Row]])=1,NOT(GanttView[[#This Row],[_IsMilestone]]),N(GanttView[[#This Row],[%]])&gt;0),GanttView[[#This Row],[Forecast Start]],0))</f>
        <v>0</v>
      </c>
      <c r="Q126" s="132" t="n">
        <f aca="false">IF(GanttView[[#This Row],[_DoneFrom]]=0,0,IF(GanttView[[#This Row],[%]]&gt;=1,GanttView[[#This Row],[Forecast Finish]],MAX(GanttView[[#This Row],[_DoneFrom]],GanttView[[#This Row],[Forecast Start]]+ROUND((GanttView[[#This Row],[Forecast Finish]]-GanttView[[#This Row],[Forecast Start]]+1)*GanttView[[#This Row],[%]],0)-1)))</f>
        <v>0</v>
      </c>
      <c r="R126" s="132" t="n">
        <f aca="false">IF(IFERROR(INDEX(tsk_Name,GanttView[[#This Row],[_Row]])="",TRUE()),0,IF(OR(INDEX(tsk_IsLeaf,GanttView[[#This Row],[_Row]])&lt;&gt;1,GanttView[[#This Row],[_IsMilestone]],N(GanttView[[#This Row],[%]])&gt;=1),0,IF(GanttView[[#This Row],[_DoneTo]]&gt;0,GanttView[[#This Row],[_DoneTo]]+1,GanttView[[#This Row],[Forecast Start]])))</f>
        <v>0</v>
      </c>
      <c r="S126" s="132" t="n">
        <f aca="false">IF(GanttView[[#This Row],[_RemFrom]]=0,0,GanttView[[#This Row],[Forecast Finish]])</f>
        <v>0</v>
      </c>
      <c r="T126" s="131" t="b">
        <f aca="false">IF(IFERROR(INDEX(tsk_Name,GanttView[[#This Row],[_Row]])="",TRUE()),FALSE(),N(INDEX(tsk_Variance,GanttView[[#This Row],[_Row]]))&gt;0)</f>
        <v>0</v>
      </c>
      <c r="U126" s="132" t="n">
        <f aca="false">IF(IFERROR(INDEX(tsk_Name,GanttView[[#This Row],[_Row]])="",TRUE()),0,N(INDEX(tsk_Deadline,GanttView[[#This Row],[_Row]])))</f>
        <v>0</v>
      </c>
      <c r="V126" s="131" t="b">
        <f aca="false">IF(IFERROR(INDEX(tsk_Name,GanttView[[#This Row],[_Row]])="",TRUE()),FALSE(),INDEX(tsk_Critical,GanttView[[#This Row],[_Row]])="Yes")</f>
        <v>0</v>
      </c>
    </row>
    <row r="127" customFormat="false" ht="15" hidden="false" customHeight="false" outlineLevel="0" collapsed="false">
      <c r="A127" s="126" t="str">
        <f aca="false">IF(IFERROR(INDEX(tsk_Name,GanttView[[#This Row],[_Row]])="",TRUE()),"",INDEX(tsk_ID,GanttView[[#This Row],[_Row]]))</f>
        <v/>
      </c>
      <c r="B127" s="126" t="str">
        <f aca="false">IF(IFERROR(INDEX(tsk_Name,GanttView[[#This Row],[_Row]])="",TRUE()),"",INDEX(tsk_WBS,GanttView[[#This Row],[_Row]]))</f>
        <v/>
      </c>
      <c r="C127" s="127" t="str">
        <f aca="false">IF(IFERROR(INDEX(tsk_Name,GanttView[[#This Row],[_Row]])="",TRUE()),"",REPT("    ",INDEX(tsk_Level,GanttView[[#This Row],[_Row]])-1)&amp;INDEX(tsk_Name,GanttView[[#This Row],[_Row]]))</f>
        <v/>
      </c>
      <c r="D127" s="126" t="str">
        <f aca="false">IF(IFERROR(INDEX(tsk_Name,GanttView[[#This Row],[_Row]])="",TRUE()),"",IF(INDEX(tsk_IsSummary,GanttView[[#This Row],[_Row]]),NETWORKDAYS.INTL(INDEX(tsk_FcStart,GanttView[[#This Row],[_Row]]),INDEX(tsk_FcFinish,GanttView[[#This Row],[_Row]]),WorkWeek,Holidays),N(INDEX(tsk_Duration,GanttView[[#This Row],[_Row]]))))</f>
        <v/>
      </c>
      <c r="E127" s="128" t="str">
        <f aca="false">IF(IFERROR(INDEX(tsk_Name,GanttView[[#This Row],[_Row]])="",TRUE()),"",INDEX(tsk_PlanStart,GanttView[[#This Row],[_Row]]))</f>
        <v/>
      </c>
      <c r="F127" s="128" t="str">
        <f aca="false">IF(IFERROR(INDEX(tsk_Name,GanttView[[#This Row],[_Row]])="",TRUE()),"",INDEX(tsk_PlanFinish,GanttView[[#This Row],[_Row]]))</f>
        <v/>
      </c>
      <c r="G127" s="128" t="str">
        <f aca="false">IF(IFERROR(INDEX(tsk_Name,GanttView[[#This Row],[_Row]])="",TRUE()),"",INDEX(tsk_FcStart,GanttView[[#This Row],[_Row]]))</f>
        <v/>
      </c>
      <c r="H127" s="128" t="str">
        <f aca="false">IF(IFERROR(INDEX(tsk_Name,GanttView[[#This Row],[_Row]])="",TRUE()),"",INDEX(tsk_FcFinish,GanttView[[#This Row],[_Row]]))</f>
        <v/>
      </c>
      <c r="I127" s="129" t="str">
        <f aca="false">IF(IFERROR(INDEX(tsk_Name,GanttView[[#This Row],[_Row]])="",TRUE()),"",INDEX(tsk_Progress,GanttView[[#This Row],[_Row]]))</f>
        <v/>
      </c>
      <c r="J127" s="127" t="str">
        <f aca="false">IF(IFERROR(INDEX(tsk_Name,GanttView[[#This Row],[_Row]])="",TRUE()),"",INDEX(tsk_ResourceNames,GanttView[[#This Row],[_Row]])&amp;"")</f>
        <v/>
      </c>
      <c r="K127" s="126" t="str">
        <f aca="false">IF(IFERROR(INDEX(tsk_Name,GanttView[[#This Row],[_Row]])="",TRUE()),"",INDEX(tsk_Status,GanttView[[#This Row],[_Row]]))</f>
        <v/>
      </c>
      <c r="L127" s="126" t="str">
        <f aca="false">IF(IFERROR(INDEX(tsk_Name,GanttView[[#This Row],[_Row]])="",TRUE()),"",INDEX(tsk_Show,GanttView[[#This Row],[_Row]])&amp;"")</f>
        <v/>
      </c>
      <c r="M127" s="130" t="n">
        <f aca="false">ROW()-ROW(GanttView[[#Headers],[ID]])</f>
        <v>122</v>
      </c>
      <c r="N127" s="131" t="b">
        <f aca="false">IF(IFERROR(INDEX(tsk_Name,GanttView[[#This Row],[_Row]])="",TRUE()),FALSE(),INDEX(tsk_IsSummary,GanttView[[#This Row],[_Row]]))</f>
        <v>0</v>
      </c>
      <c r="O127" s="131" t="b">
        <f aca="false">IF(IFERROR(INDEX(tsk_Name,GanttView[[#This Row],[_Row]])="",TRUE()),FALSE(),AND(INDEX(tsk_IsLeaf,GanttView[[#This Row],[_Row]])=1,N(INDEX(tsk_Duration,GanttView[[#This Row],[_Row]]))=0))</f>
        <v>0</v>
      </c>
      <c r="P127" s="132" t="n">
        <f aca="false">IF(IFERROR(INDEX(tsk_Name,GanttView[[#This Row],[_Row]])="",TRUE()),0,IF(AND(INDEX(tsk_IsLeaf,GanttView[[#This Row],[_Row]])=1,NOT(GanttView[[#This Row],[_IsMilestone]]),N(GanttView[[#This Row],[%]])&gt;0),GanttView[[#This Row],[Forecast Start]],0))</f>
        <v>0</v>
      </c>
      <c r="Q127" s="132" t="n">
        <f aca="false">IF(GanttView[[#This Row],[_DoneFrom]]=0,0,IF(GanttView[[#This Row],[%]]&gt;=1,GanttView[[#This Row],[Forecast Finish]],MAX(GanttView[[#This Row],[_DoneFrom]],GanttView[[#This Row],[Forecast Start]]+ROUND((GanttView[[#This Row],[Forecast Finish]]-GanttView[[#This Row],[Forecast Start]]+1)*GanttView[[#This Row],[%]],0)-1)))</f>
        <v>0</v>
      </c>
      <c r="R127" s="132" t="n">
        <f aca="false">IF(IFERROR(INDEX(tsk_Name,GanttView[[#This Row],[_Row]])="",TRUE()),0,IF(OR(INDEX(tsk_IsLeaf,GanttView[[#This Row],[_Row]])&lt;&gt;1,GanttView[[#This Row],[_IsMilestone]],N(GanttView[[#This Row],[%]])&gt;=1),0,IF(GanttView[[#This Row],[_DoneTo]]&gt;0,GanttView[[#This Row],[_DoneTo]]+1,GanttView[[#This Row],[Forecast Start]])))</f>
        <v>0</v>
      </c>
      <c r="S127" s="132" t="n">
        <f aca="false">IF(GanttView[[#This Row],[_RemFrom]]=0,0,GanttView[[#This Row],[Forecast Finish]])</f>
        <v>0</v>
      </c>
      <c r="T127" s="131" t="b">
        <f aca="false">IF(IFERROR(INDEX(tsk_Name,GanttView[[#This Row],[_Row]])="",TRUE()),FALSE(),N(INDEX(tsk_Variance,GanttView[[#This Row],[_Row]]))&gt;0)</f>
        <v>0</v>
      </c>
      <c r="U127" s="132" t="n">
        <f aca="false">IF(IFERROR(INDEX(tsk_Name,GanttView[[#This Row],[_Row]])="",TRUE()),0,N(INDEX(tsk_Deadline,GanttView[[#This Row],[_Row]])))</f>
        <v>0</v>
      </c>
      <c r="V127" s="131" t="b">
        <f aca="false">IF(IFERROR(INDEX(tsk_Name,GanttView[[#This Row],[_Row]])="",TRUE()),FALSE(),INDEX(tsk_Critical,GanttView[[#This Row],[_Row]])="Yes")</f>
        <v>0</v>
      </c>
    </row>
    <row r="128" customFormat="false" ht="15" hidden="false" customHeight="false" outlineLevel="0" collapsed="false">
      <c r="A128" s="126" t="str">
        <f aca="false">IF(IFERROR(INDEX(tsk_Name,GanttView[[#This Row],[_Row]])="",TRUE()),"",INDEX(tsk_ID,GanttView[[#This Row],[_Row]]))</f>
        <v/>
      </c>
      <c r="B128" s="126" t="str">
        <f aca="false">IF(IFERROR(INDEX(tsk_Name,GanttView[[#This Row],[_Row]])="",TRUE()),"",INDEX(tsk_WBS,GanttView[[#This Row],[_Row]]))</f>
        <v/>
      </c>
      <c r="C128" s="127" t="str">
        <f aca="false">IF(IFERROR(INDEX(tsk_Name,GanttView[[#This Row],[_Row]])="",TRUE()),"",REPT("    ",INDEX(tsk_Level,GanttView[[#This Row],[_Row]])-1)&amp;INDEX(tsk_Name,GanttView[[#This Row],[_Row]]))</f>
        <v/>
      </c>
      <c r="D128" s="126" t="str">
        <f aca="false">IF(IFERROR(INDEX(tsk_Name,GanttView[[#This Row],[_Row]])="",TRUE()),"",IF(INDEX(tsk_IsSummary,GanttView[[#This Row],[_Row]]),NETWORKDAYS.INTL(INDEX(tsk_FcStart,GanttView[[#This Row],[_Row]]),INDEX(tsk_FcFinish,GanttView[[#This Row],[_Row]]),WorkWeek,Holidays),N(INDEX(tsk_Duration,GanttView[[#This Row],[_Row]]))))</f>
        <v/>
      </c>
      <c r="E128" s="128" t="str">
        <f aca="false">IF(IFERROR(INDEX(tsk_Name,GanttView[[#This Row],[_Row]])="",TRUE()),"",INDEX(tsk_PlanStart,GanttView[[#This Row],[_Row]]))</f>
        <v/>
      </c>
      <c r="F128" s="128" t="str">
        <f aca="false">IF(IFERROR(INDEX(tsk_Name,GanttView[[#This Row],[_Row]])="",TRUE()),"",INDEX(tsk_PlanFinish,GanttView[[#This Row],[_Row]]))</f>
        <v/>
      </c>
      <c r="G128" s="128" t="str">
        <f aca="false">IF(IFERROR(INDEX(tsk_Name,GanttView[[#This Row],[_Row]])="",TRUE()),"",INDEX(tsk_FcStart,GanttView[[#This Row],[_Row]]))</f>
        <v/>
      </c>
      <c r="H128" s="128" t="str">
        <f aca="false">IF(IFERROR(INDEX(tsk_Name,GanttView[[#This Row],[_Row]])="",TRUE()),"",INDEX(tsk_FcFinish,GanttView[[#This Row],[_Row]]))</f>
        <v/>
      </c>
      <c r="I128" s="129" t="str">
        <f aca="false">IF(IFERROR(INDEX(tsk_Name,GanttView[[#This Row],[_Row]])="",TRUE()),"",INDEX(tsk_Progress,GanttView[[#This Row],[_Row]]))</f>
        <v/>
      </c>
      <c r="J128" s="127" t="str">
        <f aca="false">IF(IFERROR(INDEX(tsk_Name,GanttView[[#This Row],[_Row]])="",TRUE()),"",INDEX(tsk_ResourceNames,GanttView[[#This Row],[_Row]])&amp;"")</f>
        <v/>
      </c>
      <c r="K128" s="126" t="str">
        <f aca="false">IF(IFERROR(INDEX(tsk_Name,GanttView[[#This Row],[_Row]])="",TRUE()),"",INDEX(tsk_Status,GanttView[[#This Row],[_Row]]))</f>
        <v/>
      </c>
      <c r="L128" s="126" t="str">
        <f aca="false">IF(IFERROR(INDEX(tsk_Name,GanttView[[#This Row],[_Row]])="",TRUE()),"",INDEX(tsk_Show,GanttView[[#This Row],[_Row]])&amp;"")</f>
        <v/>
      </c>
      <c r="M128" s="130" t="n">
        <f aca="false">ROW()-ROW(GanttView[[#Headers],[ID]])</f>
        <v>123</v>
      </c>
      <c r="N128" s="131" t="b">
        <f aca="false">IF(IFERROR(INDEX(tsk_Name,GanttView[[#This Row],[_Row]])="",TRUE()),FALSE(),INDEX(tsk_IsSummary,GanttView[[#This Row],[_Row]]))</f>
        <v>0</v>
      </c>
      <c r="O128" s="131" t="b">
        <f aca="false">IF(IFERROR(INDEX(tsk_Name,GanttView[[#This Row],[_Row]])="",TRUE()),FALSE(),AND(INDEX(tsk_IsLeaf,GanttView[[#This Row],[_Row]])=1,N(INDEX(tsk_Duration,GanttView[[#This Row],[_Row]]))=0))</f>
        <v>0</v>
      </c>
      <c r="P128" s="132" t="n">
        <f aca="false">IF(IFERROR(INDEX(tsk_Name,GanttView[[#This Row],[_Row]])="",TRUE()),0,IF(AND(INDEX(tsk_IsLeaf,GanttView[[#This Row],[_Row]])=1,NOT(GanttView[[#This Row],[_IsMilestone]]),N(GanttView[[#This Row],[%]])&gt;0),GanttView[[#This Row],[Forecast Start]],0))</f>
        <v>0</v>
      </c>
      <c r="Q128" s="132" t="n">
        <f aca="false">IF(GanttView[[#This Row],[_DoneFrom]]=0,0,IF(GanttView[[#This Row],[%]]&gt;=1,GanttView[[#This Row],[Forecast Finish]],MAX(GanttView[[#This Row],[_DoneFrom]],GanttView[[#This Row],[Forecast Start]]+ROUND((GanttView[[#This Row],[Forecast Finish]]-GanttView[[#This Row],[Forecast Start]]+1)*GanttView[[#This Row],[%]],0)-1)))</f>
        <v>0</v>
      </c>
      <c r="R128" s="132" t="n">
        <f aca="false">IF(IFERROR(INDEX(tsk_Name,GanttView[[#This Row],[_Row]])="",TRUE()),0,IF(OR(INDEX(tsk_IsLeaf,GanttView[[#This Row],[_Row]])&lt;&gt;1,GanttView[[#This Row],[_IsMilestone]],N(GanttView[[#This Row],[%]])&gt;=1),0,IF(GanttView[[#This Row],[_DoneTo]]&gt;0,GanttView[[#This Row],[_DoneTo]]+1,GanttView[[#This Row],[Forecast Start]])))</f>
        <v>0</v>
      </c>
      <c r="S128" s="132" t="n">
        <f aca="false">IF(GanttView[[#This Row],[_RemFrom]]=0,0,GanttView[[#This Row],[Forecast Finish]])</f>
        <v>0</v>
      </c>
      <c r="T128" s="131" t="b">
        <f aca="false">IF(IFERROR(INDEX(tsk_Name,GanttView[[#This Row],[_Row]])="",TRUE()),FALSE(),N(INDEX(tsk_Variance,GanttView[[#This Row],[_Row]]))&gt;0)</f>
        <v>0</v>
      </c>
      <c r="U128" s="132" t="n">
        <f aca="false">IF(IFERROR(INDEX(tsk_Name,GanttView[[#This Row],[_Row]])="",TRUE()),0,N(INDEX(tsk_Deadline,GanttView[[#This Row],[_Row]])))</f>
        <v>0</v>
      </c>
      <c r="V128" s="131" t="b">
        <f aca="false">IF(IFERROR(INDEX(tsk_Name,GanttView[[#This Row],[_Row]])="",TRUE()),FALSE(),INDEX(tsk_Critical,GanttView[[#This Row],[_Row]])="Yes")</f>
        <v>0</v>
      </c>
    </row>
    <row r="129" customFormat="false" ht="15" hidden="false" customHeight="false" outlineLevel="0" collapsed="false">
      <c r="A129" s="126" t="str">
        <f aca="false">IF(IFERROR(INDEX(tsk_Name,GanttView[[#This Row],[_Row]])="",TRUE()),"",INDEX(tsk_ID,GanttView[[#This Row],[_Row]]))</f>
        <v/>
      </c>
      <c r="B129" s="126" t="str">
        <f aca="false">IF(IFERROR(INDEX(tsk_Name,GanttView[[#This Row],[_Row]])="",TRUE()),"",INDEX(tsk_WBS,GanttView[[#This Row],[_Row]]))</f>
        <v/>
      </c>
      <c r="C129" s="127" t="str">
        <f aca="false">IF(IFERROR(INDEX(tsk_Name,GanttView[[#This Row],[_Row]])="",TRUE()),"",REPT("    ",INDEX(tsk_Level,GanttView[[#This Row],[_Row]])-1)&amp;INDEX(tsk_Name,GanttView[[#This Row],[_Row]]))</f>
        <v/>
      </c>
      <c r="D129" s="126" t="str">
        <f aca="false">IF(IFERROR(INDEX(tsk_Name,GanttView[[#This Row],[_Row]])="",TRUE()),"",IF(INDEX(tsk_IsSummary,GanttView[[#This Row],[_Row]]),NETWORKDAYS.INTL(INDEX(tsk_FcStart,GanttView[[#This Row],[_Row]]),INDEX(tsk_FcFinish,GanttView[[#This Row],[_Row]]),WorkWeek,Holidays),N(INDEX(tsk_Duration,GanttView[[#This Row],[_Row]]))))</f>
        <v/>
      </c>
      <c r="E129" s="128" t="str">
        <f aca="false">IF(IFERROR(INDEX(tsk_Name,GanttView[[#This Row],[_Row]])="",TRUE()),"",INDEX(tsk_PlanStart,GanttView[[#This Row],[_Row]]))</f>
        <v/>
      </c>
      <c r="F129" s="128" t="str">
        <f aca="false">IF(IFERROR(INDEX(tsk_Name,GanttView[[#This Row],[_Row]])="",TRUE()),"",INDEX(tsk_PlanFinish,GanttView[[#This Row],[_Row]]))</f>
        <v/>
      </c>
      <c r="G129" s="128" t="str">
        <f aca="false">IF(IFERROR(INDEX(tsk_Name,GanttView[[#This Row],[_Row]])="",TRUE()),"",INDEX(tsk_FcStart,GanttView[[#This Row],[_Row]]))</f>
        <v/>
      </c>
      <c r="H129" s="128" t="str">
        <f aca="false">IF(IFERROR(INDEX(tsk_Name,GanttView[[#This Row],[_Row]])="",TRUE()),"",INDEX(tsk_FcFinish,GanttView[[#This Row],[_Row]]))</f>
        <v/>
      </c>
      <c r="I129" s="129" t="str">
        <f aca="false">IF(IFERROR(INDEX(tsk_Name,GanttView[[#This Row],[_Row]])="",TRUE()),"",INDEX(tsk_Progress,GanttView[[#This Row],[_Row]]))</f>
        <v/>
      </c>
      <c r="J129" s="127" t="str">
        <f aca="false">IF(IFERROR(INDEX(tsk_Name,GanttView[[#This Row],[_Row]])="",TRUE()),"",INDEX(tsk_ResourceNames,GanttView[[#This Row],[_Row]])&amp;"")</f>
        <v/>
      </c>
      <c r="K129" s="126" t="str">
        <f aca="false">IF(IFERROR(INDEX(tsk_Name,GanttView[[#This Row],[_Row]])="",TRUE()),"",INDEX(tsk_Status,GanttView[[#This Row],[_Row]]))</f>
        <v/>
      </c>
      <c r="L129" s="126" t="str">
        <f aca="false">IF(IFERROR(INDEX(tsk_Name,GanttView[[#This Row],[_Row]])="",TRUE()),"",INDEX(tsk_Show,GanttView[[#This Row],[_Row]])&amp;"")</f>
        <v/>
      </c>
      <c r="M129" s="130" t="n">
        <f aca="false">ROW()-ROW(GanttView[[#Headers],[ID]])</f>
        <v>124</v>
      </c>
      <c r="N129" s="131" t="b">
        <f aca="false">IF(IFERROR(INDEX(tsk_Name,GanttView[[#This Row],[_Row]])="",TRUE()),FALSE(),INDEX(tsk_IsSummary,GanttView[[#This Row],[_Row]]))</f>
        <v>0</v>
      </c>
      <c r="O129" s="131" t="b">
        <f aca="false">IF(IFERROR(INDEX(tsk_Name,GanttView[[#This Row],[_Row]])="",TRUE()),FALSE(),AND(INDEX(tsk_IsLeaf,GanttView[[#This Row],[_Row]])=1,N(INDEX(tsk_Duration,GanttView[[#This Row],[_Row]]))=0))</f>
        <v>0</v>
      </c>
      <c r="P129" s="132" t="n">
        <f aca="false">IF(IFERROR(INDEX(tsk_Name,GanttView[[#This Row],[_Row]])="",TRUE()),0,IF(AND(INDEX(tsk_IsLeaf,GanttView[[#This Row],[_Row]])=1,NOT(GanttView[[#This Row],[_IsMilestone]]),N(GanttView[[#This Row],[%]])&gt;0),GanttView[[#This Row],[Forecast Start]],0))</f>
        <v>0</v>
      </c>
      <c r="Q129" s="132" t="n">
        <f aca="false">IF(GanttView[[#This Row],[_DoneFrom]]=0,0,IF(GanttView[[#This Row],[%]]&gt;=1,GanttView[[#This Row],[Forecast Finish]],MAX(GanttView[[#This Row],[_DoneFrom]],GanttView[[#This Row],[Forecast Start]]+ROUND((GanttView[[#This Row],[Forecast Finish]]-GanttView[[#This Row],[Forecast Start]]+1)*GanttView[[#This Row],[%]],0)-1)))</f>
        <v>0</v>
      </c>
      <c r="R129" s="132" t="n">
        <f aca="false">IF(IFERROR(INDEX(tsk_Name,GanttView[[#This Row],[_Row]])="",TRUE()),0,IF(OR(INDEX(tsk_IsLeaf,GanttView[[#This Row],[_Row]])&lt;&gt;1,GanttView[[#This Row],[_IsMilestone]],N(GanttView[[#This Row],[%]])&gt;=1),0,IF(GanttView[[#This Row],[_DoneTo]]&gt;0,GanttView[[#This Row],[_DoneTo]]+1,GanttView[[#This Row],[Forecast Start]])))</f>
        <v>0</v>
      </c>
      <c r="S129" s="132" t="n">
        <f aca="false">IF(GanttView[[#This Row],[_RemFrom]]=0,0,GanttView[[#This Row],[Forecast Finish]])</f>
        <v>0</v>
      </c>
      <c r="T129" s="131" t="b">
        <f aca="false">IF(IFERROR(INDEX(tsk_Name,GanttView[[#This Row],[_Row]])="",TRUE()),FALSE(),N(INDEX(tsk_Variance,GanttView[[#This Row],[_Row]]))&gt;0)</f>
        <v>0</v>
      </c>
      <c r="U129" s="132" t="n">
        <f aca="false">IF(IFERROR(INDEX(tsk_Name,GanttView[[#This Row],[_Row]])="",TRUE()),0,N(INDEX(tsk_Deadline,GanttView[[#This Row],[_Row]])))</f>
        <v>0</v>
      </c>
      <c r="V129" s="131" t="b">
        <f aca="false">IF(IFERROR(INDEX(tsk_Name,GanttView[[#This Row],[_Row]])="",TRUE()),FALSE(),INDEX(tsk_Critical,GanttView[[#This Row],[_Row]])="Yes")</f>
        <v>0</v>
      </c>
    </row>
    <row r="130" customFormat="false" ht="15" hidden="false" customHeight="false" outlineLevel="0" collapsed="false">
      <c r="A130" s="126" t="str">
        <f aca="false">IF(IFERROR(INDEX(tsk_Name,GanttView[[#This Row],[_Row]])="",TRUE()),"",INDEX(tsk_ID,GanttView[[#This Row],[_Row]]))</f>
        <v/>
      </c>
      <c r="B130" s="126" t="str">
        <f aca="false">IF(IFERROR(INDEX(tsk_Name,GanttView[[#This Row],[_Row]])="",TRUE()),"",INDEX(tsk_WBS,GanttView[[#This Row],[_Row]]))</f>
        <v/>
      </c>
      <c r="C130" s="127" t="str">
        <f aca="false">IF(IFERROR(INDEX(tsk_Name,GanttView[[#This Row],[_Row]])="",TRUE()),"",REPT("    ",INDEX(tsk_Level,GanttView[[#This Row],[_Row]])-1)&amp;INDEX(tsk_Name,GanttView[[#This Row],[_Row]]))</f>
        <v/>
      </c>
      <c r="D130" s="126" t="str">
        <f aca="false">IF(IFERROR(INDEX(tsk_Name,GanttView[[#This Row],[_Row]])="",TRUE()),"",IF(INDEX(tsk_IsSummary,GanttView[[#This Row],[_Row]]),NETWORKDAYS.INTL(INDEX(tsk_FcStart,GanttView[[#This Row],[_Row]]),INDEX(tsk_FcFinish,GanttView[[#This Row],[_Row]]),WorkWeek,Holidays),N(INDEX(tsk_Duration,GanttView[[#This Row],[_Row]]))))</f>
        <v/>
      </c>
      <c r="E130" s="128" t="str">
        <f aca="false">IF(IFERROR(INDEX(tsk_Name,GanttView[[#This Row],[_Row]])="",TRUE()),"",INDEX(tsk_PlanStart,GanttView[[#This Row],[_Row]]))</f>
        <v/>
      </c>
      <c r="F130" s="128" t="str">
        <f aca="false">IF(IFERROR(INDEX(tsk_Name,GanttView[[#This Row],[_Row]])="",TRUE()),"",INDEX(tsk_PlanFinish,GanttView[[#This Row],[_Row]]))</f>
        <v/>
      </c>
      <c r="G130" s="128" t="str">
        <f aca="false">IF(IFERROR(INDEX(tsk_Name,GanttView[[#This Row],[_Row]])="",TRUE()),"",INDEX(tsk_FcStart,GanttView[[#This Row],[_Row]]))</f>
        <v/>
      </c>
      <c r="H130" s="128" t="str">
        <f aca="false">IF(IFERROR(INDEX(tsk_Name,GanttView[[#This Row],[_Row]])="",TRUE()),"",INDEX(tsk_FcFinish,GanttView[[#This Row],[_Row]]))</f>
        <v/>
      </c>
      <c r="I130" s="129" t="str">
        <f aca="false">IF(IFERROR(INDEX(tsk_Name,GanttView[[#This Row],[_Row]])="",TRUE()),"",INDEX(tsk_Progress,GanttView[[#This Row],[_Row]]))</f>
        <v/>
      </c>
      <c r="J130" s="127" t="str">
        <f aca="false">IF(IFERROR(INDEX(tsk_Name,GanttView[[#This Row],[_Row]])="",TRUE()),"",INDEX(tsk_ResourceNames,GanttView[[#This Row],[_Row]])&amp;"")</f>
        <v/>
      </c>
      <c r="K130" s="126" t="str">
        <f aca="false">IF(IFERROR(INDEX(tsk_Name,GanttView[[#This Row],[_Row]])="",TRUE()),"",INDEX(tsk_Status,GanttView[[#This Row],[_Row]]))</f>
        <v/>
      </c>
      <c r="L130" s="126" t="str">
        <f aca="false">IF(IFERROR(INDEX(tsk_Name,GanttView[[#This Row],[_Row]])="",TRUE()),"",INDEX(tsk_Show,GanttView[[#This Row],[_Row]])&amp;"")</f>
        <v/>
      </c>
      <c r="M130" s="130" t="n">
        <f aca="false">ROW()-ROW(GanttView[[#Headers],[ID]])</f>
        <v>125</v>
      </c>
      <c r="N130" s="131" t="b">
        <f aca="false">IF(IFERROR(INDEX(tsk_Name,GanttView[[#This Row],[_Row]])="",TRUE()),FALSE(),INDEX(tsk_IsSummary,GanttView[[#This Row],[_Row]]))</f>
        <v>0</v>
      </c>
      <c r="O130" s="131" t="b">
        <f aca="false">IF(IFERROR(INDEX(tsk_Name,GanttView[[#This Row],[_Row]])="",TRUE()),FALSE(),AND(INDEX(tsk_IsLeaf,GanttView[[#This Row],[_Row]])=1,N(INDEX(tsk_Duration,GanttView[[#This Row],[_Row]]))=0))</f>
        <v>0</v>
      </c>
      <c r="P130" s="132" t="n">
        <f aca="false">IF(IFERROR(INDEX(tsk_Name,GanttView[[#This Row],[_Row]])="",TRUE()),0,IF(AND(INDEX(tsk_IsLeaf,GanttView[[#This Row],[_Row]])=1,NOT(GanttView[[#This Row],[_IsMilestone]]),N(GanttView[[#This Row],[%]])&gt;0),GanttView[[#This Row],[Forecast Start]],0))</f>
        <v>0</v>
      </c>
      <c r="Q130" s="132" t="n">
        <f aca="false">IF(GanttView[[#This Row],[_DoneFrom]]=0,0,IF(GanttView[[#This Row],[%]]&gt;=1,GanttView[[#This Row],[Forecast Finish]],MAX(GanttView[[#This Row],[_DoneFrom]],GanttView[[#This Row],[Forecast Start]]+ROUND((GanttView[[#This Row],[Forecast Finish]]-GanttView[[#This Row],[Forecast Start]]+1)*GanttView[[#This Row],[%]],0)-1)))</f>
        <v>0</v>
      </c>
      <c r="R130" s="132" t="n">
        <f aca="false">IF(IFERROR(INDEX(tsk_Name,GanttView[[#This Row],[_Row]])="",TRUE()),0,IF(OR(INDEX(tsk_IsLeaf,GanttView[[#This Row],[_Row]])&lt;&gt;1,GanttView[[#This Row],[_IsMilestone]],N(GanttView[[#This Row],[%]])&gt;=1),0,IF(GanttView[[#This Row],[_DoneTo]]&gt;0,GanttView[[#This Row],[_DoneTo]]+1,GanttView[[#This Row],[Forecast Start]])))</f>
        <v>0</v>
      </c>
      <c r="S130" s="132" t="n">
        <f aca="false">IF(GanttView[[#This Row],[_RemFrom]]=0,0,GanttView[[#This Row],[Forecast Finish]])</f>
        <v>0</v>
      </c>
      <c r="T130" s="131" t="b">
        <f aca="false">IF(IFERROR(INDEX(tsk_Name,GanttView[[#This Row],[_Row]])="",TRUE()),FALSE(),N(INDEX(tsk_Variance,GanttView[[#This Row],[_Row]]))&gt;0)</f>
        <v>0</v>
      </c>
      <c r="U130" s="132" t="n">
        <f aca="false">IF(IFERROR(INDEX(tsk_Name,GanttView[[#This Row],[_Row]])="",TRUE()),0,N(INDEX(tsk_Deadline,GanttView[[#This Row],[_Row]])))</f>
        <v>0</v>
      </c>
      <c r="V130" s="131" t="b">
        <f aca="false">IF(IFERROR(INDEX(tsk_Name,GanttView[[#This Row],[_Row]])="",TRUE()),FALSE(),INDEX(tsk_Critical,GanttView[[#This Row],[_Row]])="Yes")</f>
        <v>0</v>
      </c>
    </row>
    <row r="131" customFormat="false" ht="15" hidden="false" customHeight="false" outlineLevel="0" collapsed="false">
      <c r="A131" s="126" t="str">
        <f aca="false">IF(IFERROR(INDEX(tsk_Name,GanttView[[#This Row],[_Row]])="",TRUE()),"",INDEX(tsk_ID,GanttView[[#This Row],[_Row]]))</f>
        <v/>
      </c>
      <c r="B131" s="126" t="str">
        <f aca="false">IF(IFERROR(INDEX(tsk_Name,GanttView[[#This Row],[_Row]])="",TRUE()),"",INDEX(tsk_WBS,GanttView[[#This Row],[_Row]]))</f>
        <v/>
      </c>
      <c r="C131" s="127" t="str">
        <f aca="false">IF(IFERROR(INDEX(tsk_Name,GanttView[[#This Row],[_Row]])="",TRUE()),"",REPT("    ",INDEX(tsk_Level,GanttView[[#This Row],[_Row]])-1)&amp;INDEX(tsk_Name,GanttView[[#This Row],[_Row]]))</f>
        <v/>
      </c>
      <c r="D131" s="126" t="str">
        <f aca="false">IF(IFERROR(INDEX(tsk_Name,GanttView[[#This Row],[_Row]])="",TRUE()),"",IF(INDEX(tsk_IsSummary,GanttView[[#This Row],[_Row]]),NETWORKDAYS.INTL(INDEX(tsk_FcStart,GanttView[[#This Row],[_Row]]),INDEX(tsk_FcFinish,GanttView[[#This Row],[_Row]]),WorkWeek,Holidays),N(INDEX(tsk_Duration,GanttView[[#This Row],[_Row]]))))</f>
        <v/>
      </c>
      <c r="E131" s="128" t="str">
        <f aca="false">IF(IFERROR(INDEX(tsk_Name,GanttView[[#This Row],[_Row]])="",TRUE()),"",INDEX(tsk_PlanStart,GanttView[[#This Row],[_Row]]))</f>
        <v/>
      </c>
      <c r="F131" s="128" t="str">
        <f aca="false">IF(IFERROR(INDEX(tsk_Name,GanttView[[#This Row],[_Row]])="",TRUE()),"",INDEX(tsk_PlanFinish,GanttView[[#This Row],[_Row]]))</f>
        <v/>
      </c>
      <c r="G131" s="128" t="str">
        <f aca="false">IF(IFERROR(INDEX(tsk_Name,GanttView[[#This Row],[_Row]])="",TRUE()),"",INDEX(tsk_FcStart,GanttView[[#This Row],[_Row]]))</f>
        <v/>
      </c>
      <c r="H131" s="128" t="str">
        <f aca="false">IF(IFERROR(INDEX(tsk_Name,GanttView[[#This Row],[_Row]])="",TRUE()),"",INDEX(tsk_FcFinish,GanttView[[#This Row],[_Row]]))</f>
        <v/>
      </c>
      <c r="I131" s="129" t="str">
        <f aca="false">IF(IFERROR(INDEX(tsk_Name,GanttView[[#This Row],[_Row]])="",TRUE()),"",INDEX(tsk_Progress,GanttView[[#This Row],[_Row]]))</f>
        <v/>
      </c>
      <c r="J131" s="127" t="str">
        <f aca="false">IF(IFERROR(INDEX(tsk_Name,GanttView[[#This Row],[_Row]])="",TRUE()),"",INDEX(tsk_ResourceNames,GanttView[[#This Row],[_Row]])&amp;"")</f>
        <v/>
      </c>
      <c r="K131" s="126" t="str">
        <f aca="false">IF(IFERROR(INDEX(tsk_Name,GanttView[[#This Row],[_Row]])="",TRUE()),"",INDEX(tsk_Status,GanttView[[#This Row],[_Row]]))</f>
        <v/>
      </c>
      <c r="L131" s="126" t="str">
        <f aca="false">IF(IFERROR(INDEX(tsk_Name,GanttView[[#This Row],[_Row]])="",TRUE()),"",INDEX(tsk_Show,GanttView[[#This Row],[_Row]])&amp;"")</f>
        <v/>
      </c>
      <c r="M131" s="130" t="n">
        <f aca="false">ROW()-ROW(GanttView[[#Headers],[ID]])</f>
        <v>126</v>
      </c>
      <c r="N131" s="131" t="b">
        <f aca="false">IF(IFERROR(INDEX(tsk_Name,GanttView[[#This Row],[_Row]])="",TRUE()),FALSE(),INDEX(tsk_IsSummary,GanttView[[#This Row],[_Row]]))</f>
        <v>0</v>
      </c>
      <c r="O131" s="131" t="b">
        <f aca="false">IF(IFERROR(INDEX(tsk_Name,GanttView[[#This Row],[_Row]])="",TRUE()),FALSE(),AND(INDEX(tsk_IsLeaf,GanttView[[#This Row],[_Row]])=1,N(INDEX(tsk_Duration,GanttView[[#This Row],[_Row]]))=0))</f>
        <v>0</v>
      </c>
      <c r="P131" s="132" t="n">
        <f aca="false">IF(IFERROR(INDEX(tsk_Name,GanttView[[#This Row],[_Row]])="",TRUE()),0,IF(AND(INDEX(tsk_IsLeaf,GanttView[[#This Row],[_Row]])=1,NOT(GanttView[[#This Row],[_IsMilestone]]),N(GanttView[[#This Row],[%]])&gt;0),GanttView[[#This Row],[Forecast Start]],0))</f>
        <v>0</v>
      </c>
      <c r="Q131" s="132" t="n">
        <f aca="false">IF(GanttView[[#This Row],[_DoneFrom]]=0,0,IF(GanttView[[#This Row],[%]]&gt;=1,GanttView[[#This Row],[Forecast Finish]],MAX(GanttView[[#This Row],[_DoneFrom]],GanttView[[#This Row],[Forecast Start]]+ROUND((GanttView[[#This Row],[Forecast Finish]]-GanttView[[#This Row],[Forecast Start]]+1)*GanttView[[#This Row],[%]],0)-1)))</f>
        <v>0</v>
      </c>
      <c r="R131" s="132" t="n">
        <f aca="false">IF(IFERROR(INDEX(tsk_Name,GanttView[[#This Row],[_Row]])="",TRUE()),0,IF(OR(INDEX(tsk_IsLeaf,GanttView[[#This Row],[_Row]])&lt;&gt;1,GanttView[[#This Row],[_IsMilestone]],N(GanttView[[#This Row],[%]])&gt;=1),0,IF(GanttView[[#This Row],[_DoneTo]]&gt;0,GanttView[[#This Row],[_DoneTo]]+1,GanttView[[#This Row],[Forecast Start]])))</f>
        <v>0</v>
      </c>
      <c r="S131" s="132" t="n">
        <f aca="false">IF(GanttView[[#This Row],[_RemFrom]]=0,0,GanttView[[#This Row],[Forecast Finish]])</f>
        <v>0</v>
      </c>
      <c r="T131" s="131" t="b">
        <f aca="false">IF(IFERROR(INDEX(tsk_Name,GanttView[[#This Row],[_Row]])="",TRUE()),FALSE(),N(INDEX(tsk_Variance,GanttView[[#This Row],[_Row]]))&gt;0)</f>
        <v>0</v>
      </c>
      <c r="U131" s="132" t="n">
        <f aca="false">IF(IFERROR(INDEX(tsk_Name,GanttView[[#This Row],[_Row]])="",TRUE()),0,N(INDEX(tsk_Deadline,GanttView[[#This Row],[_Row]])))</f>
        <v>0</v>
      </c>
      <c r="V131" s="131" t="b">
        <f aca="false">IF(IFERROR(INDEX(tsk_Name,GanttView[[#This Row],[_Row]])="",TRUE()),FALSE(),INDEX(tsk_Critical,GanttView[[#This Row],[_Row]])="Yes")</f>
        <v>0</v>
      </c>
    </row>
    <row r="132" customFormat="false" ht="15" hidden="false" customHeight="false" outlineLevel="0" collapsed="false">
      <c r="A132" s="126" t="str">
        <f aca="false">IF(IFERROR(INDEX(tsk_Name,GanttView[[#This Row],[_Row]])="",TRUE()),"",INDEX(tsk_ID,GanttView[[#This Row],[_Row]]))</f>
        <v/>
      </c>
      <c r="B132" s="126" t="str">
        <f aca="false">IF(IFERROR(INDEX(tsk_Name,GanttView[[#This Row],[_Row]])="",TRUE()),"",INDEX(tsk_WBS,GanttView[[#This Row],[_Row]]))</f>
        <v/>
      </c>
      <c r="C132" s="127" t="str">
        <f aca="false">IF(IFERROR(INDEX(tsk_Name,GanttView[[#This Row],[_Row]])="",TRUE()),"",REPT("    ",INDEX(tsk_Level,GanttView[[#This Row],[_Row]])-1)&amp;INDEX(tsk_Name,GanttView[[#This Row],[_Row]]))</f>
        <v/>
      </c>
      <c r="D132" s="126" t="str">
        <f aca="false">IF(IFERROR(INDEX(tsk_Name,GanttView[[#This Row],[_Row]])="",TRUE()),"",IF(INDEX(tsk_IsSummary,GanttView[[#This Row],[_Row]]),NETWORKDAYS.INTL(INDEX(tsk_FcStart,GanttView[[#This Row],[_Row]]),INDEX(tsk_FcFinish,GanttView[[#This Row],[_Row]]),WorkWeek,Holidays),N(INDEX(tsk_Duration,GanttView[[#This Row],[_Row]]))))</f>
        <v/>
      </c>
      <c r="E132" s="128" t="str">
        <f aca="false">IF(IFERROR(INDEX(tsk_Name,GanttView[[#This Row],[_Row]])="",TRUE()),"",INDEX(tsk_PlanStart,GanttView[[#This Row],[_Row]]))</f>
        <v/>
      </c>
      <c r="F132" s="128" t="str">
        <f aca="false">IF(IFERROR(INDEX(tsk_Name,GanttView[[#This Row],[_Row]])="",TRUE()),"",INDEX(tsk_PlanFinish,GanttView[[#This Row],[_Row]]))</f>
        <v/>
      </c>
      <c r="G132" s="128" t="str">
        <f aca="false">IF(IFERROR(INDEX(tsk_Name,GanttView[[#This Row],[_Row]])="",TRUE()),"",INDEX(tsk_FcStart,GanttView[[#This Row],[_Row]]))</f>
        <v/>
      </c>
      <c r="H132" s="128" t="str">
        <f aca="false">IF(IFERROR(INDEX(tsk_Name,GanttView[[#This Row],[_Row]])="",TRUE()),"",INDEX(tsk_FcFinish,GanttView[[#This Row],[_Row]]))</f>
        <v/>
      </c>
      <c r="I132" s="129" t="str">
        <f aca="false">IF(IFERROR(INDEX(tsk_Name,GanttView[[#This Row],[_Row]])="",TRUE()),"",INDEX(tsk_Progress,GanttView[[#This Row],[_Row]]))</f>
        <v/>
      </c>
      <c r="J132" s="127" t="str">
        <f aca="false">IF(IFERROR(INDEX(tsk_Name,GanttView[[#This Row],[_Row]])="",TRUE()),"",INDEX(tsk_ResourceNames,GanttView[[#This Row],[_Row]])&amp;"")</f>
        <v/>
      </c>
      <c r="K132" s="126" t="str">
        <f aca="false">IF(IFERROR(INDEX(tsk_Name,GanttView[[#This Row],[_Row]])="",TRUE()),"",INDEX(tsk_Status,GanttView[[#This Row],[_Row]]))</f>
        <v/>
      </c>
      <c r="L132" s="126" t="str">
        <f aca="false">IF(IFERROR(INDEX(tsk_Name,GanttView[[#This Row],[_Row]])="",TRUE()),"",INDEX(tsk_Show,GanttView[[#This Row],[_Row]])&amp;"")</f>
        <v/>
      </c>
      <c r="M132" s="130" t="n">
        <f aca="false">ROW()-ROW(GanttView[[#Headers],[ID]])</f>
        <v>127</v>
      </c>
      <c r="N132" s="131" t="b">
        <f aca="false">IF(IFERROR(INDEX(tsk_Name,GanttView[[#This Row],[_Row]])="",TRUE()),FALSE(),INDEX(tsk_IsSummary,GanttView[[#This Row],[_Row]]))</f>
        <v>0</v>
      </c>
      <c r="O132" s="131" t="b">
        <f aca="false">IF(IFERROR(INDEX(tsk_Name,GanttView[[#This Row],[_Row]])="",TRUE()),FALSE(),AND(INDEX(tsk_IsLeaf,GanttView[[#This Row],[_Row]])=1,N(INDEX(tsk_Duration,GanttView[[#This Row],[_Row]]))=0))</f>
        <v>0</v>
      </c>
      <c r="P132" s="132" t="n">
        <f aca="false">IF(IFERROR(INDEX(tsk_Name,GanttView[[#This Row],[_Row]])="",TRUE()),0,IF(AND(INDEX(tsk_IsLeaf,GanttView[[#This Row],[_Row]])=1,NOT(GanttView[[#This Row],[_IsMilestone]]),N(GanttView[[#This Row],[%]])&gt;0),GanttView[[#This Row],[Forecast Start]],0))</f>
        <v>0</v>
      </c>
      <c r="Q132" s="132" t="n">
        <f aca="false">IF(GanttView[[#This Row],[_DoneFrom]]=0,0,IF(GanttView[[#This Row],[%]]&gt;=1,GanttView[[#This Row],[Forecast Finish]],MAX(GanttView[[#This Row],[_DoneFrom]],GanttView[[#This Row],[Forecast Start]]+ROUND((GanttView[[#This Row],[Forecast Finish]]-GanttView[[#This Row],[Forecast Start]]+1)*GanttView[[#This Row],[%]],0)-1)))</f>
        <v>0</v>
      </c>
      <c r="R132" s="132" t="n">
        <f aca="false">IF(IFERROR(INDEX(tsk_Name,GanttView[[#This Row],[_Row]])="",TRUE()),0,IF(OR(INDEX(tsk_IsLeaf,GanttView[[#This Row],[_Row]])&lt;&gt;1,GanttView[[#This Row],[_IsMilestone]],N(GanttView[[#This Row],[%]])&gt;=1),0,IF(GanttView[[#This Row],[_DoneTo]]&gt;0,GanttView[[#This Row],[_DoneTo]]+1,GanttView[[#This Row],[Forecast Start]])))</f>
        <v>0</v>
      </c>
      <c r="S132" s="132" t="n">
        <f aca="false">IF(GanttView[[#This Row],[_RemFrom]]=0,0,GanttView[[#This Row],[Forecast Finish]])</f>
        <v>0</v>
      </c>
      <c r="T132" s="131" t="b">
        <f aca="false">IF(IFERROR(INDEX(tsk_Name,GanttView[[#This Row],[_Row]])="",TRUE()),FALSE(),N(INDEX(tsk_Variance,GanttView[[#This Row],[_Row]]))&gt;0)</f>
        <v>0</v>
      </c>
      <c r="U132" s="132" t="n">
        <f aca="false">IF(IFERROR(INDEX(tsk_Name,GanttView[[#This Row],[_Row]])="",TRUE()),0,N(INDEX(tsk_Deadline,GanttView[[#This Row],[_Row]])))</f>
        <v>0</v>
      </c>
      <c r="V132" s="131" t="b">
        <f aca="false">IF(IFERROR(INDEX(tsk_Name,GanttView[[#This Row],[_Row]])="",TRUE()),FALSE(),INDEX(tsk_Critical,GanttView[[#This Row],[_Row]])="Yes")</f>
        <v>0</v>
      </c>
    </row>
    <row r="133" customFormat="false" ht="15" hidden="false" customHeight="false" outlineLevel="0" collapsed="false">
      <c r="A133" s="126" t="str">
        <f aca="false">IF(IFERROR(INDEX(tsk_Name,GanttView[[#This Row],[_Row]])="",TRUE()),"",INDEX(tsk_ID,GanttView[[#This Row],[_Row]]))</f>
        <v/>
      </c>
      <c r="B133" s="126" t="str">
        <f aca="false">IF(IFERROR(INDEX(tsk_Name,GanttView[[#This Row],[_Row]])="",TRUE()),"",INDEX(tsk_WBS,GanttView[[#This Row],[_Row]]))</f>
        <v/>
      </c>
      <c r="C133" s="127" t="str">
        <f aca="false">IF(IFERROR(INDEX(tsk_Name,GanttView[[#This Row],[_Row]])="",TRUE()),"",REPT("    ",INDEX(tsk_Level,GanttView[[#This Row],[_Row]])-1)&amp;INDEX(tsk_Name,GanttView[[#This Row],[_Row]]))</f>
        <v/>
      </c>
      <c r="D133" s="126" t="str">
        <f aca="false">IF(IFERROR(INDEX(tsk_Name,GanttView[[#This Row],[_Row]])="",TRUE()),"",IF(INDEX(tsk_IsSummary,GanttView[[#This Row],[_Row]]),NETWORKDAYS.INTL(INDEX(tsk_FcStart,GanttView[[#This Row],[_Row]]),INDEX(tsk_FcFinish,GanttView[[#This Row],[_Row]]),WorkWeek,Holidays),N(INDEX(tsk_Duration,GanttView[[#This Row],[_Row]]))))</f>
        <v/>
      </c>
      <c r="E133" s="128" t="str">
        <f aca="false">IF(IFERROR(INDEX(tsk_Name,GanttView[[#This Row],[_Row]])="",TRUE()),"",INDEX(tsk_PlanStart,GanttView[[#This Row],[_Row]]))</f>
        <v/>
      </c>
      <c r="F133" s="128" t="str">
        <f aca="false">IF(IFERROR(INDEX(tsk_Name,GanttView[[#This Row],[_Row]])="",TRUE()),"",INDEX(tsk_PlanFinish,GanttView[[#This Row],[_Row]]))</f>
        <v/>
      </c>
      <c r="G133" s="128" t="str">
        <f aca="false">IF(IFERROR(INDEX(tsk_Name,GanttView[[#This Row],[_Row]])="",TRUE()),"",INDEX(tsk_FcStart,GanttView[[#This Row],[_Row]]))</f>
        <v/>
      </c>
      <c r="H133" s="128" t="str">
        <f aca="false">IF(IFERROR(INDEX(tsk_Name,GanttView[[#This Row],[_Row]])="",TRUE()),"",INDEX(tsk_FcFinish,GanttView[[#This Row],[_Row]]))</f>
        <v/>
      </c>
      <c r="I133" s="129" t="str">
        <f aca="false">IF(IFERROR(INDEX(tsk_Name,GanttView[[#This Row],[_Row]])="",TRUE()),"",INDEX(tsk_Progress,GanttView[[#This Row],[_Row]]))</f>
        <v/>
      </c>
      <c r="J133" s="127" t="str">
        <f aca="false">IF(IFERROR(INDEX(tsk_Name,GanttView[[#This Row],[_Row]])="",TRUE()),"",INDEX(tsk_ResourceNames,GanttView[[#This Row],[_Row]])&amp;"")</f>
        <v/>
      </c>
      <c r="K133" s="126" t="str">
        <f aca="false">IF(IFERROR(INDEX(tsk_Name,GanttView[[#This Row],[_Row]])="",TRUE()),"",INDEX(tsk_Status,GanttView[[#This Row],[_Row]]))</f>
        <v/>
      </c>
      <c r="L133" s="126" t="str">
        <f aca="false">IF(IFERROR(INDEX(tsk_Name,GanttView[[#This Row],[_Row]])="",TRUE()),"",INDEX(tsk_Show,GanttView[[#This Row],[_Row]])&amp;"")</f>
        <v/>
      </c>
      <c r="M133" s="130" t="n">
        <f aca="false">ROW()-ROW(GanttView[[#Headers],[ID]])</f>
        <v>128</v>
      </c>
      <c r="N133" s="131" t="b">
        <f aca="false">IF(IFERROR(INDEX(tsk_Name,GanttView[[#This Row],[_Row]])="",TRUE()),FALSE(),INDEX(tsk_IsSummary,GanttView[[#This Row],[_Row]]))</f>
        <v>0</v>
      </c>
      <c r="O133" s="131" t="b">
        <f aca="false">IF(IFERROR(INDEX(tsk_Name,GanttView[[#This Row],[_Row]])="",TRUE()),FALSE(),AND(INDEX(tsk_IsLeaf,GanttView[[#This Row],[_Row]])=1,N(INDEX(tsk_Duration,GanttView[[#This Row],[_Row]]))=0))</f>
        <v>0</v>
      </c>
      <c r="P133" s="132" t="n">
        <f aca="false">IF(IFERROR(INDEX(tsk_Name,GanttView[[#This Row],[_Row]])="",TRUE()),0,IF(AND(INDEX(tsk_IsLeaf,GanttView[[#This Row],[_Row]])=1,NOT(GanttView[[#This Row],[_IsMilestone]]),N(GanttView[[#This Row],[%]])&gt;0),GanttView[[#This Row],[Forecast Start]],0))</f>
        <v>0</v>
      </c>
      <c r="Q133" s="132" t="n">
        <f aca="false">IF(GanttView[[#This Row],[_DoneFrom]]=0,0,IF(GanttView[[#This Row],[%]]&gt;=1,GanttView[[#This Row],[Forecast Finish]],MAX(GanttView[[#This Row],[_DoneFrom]],GanttView[[#This Row],[Forecast Start]]+ROUND((GanttView[[#This Row],[Forecast Finish]]-GanttView[[#This Row],[Forecast Start]]+1)*GanttView[[#This Row],[%]],0)-1)))</f>
        <v>0</v>
      </c>
      <c r="R133" s="132" t="n">
        <f aca="false">IF(IFERROR(INDEX(tsk_Name,GanttView[[#This Row],[_Row]])="",TRUE()),0,IF(OR(INDEX(tsk_IsLeaf,GanttView[[#This Row],[_Row]])&lt;&gt;1,GanttView[[#This Row],[_IsMilestone]],N(GanttView[[#This Row],[%]])&gt;=1),0,IF(GanttView[[#This Row],[_DoneTo]]&gt;0,GanttView[[#This Row],[_DoneTo]]+1,GanttView[[#This Row],[Forecast Start]])))</f>
        <v>0</v>
      </c>
      <c r="S133" s="132" t="n">
        <f aca="false">IF(GanttView[[#This Row],[_RemFrom]]=0,0,GanttView[[#This Row],[Forecast Finish]])</f>
        <v>0</v>
      </c>
      <c r="T133" s="131" t="b">
        <f aca="false">IF(IFERROR(INDEX(tsk_Name,GanttView[[#This Row],[_Row]])="",TRUE()),FALSE(),N(INDEX(tsk_Variance,GanttView[[#This Row],[_Row]]))&gt;0)</f>
        <v>0</v>
      </c>
      <c r="U133" s="132" t="n">
        <f aca="false">IF(IFERROR(INDEX(tsk_Name,GanttView[[#This Row],[_Row]])="",TRUE()),0,N(INDEX(tsk_Deadline,GanttView[[#This Row],[_Row]])))</f>
        <v>0</v>
      </c>
      <c r="V133" s="131" t="b">
        <f aca="false">IF(IFERROR(INDEX(tsk_Name,GanttView[[#This Row],[_Row]])="",TRUE()),FALSE(),INDEX(tsk_Critical,GanttView[[#This Row],[_Row]])="Yes")</f>
        <v>0</v>
      </c>
    </row>
    <row r="134" customFormat="false" ht="15" hidden="false" customHeight="false" outlineLevel="0" collapsed="false">
      <c r="A134" s="126" t="str">
        <f aca="false">IF(IFERROR(INDEX(tsk_Name,GanttView[[#This Row],[_Row]])="",TRUE()),"",INDEX(tsk_ID,GanttView[[#This Row],[_Row]]))</f>
        <v/>
      </c>
      <c r="B134" s="126" t="str">
        <f aca="false">IF(IFERROR(INDEX(tsk_Name,GanttView[[#This Row],[_Row]])="",TRUE()),"",INDEX(tsk_WBS,GanttView[[#This Row],[_Row]]))</f>
        <v/>
      </c>
      <c r="C134" s="127" t="str">
        <f aca="false">IF(IFERROR(INDEX(tsk_Name,GanttView[[#This Row],[_Row]])="",TRUE()),"",REPT("    ",INDEX(tsk_Level,GanttView[[#This Row],[_Row]])-1)&amp;INDEX(tsk_Name,GanttView[[#This Row],[_Row]]))</f>
        <v/>
      </c>
      <c r="D134" s="126" t="str">
        <f aca="false">IF(IFERROR(INDEX(tsk_Name,GanttView[[#This Row],[_Row]])="",TRUE()),"",IF(INDEX(tsk_IsSummary,GanttView[[#This Row],[_Row]]),NETWORKDAYS.INTL(INDEX(tsk_FcStart,GanttView[[#This Row],[_Row]]),INDEX(tsk_FcFinish,GanttView[[#This Row],[_Row]]),WorkWeek,Holidays),N(INDEX(tsk_Duration,GanttView[[#This Row],[_Row]]))))</f>
        <v/>
      </c>
      <c r="E134" s="128" t="str">
        <f aca="false">IF(IFERROR(INDEX(tsk_Name,GanttView[[#This Row],[_Row]])="",TRUE()),"",INDEX(tsk_PlanStart,GanttView[[#This Row],[_Row]]))</f>
        <v/>
      </c>
      <c r="F134" s="128" t="str">
        <f aca="false">IF(IFERROR(INDEX(tsk_Name,GanttView[[#This Row],[_Row]])="",TRUE()),"",INDEX(tsk_PlanFinish,GanttView[[#This Row],[_Row]]))</f>
        <v/>
      </c>
      <c r="G134" s="128" t="str">
        <f aca="false">IF(IFERROR(INDEX(tsk_Name,GanttView[[#This Row],[_Row]])="",TRUE()),"",INDEX(tsk_FcStart,GanttView[[#This Row],[_Row]]))</f>
        <v/>
      </c>
      <c r="H134" s="128" t="str">
        <f aca="false">IF(IFERROR(INDEX(tsk_Name,GanttView[[#This Row],[_Row]])="",TRUE()),"",INDEX(tsk_FcFinish,GanttView[[#This Row],[_Row]]))</f>
        <v/>
      </c>
      <c r="I134" s="129" t="str">
        <f aca="false">IF(IFERROR(INDEX(tsk_Name,GanttView[[#This Row],[_Row]])="",TRUE()),"",INDEX(tsk_Progress,GanttView[[#This Row],[_Row]]))</f>
        <v/>
      </c>
      <c r="J134" s="127" t="str">
        <f aca="false">IF(IFERROR(INDEX(tsk_Name,GanttView[[#This Row],[_Row]])="",TRUE()),"",INDEX(tsk_ResourceNames,GanttView[[#This Row],[_Row]])&amp;"")</f>
        <v/>
      </c>
      <c r="K134" s="126" t="str">
        <f aca="false">IF(IFERROR(INDEX(tsk_Name,GanttView[[#This Row],[_Row]])="",TRUE()),"",INDEX(tsk_Status,GanttView[[#This Row],[_Row]]))</f>
        <v/>
      </c>
      <c r="L134" s="126" t="str">
        <f aca="false">IF(IFERROR(INDEX(tsk_Name,GanttView[[#This Row],[_Row]])="",TRUE()),"",INDEX(tsk_Show,GanttView[[#This Row],[_Row]])&amp;"")</f>
        <v/>
      </c>
      <c r="M134" s="130" t="n">
        <f aca="false">ROW()-ROW(GanttView[[#Headers],[ID]])</f>
        <v>129</v>
      </c>
      <c r="N134" s="131" t="b">
        <f aca="false">IF(IFERROR(INDEX(tsk_Name,GanttView[[#This Row],[_Row]])="",TRUE()),FALSE(),INDEX(tsk_IsSummary,GanttView[[#This Row],[_Row]]))</f>
        <v>0</v>
      </c>
      <c r="O134" s="131" t="b">
        <f aca="false">IF(IFERROR(INDEX(tsk_Name,GanttView[[#This Row],[_Row]])="",TRUE()),FALSE(),AND(INDEX(tsk_IsLeaf,GanttView[[#This Row],[_Row]])=1,N(INDEX(tsk_Duration,GanttView[[#This Row],[_Row]]))=0))</f>
        <v>0</v>
      </c>
      <c r="P134" s="132" t="n">
        <f aca="false">IF(IFERROR(INDEX(tsk_Name,GanttView[[#This Row],[_Row]])="",TRUE()),0,IF(AND(INDEX(tsk_IsLeaf,GanttView[[#This Row],[_Row]])=1,NOT(GanttView[[#This Row],[_IsMilestone]]),N(GanttView[[#This Row],[%]])&gt;0),GanttView[[#This Row],[Forecast Start]],0))</f>
        <v>0</v>
      </c>
      <c r="Q134" s="132" t="n">
        <f aca="false">IF(GanttView[[#This Row],[_DoneFrom]]=0,0,IF(GanttView[[#This Row],[%]]&gt;=1,GanttView[[#This Row],[Forecast Finish]],MAX(GanttView[[#This Row],[_DoneFrom]],GanttView[[#This Row],[Forecast Start]]+ROUND((GanttView[[#This Row],[Forecast Finish]]-GanttView[[#This Row],[Forecast Start]]+1)*GanttView[[#This Row],[%]],0)-1)))</f>
        <v>0</v>
      </c>
      <c r="R134" s="132" t="n">
        <f aca="false">IF(IFERROR(INDEX(tsk_Name,GanttView[[#This Row],[_Row]])="",TRUE()),0,IF(OR(INDEX(tsk_IsLeaf,GanttView[[#This Row],[_Row]])&lt;&gt;1,GanttView[[#This Row],[_IsMilestone]],N(GanttView[[#This Row],[%]])&gt;=1),0,IF(GanttView[[#This Row],[_DoneTo]]&gt;0,GanttView[[#This Row],[_DoneTo]]+1,GanttView[[#This Row],[Forecast Start]])))</f>
        <v>0</v>
      </c>
      <c r="S134" s="132" t="n">
        <f aca="false">IF(GanttView[[#This Row],[_RemFrom]]=0,0,GanttView[[#This Row],[Forecast Finish]])</f>
        <v>0</v>
      </c>
      <c r="T134" s="131" t="b">
        <f aca="false">IF(IFERROR(INDEX(tsk_Name,GanttView[[#This Row],[_Row]])="",TRUE()),FALSE(),N(INDEX(tsk_Variance,GanttView[[#This Row],[_Row]]))&gt;0)</f>
        <v>0</v>
      </c>
      <c r="U134" s="132" t="n">
        <f aca="false">IF(IFERROR(INDEX(tsk_Name,GanttView[[#This Row],[_Row]])="",TRUE()),0,N(INDEX(tsk_Deadline,GanttView[[#This Row],[_Row]])))</f>
        <v>0</v>
      </c>
      <c r="V134" s="131" t="b">
        <f aca="false">IF(IFERROR(INDEX(tsk_Name,GanttView[[#This Row],[_Row]])="",TRUE()),FALSE(),INDEX(tsk_Critical,GanttView[[#This Row],[_Row]])="Yes")</f>
        <v>0</v>
      </c>
    </row>
    <row r="135" customFormat="false" ht="15" hidden="false" customHeight="false" outlineLevel="0" collapsed="false">
      <c r="A135" s="126" t="str">
        <f aca="false">IF(IFERROR(INDEX(tsk_Name,GanttView[[#This Row],[_Row]])="",TRUE()),"",INDEX(tsk_ID,GanttView[[#This Row],[_Row]]))</f>
        <v/>
      </c>
      <c r="B135" s="126" t="str">
        <f aca="false">IF(IFERROR(INDEX(tsk_Name,GanttView[[#This Row],[_Row]])="",TRUE()),"",INDEX(tsk_WBS,GanttView[[#This Row],[_Row]]))</f>
        <v/>
      </c>
      <c r="C135" s="127" t="str">
        <f aca="false">IF(IFERROR(INDEX(tsk_Name,GanttView[[#This Row],[_Row]])="",TRUE()),"",REPT("    ",INDEX(tsk_Level,GanttView[[#This Row],[_Row]])-1)&amp;INDEX(tsk_Name,GanttView[[#This Row],[_Row]]))</f>
        <v/>
      </c>
      <c r="D135" s="126" t="str">
        <f aca="false">IF(IFERROR(INDEX(tsk_Name,GanttView[[#This Row],[_Row]])="",TRUE()),"",IF(INDEX(tsk_IsSummary,GanttView[[#This Row],[_Row]]),NETWORKDAYS.INTL(INDEX(tsk_FcStart,GanttView[[#This Row],[_Row]]),INDEX(tsk_FcFinish,GanttView[[#This Row],[_Row]]),WorkWeek,Holidays),N(INDEX(tsk_Duration,GanttView[[#This Row],[_Row]]))))</f>
        <v/>
      </c>
      <c r="E135" s="128" t="str">
        <f aca="false">IF(IFERROR(INDEX(tsk_Name,GanttView[[#This Row],[_Row]])="",TRUE()),"",INDEX(tsk_PlanStart,GanttView[[#This Row],[_Row]]))</f>
        <v/>
      </c>
      <c r="F135" s="128" t="str">
        <f aca="false">IF(IFERROR(INDEX(tsk_Name,GanttView[[#This Row],[_Row]])="",TRUE()),"",INDEX(tsk_PlanFinish,GanttView[[#This Row],[_Row]]))</f>
        <v/>
      </c>
      <c r="G135" s="128" t="str">
        <f aca="false">IF(IFERROR(INDEX(tsk_Name,GanttView[[#This Row],[_Row]])="",TRUE()),"",INDEX(tsk_FcStart,GanttView[[#This Row],[_Row]]))</f>
        <v/>
      </c>
      <c r="H135" s="128" t="str">
        <f aca="false">IF(IFERROR(INDEX(tsk_Name,GanttView[[#This Row],[_Row]])="",TRUE()),"",INDEX(tsk_FcFinish,GanttView[[#This Row],[_Row]]))</f>
        <v/>
      </c>
      <c r="I135" s="129" t="str">
        <f aca="false">IF(IFERROR(INDEX(tsk_Name,GanttView[[#This Row],[_Row]])="",TRUE()),"",INDEX(tsk_Progress,GanttView[[#This Row],[_Row]]))</f>
        <v/>
      </c>
      <c r="J135" s="127" t="str">
        <f aca="false">IF(IFERROR(INDEX(tsk_Name,GanttView[[#This Row],[_Row]])="",TRUE()),"",INDEX(tsk_ResourceNames,GanttView[[#This Row],[_Row]])&amp;"")</f>
        <v/>
      </c>
      <c r="K135" s="126" t="str">
        <f aca="false">IF(IFERROR(INDEX(tsk_Name,GanttView[[#This Row],[_Row]])="",TRUE()),"",INDEX(tsk_Status,GanttView[[#This Row],[_Row]]))</f>
        <v/>
      </c>
      <c r="L135" s="126" t="str">
        <f aca="false">IF(IFERROR(INDEX(tsk_Name,GanttView[[#This Row],[_Row]])="",TRUE()),"",INDEX(tsk_Show,GanttView[[#This Row],[_Row]])&amp;"")</f>
        <v/>
      </c>
      <c r="M135" s="130" t="n">
        <f aca="false">ROW()-ROW(GanttView[[#Headers],[ID]])</f>
        <v>130</v>
      </c>
      <c r="N135" s="131" t="b">
        <f aca="false">IF(IFERROR(INDEX(tsk_Name,GanttView[[#This Row],[_Row]])="",TRUE()),FALSE(),INDEX(tsk_IsSummary,GanttView[[#This Row],[_Row]]))</f>
        <v>0</v>
      </c>
      <c r="O135" s="131" t="b">
        <f aca="false">IF(IFERROR(INDEX(tsk_Name,GanttView[[#This Row],[_Row]])="",TRUE()),FALSE(),AND(INDEX(tsk_IsLeaf,GanttView[[#This Row],[_Row]])=1,N(INDEX(tsk_Duration,GanttView[[#This Row],[_Row]]))=0))</f>
        <v>0</v>
      </c>
      <c r="P135" s="132" t="n">
        <f aca="false">IF(IFERROR(INDEX(tsk_Name,GanttView[[#This Row],[_Row]])="",TRUE()),0,IF(AND(INDEX(tsk_IsLeaf,GanttView[[#This Row],[_Row]])=1,NOT(GanttView[[#This Row],[_IsMilestone]]),N(GanttView[[#This Row],[%]])&gt;0),GanttView[[#This Row],[Forecast Start]],0))</f>
        <v>0</v>
      </c>
      <c r="Q135" s="132" t="n">
        <f aca="false">IF(GanttView[[#This Row],[_DoneFrom]]=0,0,IF(GanttView[[#This Row],[%]]&gt;=1,GanttView[[#This Row],[Forecast Finish]],MAX(GanttView[[#This Row],[_DoneFrom]],GanttView[[#This Row],[Forecast Start]]+ROUND((GanttView[[#This Row],[Forecast Finish]]-GanttView[[#This Row],[Forecast Start]]+1)*GanttView[[#This Row],[%]],0)-1)))</f>
        <v>0</v>
      </c>
      <c r="R135" s="132" t="n">
        <f aca="false">IF(IFERROR(INDEX(tsk_Name,GanttView[[#This Row],[_Row]])="",TRUE()),0,IF(OR(INDEX(tsk_IsLeaf,GanttView[[#This Row],[_Row]])&lt;&gt;1,GanttView[[#This Row],[_IsMilestone]],N(GanttView[[#This Row],[%]])&gt;=1),0,IF(GanttView[[#This Row],[_DoneTo]]&gt;0,GanttView[[#This Row],[_DoneTo]]+1,GanttView[[#This Row],[Forecast Start]])))</f>
        <v>0</v>
      </c>
      <c r="S135" s="132" t="n">
        <f aca="false">IF(GanttView[[#This Row],[_RemFrom]]=0,0,GanttView[[#This Row],[Forecast Finish]])</f>
        <v>0</v>
      </c>
      <c r="T135" s="131" t="b">
        <f aca="false">IF(IFERROR(INDEX(tsk_Name,GanttView[[#This Row],[_Row]])="",TRUE()),FALSE(),N(INDEX(tsk_Variance,GanttView[[#This Row],[_Row]]))&gt;0)</f>
        <v>0</v>
      </c>
      <c r="U135" s="132" t="n">
        <f aca="false">IF(IFERROR(INDEX(tsk_Name,GanttView[[#This Row],[_Row]])="",TRUE()),0,N(INDEX(tsk_Deadline,GanttView[[#This Row],[_Row]])))</f>
        <v>0</v>
      </c>
      <c r="V135" s="131" t="b">
        <f aca="false">IF(IFERROR(INDEX(tsk_Name,GanttView[[#This Row],[_Row]])="",TRUE()),FALSE(),INDEX(tsk_Critical,GanttView[[#This Row],[_Row]])="Yes")</f>
        <v>0</v>
      </c>
    </row>
    <row r="136" customFormat="false" ht="15" hidden="false" customHeight="false" outlineLevel="0" collapsed="false">
      <c r="A136" s="126" t="str">
        <f aca="false">IF(IFERROR(INDEX(tsk_Name,GanttView[[#This Row],[_Row]])="",TRUE()),"",INDEX(tsk_ID,GanttView[[#This Row],[_Row]]))</f>
        <v/>
      </c>
      <c r="B136" s="126" t="str">
        <f aca="false">IF(IFERROR(INDEX(tsk_Name,GanttView[[#This Row],[_Row]])="",TRUE()),"",INDEX(tsk_WBS,GanttView[[#This Row],[_Row]]))</f>
        <v/>
      </c>
      <c r="C136" s="127" t="str">
        <f aca="false">IF(IFERROR(INDEX(tsk_Name,GanttView[[#This Row],[_Row]])="",TRUE()),"",REPT("    ",INDEX(tsk_Level,GanttView[[#This Row],[_Row]])-1)&amp;INDEX(tsk_Name,GanttView[[#This Row],[_Row]]))</f>
        <v/>
      </c>
      <c r="D136" s="126" t="str">
        <f aca="false">IF(IFERROR(INDEX(tsk_Name,GanttView[[#This Row],[_Row]])="",TRUE()),"",IF(INDEX(tsk_IsSummary,GanttView[[#This Row],[_Row]]),NETWORKDAYS.INTL(INDEX(tsk_FcStart,GanttView[[#This Row],[_Row]]),INDEX(tsk_FcFinish,GanttView[[#This Row],[_Row]]),WorkWeek,Holidays),N(INDEX(tsk_Duration,GanttView[[#This Row],[_Row]]))))</f>
        <v/>
      </c>
      <c r="E136" s="128" t="str">
        <f aca="false">IF(IFERROR(INDEX(tsk_Name,GanttView[[#This Row],[_Row]])="",TRUE()),"",INDEX(tsk_PlanStart,GanttView[[#This Row],[_Row]]))</f>
        <v/>
      </c>
      <c r="F136" s="128" t="str">
        <f aca="false">IF(IFERROR(INDEX(tsk_Name,GanttView[[#This Row],[_Row]])="",TRUE()),"",INDEX(tsk_PlanFinish,GanttView[[#This Row],[_Row]]))</f>
        <v/>
      </c>
      <c r="G136" s="128" t="str">
        <f aca="false">IF(IFERROR(INDEX(tsk_Name,GanttView[[#This Row],[_Row]])="",TRUE()),"",INDEX(tsk_FcStart,GanttView[[#This Row],[_Row]]))</f>
        <v/>
      </c>
      <c r="H136" s="128" t="str">
        <f aca="false">IF(IFERROR(INDEX(tsk_Name,GanttView[[#This Row],[_Row]])="",TRUE()),"",INDEX(tsk_FcFinish,GanttView[[#This Row],[_Row]]))</f>
        <v/>
      </c>
      <c r="I136" s="129" t="str">
        <f aca="false">IF(IFERROR(INDEX(tsk_Name,GanttView[[#This Row],[_Row]])="",TRUE()),"",INDEX(tsk_Progress,GanttView[[#This Row],[_Row]]))</f>
        <v/>
      </c>
      <c r="J136" s="127" t="str">
        <f aca="false">IF(IFERROR(INDEX(tsk_Name,GanttView[[#This Row],[_Row]])="",TRUE()),"",INDEX(tsk_ResourceNames,GanttView[[#This Row],[_Row]])&amp;"")</f>
        <v/>
      </c>
      <c r="K136" s="126" t="str">
        <f aca="false">IF(IFERROR(INDEX(tsk_Name,GanttView[[#This Row],[_Row]])="",TRUE()),"",INDEX(tsk_Status,GanttView[[#This Row],[_Row]]))</f>
        <v/>
      </c>
      <c r="L136" s="126" t="str">
        <f aca="false">IF(IFERROR(INDEX(tsk_Name,GanttView[[#This Row],[_Row]])="",TRUE()),"",INDEX(tsk_Show,GanttView[[#This Row],[_Row]])&amp;"")</f>
        <v/>
      </c>
      <c r="M136" s="130" t="n">
        <f aca="false">ROW()-ROW(GanttView[[#Headers],[ID]])</f>
        <v>131</v>
      </c>
      <c r="N136" s="131" t="b">
        <f aca="false">IF(IFERROR(INDEX(tsk_Name,GanttView[[#This Row],[_Row]])="",TRUE()),FALSE(),INDEX(tsk_IsSummary,GanttView[[#This Row],[_Row]]))</f>
        <v>0</v>
      </c>
      <c r="O136" s="131" t="b">
        <f aca="false">IF(IFERROR(INDEX(tsk_Name,GanttView[[#This Row],[_Row]])="",TRUE()),FALSE(),AND(INDEX(tsk_IsLeaf,GanttView[[#This Row],[_Row]])=1,N(INDEX(tsk_Duration,GanttView[[#This Row],[_Row]]))=0))</f>
        <v>0</v>
      </c>
      <c r="P136" s="132" t="n">
        <f aca="false">IF(IFERROR(INDEX(tsk_Name,GanttView[[#This Row],[_Row]])="",TRUE()),0,IF(AND(INDEX(tsk_IsLeaf,GanttView[[#This Row],[_Row]])=1,NOT(GanttView[[#This Row],[_IsMilestone]]),N(GanttView[[#This Row],[%]])&gt;0),GanttView[[#This Row],[Forecast Start]],0))</f>
        <v>0</v>
      </c>
      <c r="Q136" s="132" t="n">
        <f aca="false">IF(GanttView[[#This Row],[_DoneFrom]]=0,0,IF(GanttView[[#This Row],[%]]&gt;=1,GanttView[[#This Row],[Forecast Finish]],MAX(GanttView[[#This Row],[_DoneFrom]],GanttView[[#This Row],[Forecast Start]]+ROUND((GanttView[[#This Row],[Forecast Finish]]-GanttView[[#This Row],[Forecast Start]]+1)*GanttView[[#This Row],[%]],0)-1)))</f>
        <v>0</v>
      </c>
      <c r="R136" s="132" t="n">
        <f aca="false">IF(IFERROR(INDEX(tsk_Name,GanttView[[#This Row],[_Row]])="",TRUE()),0,IF(OR(INDEX(tsk_IsLeaf,GanttView[[#This Row],[_Row]])&lt;&gt;1,GanttView[[#This Row],[_IsMilestone]],N(GanttView[[#This Row],[%]])&gt;=1),0,IF(GanttView[[#This Row],[_DoneTo]]&gt;0,GanttView[[#This Row],[_DoneTo]]+1,GanttView[[#This Row],[Forecast Start]])))</f>
        <v>0</v>
      </c>
      <c r="S136" s="132" t="n">
        <f aca="false">IF(GanttView[[#This Row],[_RemFrom]]=0,0,GanttView[[#This Row],[Forecast Finish]])</f>
        <v>0</v>
      </c>
      <c r="T136" s="131" t="b">
        <f aca="false">IF(IFERROR(INDEX(tsk_Name,GanttView[[#This Row],[_Row]])="",TRUE()),FALSE(),N(INDEX(tsk_Variance,GanttView[[#This Row],[_Row]]))&gt;0)</f>
        <v>0</v>
      </c>
      <c r="U136" s="132" t="n">
        <f aca="false">IF(IFERROR(INDEX(tsk_Name,GanttView[[#This Row],[_Row]])="",TRUE()),0,N(INDEX(tsk_Deadline,GanttView[[#This Row],[_Row]])))</f>
        <v>0</v>
      </c>
      <c r="V136" s="131" t="b">
        <f aca="false">IF(IFERROR(INDEX(tsk_Name,GanttView[[#This Row],[_Row]])="",TRUE()),FALSE(),INDEX(tsk_Critical,GanttView[[#This Row],[_Row]])="Yes")</f>
        <v>0</v>
      </c>
    </row>
    <row r="137" customFormat="false" ht="15" hidden="false" customHeight="false" outlineLevel="0" collapsed="false">
      <c r="A137" s="126" t="str">
        <f aca="false">IF(IFERROR(INDEX(tsk_Name,GanttView[[#This Row],[_Row]])="",TRUE()),"",INDEX(tsk_ID,GanttView[[#This Row],[_Row]]))</f>
        <v/>
      </c>
      <c r="B137" s="126" t="str">
        <f aca="false">IF(IFERROR(INDEX(tsk_Name,GanttView[[#This Row],[_Row]])="",TRUE()),"",INDEX(tsk_WBS,GanttView[[#This Row],[_Row]]))</f>
        <v/>
      </c>
      <c r="C137" s="127" t="str">
        <f aca="false">IF(IFERROR(INDEX(tsk_Name,GanttView[[#This Row],[_Row]])="",TRUE()),"",REPT("    ",INDEX(tsk_Level,GanttView[[#This Row],[_Row]])-1)&amp;INDEX(tsk_Name,GanttView[[#This Row],[_Row]]))</f>
        <v/>
      </c>
      <c r="D137" s="126" t="str">
        <f aca="false">IF(IFERROR(INDEX(tsk_Name,GanttView[[#This Row],[_Row]])="",TRUE()),"",IF(INDEX(tsk_IsSummary,GanttView[[#This Row],[_Row]]),NETWORKDAYS.INTL(INDEX(tsk_FcStart,GanttView[[#This Row],[_Row]]),INDEX(tsk_FcFinish,GanttView[[#This Row],[_Row]]),WorkWeek,Holidays),N(INDEX(tsk_Duration,GanttView[[#This Row],[_Row]]))))</f>
        <v/>
      </c>
      <c r="E137" s="128" t="str">
        <f aca="false">IF(IFERROR(INDEX(tsk_Name,GanttView[[#This Row],[_Row]])="",TRUE()),"",INDEX(tsk_PlanStart,GanttView[[#This Row],[_Row]]))</f>
        <v/>
      </c>
      <c r="F137" s="128" t="str">
        <f aca="false">IF(IFERROR(INDEX(tsk_Name,GanttView[[#This Row],[_Row]])="",TRUE()),"",INDEX(tsk_PlanFinish,GanttView[[#This Row],[_Row]]))</f>
        <v/>
      </c>
      <c r="G137" s="128" t="str">
        <f aca="false">IF(IFERROR(INDEX(tsk_Name,GanttView[[#This Row],[_Row]])="",TRUE()),"",INDEX(tsk_FcStart,GanttView[[#This Row],[_Row]]))</f>
        <v/>
      </c>
      <c r="H137" s="128" t="str">
        <f aca="false">IF(IFERROR(INDEX(tsk_Name,GanttView[[#This Row],[_Row]])="",TRUE()),"",INDEX(tsk_FcFinish,GanttView[[#This Row],[_Row]]))</f>
        <v/>
      </c>
      <c r="I137" s="129" t="str">
        <f aca="false">IF(IFERROR(INDEX(tsk_Name,GanttView[[#This Row],[_Row]])="",TRUE()),"",INDEX(tsk_Progress,GanttView[[#This Row],[_Row]]))</f>
        <v/>
      </c>
      <c r="J137" s="127" t="str">
        <f aca="false">IF(IFERROR(INDEX(tsk_Name,GanttView[[#This Row],[_Row]])="",TRUE()),"",INDEX(tsk_ResourceNames,GanttView[[#This Row],[_Row]])&amp;"")</f>
        <v/>
      </c>
      <c r="K137" s="126" t="str">
        <f aca="false">IF(IFERROR(INDEX(tsk_Name,GanttView[[#This Row],[_Row]])="",TRUE()),"",INDEX(tsk_Status,GanttView[[#This Row],[_Row]]))</f>
        <v/>
      </c>
      <c r="L137" s="126" t="str">
        <f aca="false">IF(IFERROR(INDEX(tsk_Name,GanttView[[#This Row],[_Row]])="",TRUE()),"",INDEX(tsk_Show,GanttView[[#This Row],[_Row]])&amp;"")</f>
        <v/>
      </c>
      <c r="M137" s="130" t="n">
        <f aca="false">ROW()-ROW(GanttView[[#Headers],[ID]])</f>
        <v>132</v>
      </c>
      <c r="N137" s="131" t="b">
        <f aca="false">IF(IFERROR(INDEX(tsk_Name,GanttView[[#This Row],[_Row]])="",TRUE()),FALSE(),INDEX(tsk_IsSummary,GanttView[[#This Row],[_Row]]))</f>
        <v>0</v>
      </c>
      <c r="O137" s="131" t="b">
        <f aca="false">IF(IFERROR(INDEX(tsk_Name,GanttView[[#This Row],[_Row]])="",TRUE()),FALSE(),AND(INDEX(tsk_IsLeaf,GanttView[[#This Row],[_Row]])=1,N(INDEX(tsk_Duration,GanttView[[#This Row],[_Row]]))=0))</f>
        <v>0</v>
      </c>
      <c r="P137" s="132" t="n">
        <f aca="false">IF(IFERROR(INDEX(tsk_Name,GanttView[[#This Row],[_Row]])="",TRUE()),0,IF(AND(INDEX(tsk_IsLeaf,GanttView[[#This Row],[_Row]])=1,NOT(GanttView[[#This Row],[_IsMilestone]]),N(GanttView[[#This Row],[%]])&gt;0),GanttView[[#This Row],[Forecast Start]],0))</f>
        <v>0</v>
      </c>
      <c r="Q137" s="132" t="n">
        <f aca="false">IF(GanttView[[#This Row],[_DoneFrom]]=0,0,IF(GanttView[[#This Row],[%]]&gt;=1,GanttView[[#This Row],[Forecast Finish]],MAX(GanttView[[#This Row],[_DoneFrom]],GanttView[[#This Row],[Forecast Start]]+ROUND((GanttView[[#This Row],[Forecast Finish]]-GanttView[[#This Row],[Forecast Start]]+1)*GanttView[[#This Row],[%]],0)-1)))</f>
        <v>0</v>
      </c>
      <c r="R137" s="132" t="n">
        <f aca="false">IF(IFERROR(INDEX(tsk_Name,GanttView[[#This Row],[_Row]])="",TRUE()),0,IF(OR(INDEX(tsk_IsLeaf,GanttView[[#This Row],[_Row]])&lt;&gt;1,GanttView[[#This Row],[_IsMilestone]],N(GanttView[[#This Row],[%]])&gt;=1),0,IF(GanttView[[#This Row],[_DoneTo]]&gt;0,GanttView[[#This Row],[_DoneTo]]+1,GanttView[[#This Row],[Forecast Start]])))</f>
        <v>0</v>
      </c>
      <c r="S137" s="132" t="n">
        <f aca="false">IF(GanttView[[#This Row],[_RemFrom]]=0,0,GanttView[[#This Row],[Forecast Finish]])</f>
        <v>0</v>
      </c>
      <c r="T137" s="131" t="b">
        <f aca="false">IF(IFERROR(INDEX(tsk_Name,GanttView[[#This Row],[_Row]])="",TRUE()),FALSE(),N(INDEX(tsk_Variance,GanttView[[#This Row],[_Row]]))&gt;0)</f>
        <v>0</v>
      </c>
      <c r="U137" s="132" t="n">
        <f aca="false">IF(IFERROR(INDEX(tsk_Name,GanttView[[#This Row],[_Row]])="",TRUE()),0,N(INDEX(tsk_Deadline,GanttView[[#This Row],[_Row]])))</f>
        <v>0</v>
      </c>
      <c r="V137" s="131" t="b">
        <f aca="false">IF(IFERROR(INDEX(tsk_Name,GanttView[[#This Row],[_Row]])="",TRUE()),FALSE(),INDEX(tsk_Critical,GanttView[[#This Row],[_Row]])="Yes")</f>
        <v>0</v>
      </c>
    </row>
    <row r="138" customFormat="false" ht="15" hidden="false" customHeight="false" outlineLevel="0" collapsed="false">
      <c r="A138" s="126" t="str">
        <f aca="false">IF(IFERROR(INDEX(tsk_Name,GanttView[[#This Row],[_Row]])="",TRUE()),"",INDEX(tsk_ID,GanttView[[#This Row],[_Row]]))</f>
        <v/>
      </c>
      <c r="B138" s="126" t="str">
        <f aca="false">IF(IFERROR(INDEX(tsk_Name,GanttView[[#This Row],[_Row]])="",TRUE()),"",INDEX(tsk_WBS,GanttView[[#This Row],[_Row]]))</f>
        <v/>
      </c>
      <c r="C138" s="127" t="str">
        <f aca="false">IF(IFERROR(INDEX(tsk_Name,GanttView[[#This Row],[_Row]])="",TRUE()),"",REPT("    ",INDEX(tsk_Level,GanttView[[#This Row],[_Row]])-1)&amp;INDEX(tsk_Name,GanttView[[#This Row],[_Row]]))</f>
        <v/>
      </c>
      <c r="D138" s="126" t="str">
        <f aca="false">IF(IFERROR(INDEX(tsk_Name,GanttView[[#This Row],[_Row]])="",TRUE()),"",IF(INDEX(tsk_IsSummary,GanttView[[#This Row],[_Row]]),NETWORKDAYS.INTL(INDEX(tsk_FcStart,GanttView[[#This Row],[_Row]]),INDEX(tsk_FcFinish,GanttView[[#This Row],[_Row]]),WorkWeek,Holidays),N(INDEX(tsk_Duration,GanttView[[#This Row],[_Row]]))))</f>
        <v/>
      </c>
      <c r="E138" s="128" t="str">
        <f aca="false">IF(IFERROR(INDEX(tsk_Name,GanttView[[#This Row],[_Row]])="",TRUE()),"",INDEX(tsk_PlanStart,GanttView[[#This Row],[_Row]]))</f>
        <v/>
      </c>
      <c r="F138" s="128" t="str">
        <f aca="false">IF(IFERROR(INDEX(tsk_Name,GanttView[[#This Row],[_Row]])="",TRUE()),"",INDEX(tsk_PlanFinish,GanttView[[#This Row],[_Row]]))</f>
        <v/>
      </c>
      <c r="G138" s="128" t="str">
        <f aca="false">IF(IFERROR(INDEX(tsk_Name,GanttView[[#This Row],[_Row]])="",TRUE()),"",INDEX(tsk_FcStart,GanttView[[#This Row],[_Row]]))</f>
        <v/>
      </c>
      <c r="H138" s="128" t="str">
        <f aca="false">IF(IFERROR(INDEX(tsk_Name,GanttView[[#This Row],[_Row]])="",TRUE()),"",INDEX(tsk_FcFinish,GanttView[[#This Row],[_Row]]))</f>
        <v/>
      </c>
      <c r="I138" s="129" t="str">
        <f aca="false">IF(IFERROR(INDEX(tsk_Name,GanttView[[#This Row],[_Row]])="",TRUE()),"",INDEX(tsk_Progress,GanttView[[#This Row],[_Row]]))</f>
        <v/>
      </c>
      <c r="J138" s="127" t="str">
        <f aca="false">IF(IFERROR(INDEX(tsk_Name,GanttView[[#This Row],[_Row]])="",TRUE()),"",INDEX(tsk_ResourceNames,GanttView[[#This Row],[_Row]])&amp;"")</f>
        <v/>
      </c>
      <c r="K138" s="126" t="str">
        <f aca="false">IF(IFERROR(INDEX(tsk_Name,GanttView[[#This Row],[_Row]])="",TRUE()),"",INDEX(tsk_Status,GanttView[[#This Row],[_Row]]))</f>
        <v/>
      </c>
      <c r="L138" s="126" t="str">
        <f aca="false">IF(IFERROR(INDEX(tsk_Name,GanttView[[#This Row],[_Row]])="",TRUE()),"",INDEX(tsk_Show,GanttView[[#This Row],[_Row]])&amp;"")</f>
        <v/>
      </c>
      <c r="M138" s="130" t="n">
        <f aca="false">ROW()-ROW(GanttView[[#Headers],[ID]])</f>
        <v>133</v>
      </c>
      <c r="N138" s="131" t="b">
        <f aca="false">IF(IFERROR(INDEX(tsk_Name,GanttView[[#This Row],[_Row]])="",TRUE()),FALSE(),INDEX(tsk_IsSummary,GanttView[[#This Row],[_Row]]))</f>
        <v>0</v>
      </c>
      <c r="O138" s="131" t="b">
        <f aca="false">IF(IFERROR(INDEX(tsk_Name,GanttView[[#This Row],[_Row]])="",TRUE()),FALSE(),AND(INDEX(tsk_IsLeaf,GanttView[[#This Row],[_Row]])=1,N(INDEX(tsk_Duration,GanttView[[#This Row],[_Row]]))=0))</f>
        <v>0</v>
      </c>
      <c r="P138" s="132" t="n">
        <f aca="false">IF(IFERROR(INDEX(tsk_Name,GanttView[[#This Row],[_Row]])="",TRUE()),0,IF(AND(INDEX(tsk_IsLeaf,GanttView[[#This Row],[_Row]])=1,NOT(GanttView[[#This Row],[_IsMilestone]]),N(GanttView[[#This Row],[%]])&gt;0),GanttView[[#This Row],[Forecast Start]],0))</f>
        <v>0</v>
      </c>
      <c r="Q138" s="132" t="n">
        <f aca="false">IF(GanttView[[#This Row],[_DoneFrom]]=0,0,IF(GanttView[[#This Row],[%]]&gt;=1,GanttView[[#This Row],[Forecast Finish]],MAX(GanttView[[#This Row],[_DoneFrom]],GanttView[[#This Row],[Forecast Start]]+ROUND((GanttView[[#This Row],[Forecast Finish]]-GanttView[[#This Row],[Forecast Start]]+1)*GanttView[[#This Row],[%]],0)-1)))</f>
        <v>0</v>
      </c>
      <c r="R138" s="132" t="n">
        <f aca="false">IF(IFERROR(INDEX(tsk_Name,GanttView[[#This Row],[_Row]])="",TRUE()),0,IF(OR(INDEX(tsk_IsLeaf,GanttView[[#This Row],[_Row]])&lt;&gt;1,GanttView[[#This Row],[_IsMilestone]],N(GanttView[[#This Row],[%]])&gt;=1),0,IF(GanttView[[#This Row],[_DoneTo]]&gt;0,GanttView[[#This Row],[_DoneTo]]+1,GanttView[[#This Row],[Forecast Start]])))</f>
        <v>0</v>
      </c>
      <c r="S138" s="132" t="n">
        <f aca="false">IF(GanttView[[#This Row],[_RemFrom]]=0,0,GanttView[[#This Row],[Forecast Finish]])</f>
        <v>0</v>
      </c>
      <c r="T138" s="131" t="b">
        <f aca="false">IF(IFERROR(INDEX(tsk_Name,GanttView[[#This Row],[_Row]])="",TRUE()),FALSE(),N(INDEX(tsk_Variance,GanttView[[#This Row],[_Row]]))&gt;0)</f>
        <v>0</v>
      </c>
      <c r="U138" s="132" t="n">
        <f aca="false">IF(IFERROR(INDEX(tsk_Name,GanttView[[#This Row],[_Row]])="",TRUE()),0,N(INDEX(tsk_Deadline,GanttView[[#This Row],[_Row]])))</f>
        <v>0</v>
      </c>
      <c r="V138" s="131" t="b">
        <f aca="false">IF(IFERROR(INDEX(tsk_Name,GanttView[[#This Row],[_Row]])="",TRUE()),FALSE(),INDEX(tsk_Critical,GanttView[[#This Row],[_Row]])="Yes")</f>
        <v>0</v>
      </c>
    </row>
    <row r="139" customFormat="false" ht="15" hidden="false" customHeight="false" outlineLevel="0" collapsed="false">
      <c r="A139" s="126" t="str">
        <f aca="false">IF(IFERROR(INDEX(tsk_Name,GanttView[[#This Row],[_Row]])="",TRUE()),"",INDEX(tsk_ID,GanttView[[#This Row],[_Row]]))</f>
        <v/>
      </c>
      <c r="B139" s="126" t="str">
        <f aca="false">IF(IFERROR(INDEX(tsk_Name,GanttView[[#This Row],[_Row]])="",TRUE()),"",INDEX(tsk_WBS,GanttView[[#This Row],[_Row]]))</f>
        <v/>
      </c>
      <c r="C139" s="127" t="str">
        <f aca="false">IF(IFERROR(INDEX(tsk_Name,GanttView[[#This Row],[_Row]])="",TRUE()),"",REPT("    ",INDEX(tsk_Level,GanttView[[#This Row],[_Row]])-1)&amp;INDEX(tsk_Name,GanttView[[#This Row],[_Row]]))</f>
        <v/>
      </c>
      <c r="D139" s="126" t="str">
        <f aca="false">IF(IFERROR(INDEX(tsk_Name,GanttView[[#This Row],[_Row]])="",TRUE()),"",IF(INDEX(tsk_IsSummary,GanttView[[#This Row],[_Row]]),NETWORKDAYS.INTL(INDEX(tsk_FcStart,GanttView[[#This Row],[_Row]]),INDEX(tsk_FcFinish,GanttView[[#This Row],[_Row]]),WorkWeek,Holidays),N(INDEX(tsk_Duration,GanttView[[#This Row],[_Row]]))))</f>
        <v/>
      </c>
      <c r="E139" s="128" t="str">
        <f aca="false">IF(IFERROR(INDEX(tsk_Name,GanttView[[#This Row],[_Row]])="",TRUE()),"",INDEX(tsk_PlanStart,GanttView[[#This Row],[_Row]]))</f>
        <v/>
      </c>
      <c r="F139" s="128" t="str">
        <f aca="false">IF(IFERROR(INDEX(tsk_Name,GanttView[[#This Row],[_Row]])="",TRUE()),"",INDEX(tsk_PlanFinish,GanttView[[#This Row],[_Row]]))</f>
        <v/>
      </c>
      <c r="G139" s="128" t="str">
        <f aca="false">IF(IFERROR(INDEX(tsk_Name,GanttView[[#This Row],[_Row]])="",TRUE()),"",INDEX(tsk_FcStart,GanttView[[#This Row],[_Row]]))</f>
        <v/>
      </c>
      <c r="H139" s="128" t="str">
        <f aca="false">IF(IFERROR(INDEX(tsk_Name,GanttView[[#This Row],[_Row]])="",TRUE()),"",INDEX(tsk_FcFinish,GanttView[[#This Row],[_Row]]))</f>
        <v/>
      </c>
      <c r="I139" s="129" t="str">
        <f aca="false">IF(IFERROR(INDEX(tsk_Name,GanttView[[#This Row],[_Row]])="",TRUE()),"",INDEX(tsk_Progress,GanttView[[#This Row],[_Row]]))</f>
        <v/>
      </c>
      <c r="J139" s="127" t="str">
        <f aca="false">IF(IFERROR(INDEX(tsk_Name,GanttView[[#This Row],[_Row]])="",TRUE()),"",INDEX(tsk_ResourceNames,GanttView[[#This Row],[_Row]])&amp;"")</f>
        <v/>
      </c>
      <c r="K139" s="126" t="str">
        <f aca="false">IF(IFERROR(INDEX(tsk_Name,GanttView[[#This Row],[_Row]])="",TRUE()),"",INDEX(tsk_Status,GanttView[[#This Row],[_Row]]))</f>
        <v/>
      </c>
      <c r="L139" s="126" t="str">
        <f aca="false">IF(IFERROR(INDEX(tsk_Name,GanttView[[#This Row],[_Row]])="",TRUE()),"",INDEX(tsk_Show,GanttView[[#This Row],[_Row]])&amp;"")</f>
        <v/>
      </c>
      <c r="M139" s="130" t="n">
        <f aca="false">ROW()-ROW(GanttView[[#Headers],[ID]])</f>
        <v>134</v>
      </c>
      <c r="N139" s="131" t="b">
        <f aca="false">IF(IFERROR(INDEX(tsk_Name,GanttView[[#This Row],[_Row]])="",TRUE()),FALSE(),INDEX(tsk_IsSummary,GanttView[[#This Row],[_Row]]))</f>
        <v>0</v>
      </c>
      <c r="O139" s="131" t="b">
        <f aca="false">IF(IFERROR(INDEX(tsk_Name,GanttView[[#This Row],[_Row]])="",TRUE()),FALSE(),AND(INDEX(tsk_IsLeaf,GanttView[[#This Row],[_Row]])=1,N(INDEX(tsk_Duration,GanttView[[#This Row],[_Row]]))=0))</f>
        <v>0</v>
      </c>
      <c r="P139" s="132" t="n">
        <f aca="false">IF(IFERROR(INDEX(tsk_Name,GanttView[[#This Row],[_Row]])="",TRUE()),0,IF(AND(INDEX(tsk_IsLeaf,GanttView[[#This Row],[_Row]])=1,NOT(GanttView[[#This Row],[_IsMilestone]]),N(GanttView[[#This Row],[%]])&gt;0),GanttView[[#This Row],[Forecast Start]],0))</f>
        <v>0</v>
      </c>
      <c r="Q139" s="132" t="n">
        <f aca="false">IF(GanttView[[#This Row],[_DoneFrom]]=0,0,IF(GanttView[[#This Row],[%]]&gt;=1,GanttView[[#This Row],[Forecast Finish]],MAX(GanttView[[#This Row],[_DoneFrom]],GanttView[[#This Row],[Forecast Start]]+ROUND((GanttView[[#This Row],[Forecast Finish]]-GanttView[[#This Row],[Forecast Start]]+1)*GanttView[[#This Row],[%]],0)-1)))</f>
        <v>0</v>
      </c>
      <c r="R139" s="132" t="n">
        <f aca="false">IF(IFERROR(INDEX(tsk_Name,GanttView[[#This Row],[_Row]])="",TRUE()),0,IF(OR(INDEX(tsk_IsLeaf,GanttView[[#This Row],[_Row]])&lt;&gt;1,GanttView[[#This Row],[_IsMilestone]],N(GanttView[[#This Row],[%]])&gt;=1),0,IF(GanttView[[#This Row],[_DoneTo]]&gt;0,GanttView[[#This Row],[_DoneTo]]+1,GanttView[[#This Row],[Forecast Start]])))</f>
        <v>0</v>
      </c>
      <c r="S139" s="132" t="n">
        <f aca="false">IF(GanttView[[#This Row],[_RemFrom]]=0,0,GanttView[[#This Row],[Forecast Finish]])</f>
        <v>0</v>
      </c>
      <c r="T139" s="131" t="b">
        <f aca="false">IF(IFERROR(INDEX(tsk_Name,GanttView[[#This Row],[_Row]])="",TRUE()),FALSE(),N(INDEX(tsk_Variance,GanttView[[#This Row],[_Row]]))&gt;0)</f>
        <v>0</v>
      </c>
      <c r="U139" s="132" t="n">
        <f aca="false">IF(IFERROR(INDEX(tsk_Name,GanttView[[#This Row],[_Row]])="",TRUE()),0,N(INDEX(tsk_Deadline,GanttView[[#This Row],[_Row]])))</f>
        <v>0</v>
      </c>
      <c r="V139" s="131" t="b">
        <f aca="false">IF(IFERROR(INDEX(tsk_Name,GanttView[[#This Row],[_Row]])="",TRUE()),FALSE(),INDEX(tsk_Critical,GanttView[[#This Row],[_Row]])="Yes")</f>
        <v>0</v>
      </c>
    </row>
    <row r="140" customFormat="false" ht="15" hidden="false" customHeight="false" outlineLevel="0" collapsed="false">
      <c r="A140" s="126" t="str">
        <f aca="false">IF(IFERROR(INDEX(tsk_Name,GanttView[[#This Row],[_Row]])="",TRUE()),"",INDEX(tsk_ID,GanttView[[#This Row],[_Row]]))</f>
        <v/>
      </c>
      <c r="B140" s="126" t="str">
        <f aca="false">IF(IFERROR(INDEX(tsk_Name,GanttView[[#This Row],[_Row]])="",TRUE()),"",INDEX(tsk_WBS,GanttView[[#This Row],[_Row]]))</f>
        <v/>
      </c>
      <c r="C140" s="127" t="str">
        <f aca="false">IF(IFERROR(INDEX(tsk_Name,GanttView[[#This Row],[_Row]])="",TRUE()),"",REPT("    ",INDEX(tsk_Level,GanttView[[#This Row],[_Row]])-1)&amp;INDEX(tsk_Name,GanttView[[#This Row],[_Row]]))</f>
        <v/>
      </c>
      <c r="D140" s="126" t="str">
        <f aca="false">IF(IFERROR(INDEX(tsk_Name,GanttView[[#This Row],[_Row]])="",TRUE()),"",IF(INDEX(tsk_IsSummary,GanttView[[#This Row],[_Row]]),NETWORKDAYS.INTL(INDEX(tsk_FcStart,GanttView[[#This Row],[_Row]]),INDEX(tsk_FcFinish,GanttView[[#This Row],[_Row]]),WorkWeek,Holidays),N(INDEX(tsk_Duration,GanttView[[#This Row],[_Row]]))))</f>
        <v/>
      </c>
      <c r="E140" s="128" t="str">
        <f aca="false">IF(IFERROR(INDEX(tsk_Name,GanttView[[#This Row],[_Row]])="",TRUE()),"",INDEX(tsk_PlanStart,GanttView[[#This Row],[_Row]]))</f>
        <v/>
      </c>
      <c r="F140" s="128" t="str">
        <f aca="false">IF(IFERROR(INDEX(tsk_Name,GanttView[[#This Row],[_Row]])="",TRUE()),"",INDEX(tsk_PlanFinish,GanttView[[#This Row],[_Row]]))</f>
        <v/>
      </c>
      <c r="G140" s="128" t="str">
        <f aca="false">IF(IFERROR(INDEX(tsk_Name,GanttView[[#This Row],[_Row]])="",TRUE()),"",INDEX(tsk_FcStart,GanttView[[#This Row],[_Row]]))</f>
        <v/>
      </c>
      <c r="H140" s="128" t="str">
        <f aca="false">IF(IFERROR(INDEX(tsk_Name,GanttView[[#This Row],[_Row]])="",TRUE()),"",INDEX(tsk_FcFinish,GanttView[[#This Row],[_Row]]))</f>
        <v/>
      </c>
      <c r="I140" s="129" t="str">
        <f aca="false">IF(IFERROR(INDEX(tsk_Name,GanttView[[#This Row],[_Row]])="",TRUE()),"",INDEX(tsk_Progress,GanttView[[#This Row],[_Row]]))</f>
        <v/>
      </c>
      <c r="J140" s="127" t="str">
        <f aca="false">IF(IFERROR(INDEX(tsk_Name,GanttView[[#This Row],[_Row]])="",TRUE()),"",INDEX(tsk_ResourceNames,GanttView[[#This Row],[_Row]])&amp;"")</f>
        <v/>
      </c>
      <c r="K140" s="126" t="str">
        <f aca="false">IF(IFERROR(INDEX(tsk_Name,GanttView[[#This Row],[_Row]])="",TRUE()),"",INDEX(tsk_Status,GanttView[[#This Row],[_Row]]))</f>
        <v/>
      </c>
      <c r="L140" s="126" t="str">
        <f aca="false">IF(IFERROR(INDEX(tsk_Name,GanttView[[#This Row],[_Row]])="",TRUE()),"",INDEX(tsk_Show,GanttView[[#This Row],[_Row]])&amp;"")</f>
        <v/>
      </c>
      <c r="M140" s="130" t="n">
        <f aca="false">ROW()-ROW(GanttView[[#Headers],[ID]])</f>
        <v>135</v>
      </c>
      <c r="N140" s="131" t="b">
        <f aca="false">IF(IFERROR(INDEX(tsk_Name,GanttView[[#This Row],[_Row]])="",TRUE()),FALSE(),INDEX(tsk_IsSummary,GanttView[[#This Row],[_Row]]))</f>
        <v>0</v>
      </c>
      <c r="O140" s="131" t="b">
        <f aca="false">IF(IFERROR(INDEX(tsk_Name,GanttView[[#This Row],[_Row]])="",TRUE()),FALSE(),AND(INDEX(tsk_IsLeaf,GanttView[[#This Row],[_Row]])=1,N(INDEX(tsk_Duration,GanttView[[#This Row],[_Row]]))=0))</f>
        <v>0</v>
      </c>
      <c r="P140" s="132" t="n">
        <f aca="false">IF(IFERROR(INDEX(tsk_Name,GanttView[[#This Row],[_Row]])="",TRUE()),0,IF(AND(INDEX(tsk_IsLeaf,GanttView[[#This Row],[_Row]])=1,NOT(GanttView[[#This Row],[_IsMilestone]]),N(GanttView[[#This Row],[%]])&gt;0),GanttView[[#This Row],[Forecast Start]],0))</f>
        <v>0</v>
      </c>
      <c r="Q140" s="132" t="n">
        <f aca="false">IF(GanttView[[#This Row],[_DoneFrom]]=0,0,IF(GanttView[[#This Row],[%]]&gt;=1,GanttView[[#This Row],[Forecast Finish]],MAX(GanttView[[#This Row],[_DoneFrom]],GanttView[[#This Row],[Forecast Start]]+ROUND((GanttView[[#This Row],[Forecast Finish]]-GanttView[[#This Row],[Forecast Start]]+1)*GanttView[[#This Row],[%]],0)-1)))</f>
        <v>0</v>
      </c>
      <c r="R140" s="132" t="n">
        <f aca="false">IF(IFERROR(INDEX(tsk_Name,GanttView[[#This Row],[_Row]])="",TRUE()),0,IF(OR(INDEX(tsk_IsLeaf,GanttView[[#This Row],[_Row]])&lt;&gt;1,GanttView[[#This Row],[_IsMilestone]],N(GanttView[[#This Row],[%]])&gt;=1),0,IF(GanttView[[#This Row],[_DoneTo]]&gt;0,GanttView[[#This Row],[_DoneTo]]+1,GanttView[[#This Row],[Forecast Start]])))</f>
        <v>0</v>
      </c>
      <c r="S140" s="132" t="n">
        <f aca="false">IF(GanttView[[#This Row],[_RemFrom]]=0,0,GanttView[[#This Row],[Forecast Finish]])</f>
        <v>0</v>
      </c>
      <c r="T140" s="131" t="b">
        <f aca="false">IF(IFERROR(INDEX(tsk_Name,GanttView[[#This Row],[_Row]])="",TRUE()),FALSE(),N(INDEX(tsk_Variance,GanttView[[#This Row],[_Row]]))&gt;0)</f>
        <v>0</v>
      </c>
      <c r="U140" s="132" t="n">
        <f aca="false">IF(IFERROR(INDEX(tsk_Name,GanttView[[#This Row],[_Row]])="",TRUE()),0,N(INDEX(tsk_Deadline,GanttView[[#This Row],[_Row]])))</f>
        <v>0</v>
      </c>
      <c r="V140" s="131" t="b">
        <f aca="false">IF(IFERROR(INDEX(tsk_Name,GanttView[[#This Row],[_Row]])="",TRUE()),FALSE(),INDEX(tsk_Critical,GanttView[[#This Row],[_Row]])="Yes")</f>
        <v>0</v>
      </c>
    </row>
    <row r="141" customFormat="false" ht="15" hidden="false" customHeight="false" outlineLevel="0" collapsed="false">
      <c r="A141" s="126" t="str">
        <f aca="false">IF(IFERROR(INDEX(tsk_Name,GanttView[[#This Row],[_Row]])="",TRUE()),"",INDEX(tsk_ID,GanttView[[#This Row],[_Row]]))</f>
        <v/>
      </c>
      <c r="B141" s="126" t="str">
        <f aca="false">IF(IFERROR(INDEX(tsk_Name,GanttView[[#This Row],[_Row]])="",TRUE()),"",INDEX(tsk_WBS,GanttView[[#This Row],[_Row]]))</f>
        <v/>
      </c>
      <c r="C141" s="127" t="str">
        <f aca="false">IF(IFERROR(INDEX(tsk_Name,GanttView[[#This Row],[_Row]])="",TRUE()),"",REPT("    ",INDEX(tsk_Level,GanttView[[#This Row],[_Row]])-1)&amp;INDEX(tsk_Name,GanttView[[#This Row],[_Row]]))</f>
        <v/>
      </c>
      <c r="D141" s="126" t="str">
        <f aca="false">IF(IFERROR(INDEX(tsk_Name,GanttView[[#This Row],[_Row]])="",TRUE()),"",IF(INDEX(tsk_IsSummary,GanttView[[#This Row],[_Row]]),NETWORKDAYS.INTL(INDEX(tsk_FcStart,GanttView[[#This Row],[_Row]]),INDEX(tsk_FcFinish,GanttView[[#This Row],[_Row]]),WorkWeek,Holidays),N(INDEX(tsk_Duration,GanttView[[#This Row],[_Row]]))))</f>
        <v/>
      </c>
      <c r="E141" s="128" t="str">
        <f aca="false">IF(IFERROR(INDEX(tsk_Name,GanttView[[#This Row],[_Row]])="",TRUE()),"",INDEX(tsk_PlanStart,GanttView[[#This Row],[_Row]]))</f>
        <v/>
      </c>
      <c r="F141" s="128" t="str">
        <f aca="false">IF(IFERROR(INDEX(tsk_Name,GanttView[[#This Row],[_Row]])="",TRUE()),"",INDEX(tsk_PlanFinish,GanttView[[#This Row],[_Row]]))</f>
        <v/>
      </c>
      <c r="G141" s="128" t="str">
        <f aca="false">IF(IFERROR(INDEX(tsk_Name,GanttView[[#This Row],[_Row]])="",TRUE()),"",INDEX(tsk_FcStart,GanttView[[#This Row],[_Row]]))</f>
        <v/>
      </c>
      <c r="H141" s="128" t="str">
        <f aca="false">IF(IFERROR(INDEX(tsk_Name,GanttView[[#This Row],[_Row]])="",TRUE()),"",INDEX(tsk_FcFinish,GanttView[[#This Row],[_Row]]))</f>
        <v/>
      </c>
      <c r="I141" s="129" t="str">
        <f aca="false">IF(IFERROR(INDEX(tsk_Name,GanttView[[#This Row],[_Row]])="",TRUE()),"",INDEX(tsk_Progress,GanttView[[#This Row],[_Row]]))</f>
        <v/>
      </c>
      <c r="J141" s="127" t="str">
        <f aca="false">IF(IFERROR(INDEX(tsk_Name,GanttView[[#This Row],[_Row]])="",TRUE()),"",INDEX(tsk_ResourceNames,GanttView[[#This Row],[_Row]])&amp;"")</f>
        <v/>
      </c>
      <c r="K141" s="126" t="str">
        <f aca="false">IF(IFERROR(INDEX(tsk_Name,GanttView[[#This Row],[_Row]])="",TRUE()),"",INDEX(tsk_Status,GanttView[[#This Row],[_Row]]))</f>
        <v/>
      </c>
      <c r="L141" s="126" t="str">
        <f aca="false">IF(IFERROR(INDEX(tsk_Name,GanttView[[#This Row],[_Row]])="",TRUE()),"",INDEX(tsk_Show,GanttView[[#This Row],[_Row]])&amp;"")</f>
        <v/>
      </c>
      <c r="M141" s="130" t="n">
        <f aca="false">ROW()-ROW(GanttView[[#Headers],[ID]])</f>
        <v>136</v>
      </c>
      <c r="N141" s="131" t="b">
        <f aca="false">IF(IFERROR(INDEX(tsk_Name,GanttView[[#This Row],[_Row]])="",TRUE()),FALSE(),INDEX(tsk_IsSummary,GanttView[[#This Row],[_Row]]))</f>
        <v>0</v>
      </c>
      <c r="O141" s="131" t="b">
        <f aca="false">IF(IFERROR(INDEX(tsk_Name,GanttView[[#This Row],[_Row]])="",TRUE()),FALSE(),AND(INDEX(tsk_IsLeaf,GanttView[[#This Row],[_Row]])=1,N(INDEX(tsk_Duration,GanttView[[#This Row],[_Row]]))=0))</f>
        <v>0</v>
      </c>
      <c r="P141" s="132" t="n">
        <f aca="false">IF(IFERROR(INDEX(tsk_Name,GanttView[[#This Row],[_Row]])="",TRUE()),0,IF(AND(INDEX(tsk_IsLeaf,GanttView[[#This Row],[_Row]])=1,NOT(GanttView[[#This Row],[_IsMilestone]]),N(GanttView[[#This Row],[%]])&gt;0),GanttView[[#This Row],[Forecast Start]],0))</f>
        <v>0</v>
      </c>
      <c r="Q141" s="132" t="n">
        <f aca="false">IF(GanttView[[#This Row],[_DoneFrom]]=0,0,IF(GanttView[[#This Row],[%]]&gt;=1,GanttView[[#This Row],[Forecast Finish]],MAX(GanttView[[#This Row],[_DoneFrom]],GanttView[[#This Row],[Forecast Start]]+ROUND((GanttView[[#This Row],[Forecast Finish]]-GanttView[[#This Row],[Forecast Start]]+1)*GanttView[[#This Row],[%]],0)-1)))</f>
        <v>0</v>
      </c>
      <c r="R141" s="132" t="n">
        <f aca="false">IF(IFERROR(INDEX(tsk_Name,GanttView[[#This Row],[_Row]])="",TRUE()),0,IF(OR(INDEX(tsk_IsLeaf,GanttView[[#This Row],[_Row]])&lt;&gt;1,GanttView[[#This Row],[_IsMilestone]],N(GanttView[[#This Row],[%]])&gt;=1),0,IF(GanttView[[#This Row],[_DoneTo]]&gt;0,GanttView[[#This Row],[_DoneTo]]+1,GanttView[[#This Row],[Forecast Start]])))</f>
        <v>0</v>
      </c>
      <c r="S141" s="132" t="n">
        <f aca="false">IF(GanttView[[#This Row],[_RemFrom]]=0,0,GanttView[[#This Row],[Forecast Finish]])</f>
        <v>0</v>
      </c>
      <c r="T141" s="131" t="b">
        <f aca="false">IF(IFERROR(INDEX(tsk_Name,GanttView[[#This Row],[_Row]])="",TRUE()),FALSE(),N(INDEX(tsk_Variance,GanttView[[#This Row],[_Row]]))&gt;0)</f>
        <v>0</v>
      </c>
      <c r="U141" s="132" t="n">
        <f aca="false">IF(IFERROR(INDEX(tsk_Name,GanttView[[#This Row],[_Row]])="",TRUE()),0,N(INDEX(tsk_Deadline,GanttView[[#This Row],[_Row]])))</f>
        <v>0</v>
      </c>
      <c r="V141" s="131" t="b">
        <f aca="false">IF(IFERROR(INDEX(tsk_Name,GanttView[[#This Row],[_Row]])="",TRUE()),FALSE(),INDEX(tsk_Critical,GanttView[[#This Row],[_Row]])="Yes")</f>
        <v>0</v>
      </c>
    </row>
    <row r="142" customFormat="false" ht="15" hidden="false" customHeight="false" outlineLevel="0" collapsed="false">
      <c r="A142" s="126" t="str">
        <f aca="false">IF(IFERROR(INDEX(tsk_Name,GanttView[[#This Row],[_Row]])="",TRUE()),"",INDEX(tsk_ID,GanttView[[#This Row],[_Row]]))</f>
        <v/>
      </c>
      <c r="B142" s="126" t="str">
        <f aca="false">IF(IFERROR(INDEX(tsk_Name,GanttView[[#This Row],[_Row]])="",TRUE()),"",INDEX(tsk_WBS,GanttView[[#This Row],[_Row]]))</f>
        <v/>
      </c>
      <c r="C142" s="127" t="str">
        <f aca="false">IF(IFERROR(INDEX(tsk_Name,GanttView[[#This Row],[_Row]])="",TRUE()),"",REPT("    ",INDEX(tsk_Level,GanttView[[#This Row],[_Row]])-1)&amp;INDEX(tsk_Name,GanttView[[#This Row],[_Row]]))</f>
        <v/>
      </c>
      <c r="D142" s="126" t="str">
        <f aca="false">IF(IFERROR(INDEX(tsk_Name,GanttView[[#This Row],[_Row]])="",TRUE()),"",IF(INDEX(tsk_IsSummary,GanttView[[#This Row],[_Row]]),NETWORKDAYS.INTL(INDEX(tsk_FcStart,GanttView[[#This Row],[_Row]]),INDEX(tsk_FcFinish,GanttView[[#This Row],[_Row]]),WorkWeek,Holidays),N(INDEX(tsk_Duration,GanttView[[#This Row],[_Row]]))))</f>
        <v/>
      </c>
      <c r="E142" s="128" t="str">
        <f aca="false">IF(IFERROR(INDEX(tsk_Name,GanttView[[#This Row],[_Row]])="",TRUE()),"",INDEX(tsk_PlanStart,GanttView[[#This Row],[_Row]]))</f>
        <v/>
      </c>
      <c r="F142" s="128" t="str">
        <f aca="false">IF(IFERROR(INDEX(tsk_Name,GanttView[[#This Row],[_Row]])="",TRUE()),"",INDEX(tsk_PlanFinish,GanttView[[#This Row],[_Row]]))</f>
        <v/>
      </c>
      <c r="G142" s="128" t="str">
        <f aca="false">IF(IFERROR(INDEX(tsk_Name,GanttView[[#This Row],[_Row]])="",TRUE()),"",INDEX(tsk_FcStart,GanttView[[#This Row],[_Row]]))</f>
        <v/>
      </c>
      <c r="H142" s="128" t="str">
        <f aca="false">IF(IFERROR(INDEX(tsk_Name,GanttView[[#This Row],[_Row]])="",TRUE()),"",INDEX(tsk_FcFinish,GanttView[[#This Row],[_Row]]))</f>
        <v/>
      </c>
      <c r="I142" s="129" t="str">
        <f aca="false">IF(IFERROR(INDEX(tsk_Name,GanttView[[#This Row],[_Row]])="",TRUE()),"",INDEX(tsk_Progress,GanttView[[#This Row],[_Row]]))</f>
        <v/>
      </c>
      <c r="J142" s="127" t="str">
        <f aca="false">IF(IFERROR(INDEX(tsk_Name,GanttView[[#This Row],[_Row]])="",TRUE()),"",INDEX(tsk_ResourceNames,GanttView[[#This Row],[_Row]])&amp;"")</f>
        <v/>
      </c>
      <c r="K142" s="126" t="str">
        <f aca="false">IF(IFERROR(INDEX(tsk_Name,GanttView[[#This Row],[_Row]])="",TRUE()),"",INDEX(tsk_Status,GanttView[[#This Row],[_Row]]))</f>
        <v/>
      </c>
      <c r="L142" s="126" t="str">
        <f aca="false">IF(IFERROR(INDEX(tsk_Name,GanttView[[#This Row],[_Row]])="",TRUE()),"",INDEX(tsk_Show,GanttView[[#This Row],[_Row]])&amp;"")</f>
        <v/>
      </c>
      <c r="M142" s="130" t="n">
        <f aca="false">ROW()-ROW(GanttView[[#Headers],[ID]])</f>
        <v>137</v>
      </c>
      <c r="N142" s="131" t="b">
        <f aca="false">IF(IFERROR(INDEX(tsk_Name,GanttView[[#This Row],[_Row]])="",TRUE()),FALSE(),INDEX(tsk_IsSummary,GanttView[[#This Row],[_Row]]))</f>
        <v>0</v>
      </c>
      <c r="O142" s="131" t="b">
        <f aca="false">IF(IFERROR(INDEX(tsk_Name,GanttView[[#This Row],[_Row]])="",TRUE()),FALSE(),AND(INDEX(tsk_IsLeaf,GanttView[[#This Row],[_Row]])=1,N(INDEX(tsk_Duration,GanttView[[#This Row],[_Row]]))=0))</f>
        <v>0</v>
      </c>
      <c r="P142" s="132" t="n">
        <f aca="false">IF(IFERROR(INDEX(tsk_Name,GanttView[[#This Row],[_Row]])="",TRUE()),0,IF(AND(INDEX(tsk_IsLeaf,GanttView[[#This Row],[_Row]])=1,NOT(GanttView[[#This Row],[_IsMilestone]]),N(GanttView[[#This Row],[%]])&gt;0),GanttView[[#This Row],[Forecast Start]],0))</f>
        <v>0</v>
      </c>
      <c r="Q142" s="132" t="n">
        <f aca="false">IF(GanttView[[#This Row],[_DoneFrom]]=0,0,IF(GanttView[[#This Row],[%]]&gt;=1,GanttView[[#This Row],[Forecast Finish]],MAX(GanttView[[#This Row],[_DoneFrom]],GanttView[[#This Row],[Forecast Start]]+ROUND((GanttView[[#This Row],[Forecast Finish]]-GanttView[[#This Row],[Forecast Start]]+1)*GanttView[[#This Row],[%]],0)-1)))</f>
        <v>0</v>
      </c>
      <c r="R142" s="132" t="n">
        <f aca="false">IF(IFERROR(INDEX(tsk_Name,GanttView[[#This Row],[_Row]])="",TRUE()),0,IF(OR(INDEX(tsk_IsLeaf,GanttView[[#This Row],[_Row]])&lt;&gt;1,GanttView[[#This Row],[_IsMilestone]],N(GanttView[[#This Row],[%]])&gt;=1),0,IF(GanttView[[#This Row],[_DoneTo]]&gt;0,GanttView[[#This Row],[_DoneTo]]+1,GanttView[[#This Row],[Forecast Start]])))</f>
        <v>0</v>
      </c>
      <c r="S142" s="132" t="n">
        <f aca="false">IF(GanttView[[#This Row],[_RemFrom]]=0,0,GanttView[[#This Row],[Forecast Finish]])</f>
        <v>0</v>
      </c>
      <c r="T142" s="131" t="b">
        <f aca="false">IF(IFERROR(INDEX(tsk_Name,GanttView[[#This Row],[_Row]])="",TRUE()),FALSE(),N(INDEX(tsk_Variance,GanttView[[#This Row],[_Row]]))&gt;0)</f>
        <v>0</v>
      </c>
      <c r="U142" s="132" t="n">
        <f aca="false">IF(IFERROR(INDEX(tsk_Name,GanttView[[#This Row],[_Row]])="",TRUE()),0,N(INDEX(tsk_Deadline,GanttView[[#This Row],[_Row]])))</f>
        <v>0</v>
      </c>
      <c r="V142" s="131" t="b">
        <f aca="false">IF(IFERROR(INDEX(tsk_Name,GanttView[[#This Row],[_Row]])="",TRUE()),FALSE(),INDEX(tsk_Critical,GanttView[[#This Row],[_Row]])="Yes")</f>
        <v>0</v>
      </c>
    </row>
    <row r="143" customFormat="false" ht="15" hidden="false" customHeight="false" outlineLevel="0" collapsed="false">
      <c r="A143" s="126" t="str">
        <f aca="false">IF(IFERROR(INDEX(tsk_Name,GanttView[[#This Row],[_Row]])="",TRUE()),"",INDEX(tsk_ID,GanttView[[#This Row],[_Row]]))</f>
        <v/>
      </c>
      <c r="B143" s="126" t="str">
        <f aca="false">IF(IFERROR(INDEX(tsk_Name,GanttView[[#This Row],[_Row]])="",TRUE()),"",INDEX(tsk_WBS,GanttView[[#This Row],[_Row]]))</f>
        <v/>
      </c>
      <c r="C143" s="127" t="str">
        <f aca="false">IF(IFERROR(INDEX(tsk_Name,GanttView[[#This Row],[_Row]])="",TRUE()),"",REPT("    ",INDEX(tsk_Level,GanttView[[#This Row],[_Row]])-1)&amp;INDEX(tsk_Name,GanttView[[#This Row],[_Row]]))</f>
        <v/>
      </c>
      <c r="D143" s="126" t="str">
        <f aca="false">IF(IFERROR(INDEX(tsk_Name,GanttView[[#This Row],[_Row]])="",TRUE()),"",IF(INDEX(tsk_IsSummary,GanttView[[#This Row],[_Row]]),NETWORKDAYS.INTL(INDEX(tsk_FcStart,GanttView[[#This Row],[_Row]]),INDEX(tsk_FcFinish,GanttView[[#This Row],[_Row]]),WorkWeek,Holidays),N(INDEX(tsk_Duration,GanttView[[#This Row],[_Row]]))))</f>
        <v/>
      </c>
      <c r="E143" s="128" t="str">
        <f aca="false">IF(IFERROR(INDEX(tsk_Name,GanttView[[#This Row],[_Row]])="",TRUE()),"",INDEX(tsk_PlanStart,GanttView[[#This Row],[_Row]]))</f>
        <v/>
      </c>
      <c r="F143" s="128" t="str">
        <f aca="false">IF(IFERROR(INDEX(tsk_Name,GanttView[[#This Row],[_Row]])="",TRUE()),"",INDEX(tsk_PlanFinish,GanttView[[#This Row],[_Row]]))</f>
        <v/>
      </c>
      <c r="G143" s="128" t="str">
        <f aca="false">IF(IFERROR(INDEX(tsk_Name,GanttView[[#This Row],[_Row]])="",TRUE()),"",INDEX(tsk_FcStart,GanttView[[#This Row],[_Row]]))</f>
        <v/>
      </c>
      <c r="H143" s="128" t="str">
        <f aca="false">IF(IFERROR(INDEX(tsk_Name,GanttView[[#This Row],[_Row]])="",TRUE()),"",INDEX(tsk_FcFinish,GanttView[[#This Row],[_Row]]))</f>
        <v/>
      </c>
      <c r="I143" s="129" t="str">
        <f aca="false">IF(IFERROR(INDEX(tsk_Name,GanttView[[#This Row],[_Row]])="",TRUE()),"",INDEX(tsk_Progress,GanttView[[#This Row],[_Row]]))</f>
        <v/>
      </c>
      <c r="J143" s="127" t="str">
        <f aca="false">IF(IFERROR(INDEX(tsk_Name,GanttView[[#This Row],[_Row]])="",TRUE()),"",INDEX(tsk_ResourceNames,GanttView[[#This Row],[_Row]])&amp;"")</f>
        <v/>
      </c>
      <c r="K143" s="126" t="str">
        <f aca="false">IF(IFERROR(INDEX(tsk_Name,GanttView[[#This Row],[_Row]])="",TRUE()),"",INDEX(tsk_Status,GanttView[[#This Row],[_Row]]))</f>
        <v/>
      </c>
      <c r="L143" s="126" t="str">
        <f aca="false">IF(IFERROR(INDEX(tsk_Name,GanttView[[#This Row],[_Row]])="",TRUE()),"",INDEX(tsk_Show,GanttView[[#This Row],[_Row]])&amp;"")</f>
        <v/>
      </c>
      <c r="M143" s="130" t="n">
        <f aca="false">ROW()-ROW(GanttView[[#Headers],[ID]])</f>
        <v>138</v>
      </c>
      <c r="N143" s="131" t="b">
        <f aca="false">IF(IFERROR(INDEX(tsk_Name,GanttView[[#This Row],[_Row]])="",TRUE()),FALSE(),INDEX(tsk_IsSummary,GanttView[[#This Row],[_Row]]))</f>
        <v>0</v>
      </c>
      <c r="O143" s="131" t="b">
        <f aca="false">IF(IFERROR(INDEX(tsk_Name,GanttView[[#This Row],[_Row]])="",TRUE()),FALSE(),AND(INDEX(tsk_IsLeaf,GanttView[[#This Row],[_Row]])=1,N(INDEX(tsk_Duration,GanttView[[#This Row],[_Row]]))=0))</f>
        <v>0</v>
      </c>
      <c r="P143" s="132" t="n">
        <f aca="false">IF(IFERROR(INDEX(tsk_Name,GanttView[[#This Row],[_Row]])="",TRUE()),0,IF(AND(INDEX(tsk_IsLeaf,GanttView[[#This Row],[_Row]])=1,NOT(GanttView[[#This Row],[_IsMilestone]]),N(GanttView[[#This Row],[%]])&gt;0),GanttView[[#This Row],[Forecast Start]],0))</f>
        <v>0</v>
      </c>
      <c r="Q143" s="132" t="n">
        <f aca="false">IF(GanttView[[#This Row],[_DoneFrom]]=0,0,IF(GanttView[[#This Row],[%]]&gt;=1,GanttView[[#This Row],[Forecast Finish]],MAX(GanttView[[#This Row],[_DoneFrom]],GanttView[[#This Row],[Forecast Start]]+ROUND((GanttView[[#This Row],[Forecast Finish]]-GanttView[[#This Row],[Forecast Start]]+1)*GanttView[[#This Row],[%]],0)-1)))</f>
        <v>0</v>
      </c>
      <c r="R143" s="132" t="n">
        <f aca="false">IF(IFERROR(INDEX(tsk_Name,GanttView[[#This Row],[_Row]])="",TRUE()),0,IF(OR(INDEX(tsk_IsLeaf,GanttView[[#This Row],[_Row]])&lt;&gt;1,GanttView[[#This Row],[_IsMilestone]],N(GanttView[[#This Row],[%]])&gt;=1),0,IF(GanttView[[#This Row],[_DoneTo]]&gt;0,GanttView[[#This Row],[_DoneTo]]+1,GanttView[[#This Row],[Forecast Start]])))</f>
        <v>0</v>
      </c>
      <c r="S143" s="132" t="n">
        <f aca="false">IF(GanttView[[#This Row],[_RemFrom]]=0,0,GanttView[[#This Row],[Forecast Finish]])</f>
        <v>0</v>
      </c>
      <c r="T143" s="131" t="b">
        <f aca="false">IF(IFERROR(INDEX(tsk_Name,GanttView[[#This Row],[_Row]])="",TRUE()),FALSE(),N(INDEX(tsk_Variance,GanttView[[#This Row],[_Row]]))&gt;0)</f>
        <v>0</v>
      </c>
      <c r="U143" s="132" t="n">
        <f aca="false">IF(IFERROR(INDEX(tsk_Name,GanttView[[#This Row],[_Row]])="",TRUE()),0,N(INDEX(tsk_Deadline,GanttView[[#This Row],[_Row]])))</f>
        <v>0</v>
      </c>
      <c r="V143" s="131" t="b">
        <f aca="false">IF(IFERROR(INDEX(tsk_Name,GanttView[[#This Row],[_Row]])="",TRUE()),FALSE(),INDEX(tsk_Critical,GanttView[[#This Row],[_Row]])="Yes")</f>
        <v>0</v>
      </c>
    </row>
    <row r="144" customFormat="false" ht="15" hidden="false" customHeight="false" outlineLevel="0" collapsed="false">
      <c r="A144" s="126" t="str">
        <f aca="false">IF(IFERROR(INDEX(tsk_Name,GanttView[[#This Row],[_Row]])="",TRUE()),"",INDEX(tsk_ID,GanttView[[#This Row],[_Row]]))</f>
        <v/>
      </c>
      <c r="B144" s="126" t="str">
        <f aca="false">IF(IFERROR(INDEX(tsk_Name,GanttView[[#This Row],[_Row]])="",TRUE()),"",INDEX(tsk_WBS,GanttView[[#This Row],[_Row]]))</f>
        <v/>
      </c>
      <c r="C144" s="127" t="str">
        <f aca="false">IF(IFERROR(INDEX(tsk_Name,GanttView[[#This Row],[_Row]])="",TRUE()),"",REPT("    ",INDEX(tsk_Level,GanttView[[#This Row],[_Row]])-1)&amp;INDEX(tsk_Name,GanttView[[#This Row],[_Row]]))</f>
        <v/>
      </c>
      <c r="D144" s="126" t="str">
        <f aca="false">IF(IFERROR(INDEX(tsk_Name,GanttView[[#This Row],[_Row]])="",TRUE()),"",IF(INDEX(tsk_IsSummary,GanttView[[#This Row],[_Row]]),NETWORKDAYS.INTL(INDEX(tsk_FcStart,GanttView[[#This Row],[_Row]]),INDEX(tsk_FcFinish,GanttView[[#This Row],[_Row]]),WorkWeek,Holidays),N(INDEX(tsk_Duration,GanttView[[#This Row],[_Row]]))))</f>
        <v/>
      </c>
      <c r="E144" s="128" t="str">
        <f aca="false">IF(IFERROR(INDEX(tsk_Name,GanttView[[#This Row],[_Row]])="",TRUE()),"",INDEX(tsk_PlanStart,GanttView[[#This Row],[_Row]]))</f>
        <v/>
      </c>
      <c r="F144" s="128" t="str">
        <f aca="false">IF(IFERROR(INDEX(tsk_Name,GanttView[[#This Row],[_Row]])="",TRUE()),"",INDEX(tsk_PlanFinish,GanttView[[#This Row],[_Row]]))</f>
        <v/>
      </c>
      <c r="G144" s="128" t="str">
        <f aca="false">IF(IFERROR(INDEX(tsk_Name,GanttView[[#This Row],[_Row]])="",TRUE()),"",INDEX(tsk_FcStart,GanttView[[#This Row],[_Row]]))</f>
        <v/>
      </c>
      <c r="H144" s="128" t="str">
        <f aca="false">IF(IFERROR(INDEX(tsk_Name,GanttView[[#This Row],[_Row]])="",TRUE()),"",INDEX(tsk_FcFinish,GanttView[[#This Row],[_Row]]))</f>
        <v/>
      </c>
      <c r="I144" s="129" t="str">
        <f aca="false">IF(IFERROR(INDEX(tsk_Name,GanttView[[#This Row],[_Row]])="",TRUE()),"",INDEX(tsk_Progress,GanttView[[#This Row],[_Row]]))</f>
        <v/>
      </c>
      <c r="J144" s="127" t="str">
        <f aca="false">IF(IFERROR(INDEX(tsk_Name,GanttView[[#This Row],[_Row]])="",TRUE()),"",INDEX(tsk_ResourceNames,GanttView[[#This Row],[_Row]])&amp;"")</f>
        <v/>
      </c>
      <c r="K144" s="126" t="str">
        <f aca="false">IF(IFERROR(INDEX(tsk_Name,GanttView[[#This Row],[_Row]])="",TRUE()),"",INDEX(tsk_Status,GanttView[[#This Row],[_Row]]))</f>
        <v/>
      </c>
      <c r="L144" s="126" t="str">
        <f aca="false">IF(IFERROR(INDEX(tsk_Name,GanttView[[#This Row],[_Row]])="",TRUE()),"",INDEX(tsk_Show,GanttView[[#This Row],[_Row]])&amp;"")</f>
        <v/>
      </c>
      <c r="M144" s="130" t="n">
        <f aca="false">ROW()-ROW(GanttView[[#Headers],[ID]])</f>
        <v>139</v>
      </c>
      <c r="N144" s="131" t="b">
        <f aca="false">IF(IFERROR(INDEX(tsk_Name,GanttView[[#This Row],[_Row]])="",TRUE()),FALSE(),INDEX(tsk_IsSummary,GanttView[[#This Row],[_Row]]))</f>
        <v>0</v>
      </c>
      <c r="O144" s="131" t="b">
        <f aca="false">IF(IFERROR(INDEX(tsk_Name,GanttView[[#This Row],[_Row]])="",TRUE()),FALSE(),AND(INDEX(tsk_IsLeaf,GanttView[[#This Row],[_Row]])=1,N(INDEX(tsk_Duration,GanttView[[#This Row],[_Row]]))=0))</f>
        <v>0</v>
      </c>
      <c r="P144" s="132" t="n">
        <f aca="false">IF(IFERROR(INDEX(tsk_Name,GanttView[[#This Row],[_Row]])="",TRUE()),0,IF(AND(INDEX(tsk_IsLeaf,GanttView[[#This Row],[_Row]])=1,NOT(GanttView[[#This Row],[_IsMilestone]]),N(GanttView[[#This Row],[%]])&gt;0),GanttView[[#This Row],[Forecast Start]],0))</f>
        <v>0</v>
      </c>
      <c r="Q144" s="132" t="n">
        <f aca="false">IF(GanttView[[#This Row],[_DoneFrom]]=0,0,IF(GanttView[[#This Row],[%]]&gt;=1,GanttView[[#This Row],[Forecast Finish]],MAX(GanttView[[#This Row],[_DoneFrom]],GanttView[[#This Row],[Forecast Start]]+ROUND((GanttView[[#This Row],[Forecast Finish]]-GanttView[[#This Row],[Forecast Start]]+1)*GanttView[[#This Row],[%]],0)-1)))</f>
        <v>0</v>
      </c>
      <c r="R144" s="132" t="n">
        <f aca="false">IF(IFERROR(INDEX(tsk_Name,GanttView[[#This Row],[_Row]])="",TRUE()),0,IF(OR(INDEX(tsk_IsLeaf,GanttView[[#This Row],[_Row]])&lt;&gt;1,GanttView[[#This Row],[_IsMilestone]],N(GanttView[[#This Row],[%]])&gt;=1),0,IF(GanttView[[#This Row],[_DoneTo]]&gt;0,GanttView[[#This Row],[_DoneTo]]+1,GanttView[[#This Row],[Forecast Start]])))</f>
        <v>0</v>
      </c>
      <c r="S144" s="132" t="n">
        <f aca="false">IF(GanttView[[#This Row],[_RemFrom]]=0,0,GanttView[[#This Row],[Forecast Finish]])</f>
        <v>0</v>
      </c>
      <c r="T144" s="131" t="b">
        <f aca="false">IF(IFERROR(INDEX(tsk_Name,GanttView[[#This Row],[_Row]])="",TRUE()),FALSE(),N(INDEX(tsk_Variance,GanttView[[#This Row],[_Row]]))&gt;0)</f>
        <v>0</v>
      </c>
      <c r="U144" s="132" t="n">
        <f aca="false">IF(IFERROR(INDEX(tsk_Name,GanttView[[#This Row],[_Row]])="",TRUE()),0,N(INDEX(tsk_Deadline,GanttView[[#This Row],[_Row]])))</f>
        <v>0</v>
      </c>
      <c r="V144" s="131" t="b">
        <f aca="false">IF(IFERROR(INDEX(tsk_Name,GanttView[[#This Row],[_Row]])="",TRUE()),FALSE(),INDEX(tsk_Critical,GanttView[[#This Row],[_Row]])="Yes")</f>
        <v>0</v>
      </c>
    </row>
    <row r="145" customFormat="false" ht="15" hidden="false" customHeight="false" outlineLevel="0" collapsed="false">
      <c r="A145" s="126" t="str">
        <f aca="false">IF(IFERROR(INDEX(tsk_Name,GanttView[[#This Row],[_Row]])="",TRUE()),"",INDEX(tsk_ID,GanttView[[#This Row],[_Row]]))</f>
        <v/>
      </c>
      <c r="B145" s="126" t="str">
        <f aca="false">IF(IFERROR(INDEX(tsk_Name,GanttView[[#This Row],[_Row]])="",TRUE()),"",INDEX(tsk_WBS,GanttView[[#This Row],[_Row]]))</f>
        <v/>
      </c>
      <c r="C145" s="127" t="str">
        <f aca="false">IF(IFERROR(INDEX(tsk_Name,GanttView[[#This Row],[_Row]])="",TRUE()),"",REPT("    ",INDEX(tsk_Level,GanttView[[#This Row],[_Row]])-1)&amp;INDEX(tsk_Name,GanttView[[#This Row],[_Row]]))</f>
        <v/>
      </c>
      <c r="D145" s="126" t="str">
        <f aca="false">IF(IFERROR(INDEX(tsk_Name,GanttView[[#This Row],[_Row]])="",TRUE()),"",IF(INDEX(tsk_IsSummary,GanttView[[#This Row],[_Row]]),NETWORKDAYS.INTL(INDEX(tsk_FcStart,GanttView[[#This Row],[_Row]]),INDEX(tsk_FcFinish,GanttView[[#This Row],[_Row]]),WorkWeek,Holidays),N(INDEX(tsk_Duration,GanttView[[#This Row],[_Row]]))))</f>
        <v/>
      </c>
      <c r="E145" s="128" t="str">
        <f aca="false">IF(IFERROR(INDEX(tsk_Name,GanttView[[#This Row],[_Row]])="",TRUE()),"",INDEX(tsk_PlanStart,GanttView[[#This Row],[_Row]]))</f>
        <v/>
      </c>
      <c r="F145" s="128" t="str">
        <f aca="false">IF(IFERROR(INDEX(tsk_Name,GanttView[[#This Row],[_Row]])="",TRUE()),"",INDEX(tsk_PlanFinish,GanttView[[#This Row],[_Row]]))</f>
        <v/>
      </c>
      <c r="G145" s="128" t="str">
        <f aca="false">IF(IFERROR(INDEX(tsk_Name,GanttView[[#This Row],[_Row]])="",TRUE()),"",INDEX(tsk_FcStart,GanttView[[#This Row],[_Row]]))</f>
        <v/>
      </c>
      <c r="H145" s="128" t="str">
        <f aca="false">IF(IFERROR(INDEX(tsk_Name,GanttView[[#This Row],[_Row]])="",TRUE()),"",INDEX(tsk_FcFinish,GanttView[[#This Row],[_Row]]))</f>
        <v/>
      </c>
      <c r="I145" s="129" t="str">
        <f aca="false">IF(IFERROR(INDEX(tsk_Name,GanttView[[#This Row],[_Row]])="",TRUE()),"",INDEX(tsk_Progress,GanttView[[#This Row],[_Row]]))</f>
        <v/>
      </c>
      <c r="J145" s="127" t="str">
        <f aca="false">IF(IFERROR(INDEX(tsk_Name,GanttView[[#This Row],[_Row]])="",TRUE()),"",INDEX(tsk_ResourceNames,GanttView[[#This Row],[_Row]])&amp;"")</f>
        <v/>
      </c>
      <c r="K145" s="126" t="str">
        <f aca="false">IF(IFERROR(INDEX(tsk_Name,GanttView[[#This Row],[_Row]])="",TRUE()),"",INDEX(tsk_Status,GanttView[[#This Row],[_Row]]))</f>
        <v/>
      </c>
      <c r="L145" s="126" t="str">
        <f aca="false">IF(IFERROR(INDEX(tsk_Name,GanttView[[#This Row],[_Row]])="",TRUE()),"",INDEX(tsk_Show,GanttView[[#This Row],[_Row]])&amp;"")</f>
        <v/>
      </c>
      <c r="M145" s="130" t="n">
        <f aca="false">ROW()-ROW(GanttView[[#Headers],[ID]])</f>
        <v>140</v>
      </c>
      <c r="N145" s="131" t="b">
        <f aca="false">IF(IFERROR(INDEX(tsk_Name,GanttView[[#This Row],[_Row]])="",TRUE()),FALSE(),INDEX(tsk_IsSummary,GanttView[[#This Row],[_Row]]))</f>
        <v>0</v>
      </c>
      <c r="O145" s="131" t="b">
        <f aca="false">IF(IFERROR(INDEX(tsk_Name,GanttView[[#This Row],[_Row]])="",TRUE()),FALSE(),AND(INDEX(tsk_IsLeaf,GanttView[[#This Row],[_Row]])=1,N(INDEX(tsk_Duration,GanttView[[#This Row],[_Row]]))=0))</f>
        <v>0</v>
      </c>
      <c r="P145" s="132" t="n">
        <f aca="false">IF(IFERROR(INDEX(tsk_Name,GanttView[[#This Row],[_Row]])="",TRUE()),0,IF(AND(INDEX(tsk_IsLeaf,GanttView[[#This Row],[_Row]])=1,NOT(GanttView[[#This Row],[_IsMilestone]]),N(GanttView[[#This Row],[%]])&gt;0),GanttView[[#This Row],[Forecast Start]],0))</f>
        <v>0</v>
      </c>
      <c r="Q145" s="132" t="n">
        <f aca="false">IF(GanttView[[#This Row],[_DoneFrom]]=0,0,IF(GanttView[[#This Row],[%]]&gt;=1,GanttView[[#This Row],[Forecast Finish]],MAX(GanttView[[#This Row],[_DoneFrom]],GanttView[[#This Row],[Forecast Start]]+ROUND((GanttView[[#This Row],[Forecast Finish]]-GanttView[[#This Row],[Forecast Start]]+1)*GanttView[[#This Row],[%]],0)-1)))</f>
        <v>0</v>
      </c>
      <c r="R145" s="132" t="n">
        <f aca="false">IF(IFERROR(INDEX(tsk_Name,GanttView[[#This Row],[_Row]])="",TRUE()),0,IF(OR(INDEX(tsk_IsLeaf,GanttView[[#This Row],[_Row]])&lt;&gt;1,GanttView[[#This Row],[_IsMilestone]],N(GanttView[[#This Row],[%]])&gt;=1),0,IF(GanttView[[#This Row],[_DoneTo]]&gt;0,GanttView[[#This Row],[_DoneTo]]+1,GanttView[[#This Row],[Forecast Start]])))</f>
        <v>0</v>
      </c>
      <c r="S145" s="132" t="n">
        <f aca="false">IF(GanttView[[#This Row],[_RemFrom]]=0,0,GanttView[[#This Row],[Forecast Finish]])</f>
        <v>0</v>
      </c>
      <c r="T145" s="131" t="b">
        <f aca="false">IF(IFERROR(INDEX(tsk_Name,GanttView[[#This Row],[_Row]])="",TRUE()),FALSE(),N(INDEX(tsk_Variance,GanttView[[#This Row],[_Row]]))&gt;0)</f>
        <v>0</v>
      </c>
      <c r="U145" s="132" t="n">
        <f aca="false">IF(IFERROR(INDEX(tsk_Name,GanttView[[#This Row],[_Row]])="",TRUE()),0,N(INDEX(tsk_Deadline,GanttView[[#This Row],[_Row]])))</f>
        <v>0</v>
      </c>
      <c r="V145" s="131" t="b">
        <f aca="false">IF(IFERROR(INDEX(tsk_Name,GanttView[[#This Row],[_Row]])="",TRUE()),FALSE(),INDEX(tsk_Critical,GanttView[[#This Row],[_Row]])="Yes")</f>
        <v>0</v>
      </c>
    </row>
    <row r="146" customFormat="false" ht="15" hidden="false" customHeight="false" outlineLevel="0" collapsed="false">
      <c r="A146" s="126" t="str">
        <f aca="false">IF(IFERROR(INDEX(tsk_Name,GanttView[[#This Row],[_Row]])="",TRUE()),"",INDEX(tsk_ID,GanttView[[#This Row],[_Row]]))</f>
        <v/>
      </c>
      <c r="B146" s="126" t="str">
        <f aca="false">IF(IFERROR(INDEX(tsk_Name,GanttView[[#This Row],[_Row]])="",TRUE()),"",INDEX(tsk_WBS,GanttView[[#This Row],[_Row]]))</f>
        <v/>
      </c>
      <c r="C146" s="127" t="str">
        <f aca="false">IF(IFERROR(INDEX(tsk_Name,GanttView[[#This Row],[_Row]])="",TRUE()),"",REPT("    ",INDEX(tsk_Level,GanttView[[#This Row],[_Row]])-1)&amp;INDEX(tsk_Name,GanttView[[#This Row],[_Row]]))</f>
        <v/>
      </c>
      <c r="D146" s="126" t="str">
        <f aca="false">IF(IFERROR(INDEX(tsk_Name,GanttView[[#This Row],[_Row]])="",TRUE()),"",IF(INDEX(tsk_IsSummary,GanttView[[#This Row],[_Row]]),NETWORKDAYS.INTL(INDEX(tsk_FcStart,GanttView[[#This Row],[_Row]]),INDEX(tsk_FcFinish,GanttView[[#This Row],[_Row]]),WorkWeek,Holidays),N(INDEX(tsk_Duration,GanttView[[#This Row],[_Row]]))))</f>
        <v/>
      </c>
      <c r="E146" s="128" t="str">
        <f aca="false">IF(IFERROR(INDEX(tsk_Name,GanttView[[#This Row],[_Row]])="",TRUE()),"",INDEX(tsk_PlanStart,GanttView[[#This Row],[_Row]]))</f>
        <v/>
      </c>
      <c r="F146" s="128" t="str">
        <f aca="false">IF(IFERROR(INDEX(tsk_Name,GanttView[[#This Row],[_Row]])="",TRUE()),"",INDEX(tsk_PlanFinish,GanttView[[#This Row],[_Row]]))</f>
        <v/>
      </c>
      <c r="G146" s="128" t="str">
        <f aca="false">IF(IFERROR(INDEX(tsk_Name,GanttView[[#This Row],[_Row]])="",TRUE()),"",INDEX(tsk_FcStart,GanttView[[#This Row],[_Row]]))</f>
        <v/>
      </c>
      <c r="H146" s="128" t="str">
        <f aca="false">IF(IFERROR(INDEX(tsk_Name,GanttView[[#This Row],[_Row]])="",TRUE()),"",INDEX(tsk_FcFinish,GanttView[[#This Row],[_Row]]))</f>
        <v/>
      </c>
      <c r="I146" s="129" t="str">
        <f aca="false">IF(IFERROR(INDEX(tsk_Name,GanttView[[#This Row],[_Row]])="",TRUE()),"",INDEX(tsk_Progress,GanttView[[#This Row],[_Row]]))</f>
        <v/>
      </c>
      <c r="J146" s="127" t="str">
        <f aca="false">IF(IFERROR(INDEX(tsk_Name,GanttView[[#This Row],[_Row]])="",TRUE()),"",INDEX(tsk_ResourceNames,GanttView[[#This Row],[_Row]])&amp;"")</f>
        <v/>
      </c>
      <c r="K146" s="126" t="str">
        <f aca="false">IF(IFERROR(INDEX(tsk_Name,GanttView[[#This Row],[_Row]])="",TRUE()),"",INDEX(tsk_Status,GanttView[[#This Row],[_Row]]))</f>
        <v/>
      </c>
      <c r="L146" s="126" t="str">
        <f aca="false">IF(IFERROR(INDEX(tsk_Name,GanttView[[#This Row],[_Row]])="",TRUE()),"",INDEX(tsk_Show,GanttView[[#This Row],[_Row]])&amp;"")</f>
        <v/>
      </c>
      <c r="M146" s="130" t="n">
        <f aca="false">ROW()-ROW(GanttView[[#Headers],[ID]])</f>
        <v>141</v>
      </c>
      <c r="N146" s="131" t="b">
        <f aca="false">IF(IFERROR(INDEX(tsk_Name,GanttView[[#This Row],[_Row]])="",TRUE()),FALSE(),INDEX(tsk_IsSummary,GanttView[[#This Row],[_Row]]))</f>
        <v>0</v>
      </c>
      <c r="O146" s="131" t="b">
        <f aca="false">IF(IFERROR(INDEX(tsk_Name,GanttView[[#This Row],[_Row]])="",TRUE()),FALSE(),AND(INDEX(tsk_IsLeaf,GanttView[[#This Row],[_Row]])=1,N(INDEX(tsk_Duration,GanttView[[#This Row],[_Row]]))=0))</f>
        <v>0</v>
      </c>
      <c r="P146" s="132" t="n">
        <f aca="false">IF(IFERROR(INDEX(tsk_Name,GanttView[[#This Row],[_Row]])="",TRUE()),0,IF(AND(INDEX(tsk_IsLeaf,GanttView[[#This Row],[_Row]])=1,NOT(GanttView[[#This Row],[_IsMilestone]]),N(GanttView[[#This Row],[%]])&gt;0),GanttView[[#This Row],[Forecast Start]],0))</f>
        <v>0</v>
      </c>
      <c r="Q146" s="132" t="n">
        <f aca="false">IF(GanttView[[#This Row],[_DoneFrom]]=0,0,IF(GanttView[[#This Row],[%]]&gt;=1,GanttView[[#This Row],[Forecast Finish]],MAX(GanttView[[#This Row],[_DoneFrom]],GanttView[[#This Row],[Forecast Start]]+ROUND((GanttView[[#This Row],[Forecast Finish]]-GanttView[[#This Row],[Forecast Start]]+1)*GanttView[[#This Row],[%]],0)-1)))</f>
        <v>0</v>
      </c>
      <c r="R146" s="132" t="n">
        <f aca="false">IF(IFERROR(INDEX(tsk_Name,GanttView[[#This Row],[_Row]])="",TRUE()),0,IF(OR(INDEX(tsk_IsLeaf,GanttView[[#This Row],[_Row]])&lt;&gt;1,GanttView[[#This Row],[_IsMilestone]],N(GanttView[[#This Row],[%]])&gt;=1),0,IF(GanttView[[#This Row],[_DoneTo]]&gt;0,GanttView[[#This Row],[_DoneTo]]+1,GanttView[[#This Row],[Forecast Start]])))</f>
        <v>0</v>
      </c>
      <c r="S146" s="132" t="n">
        <f aca="false">IF(GanttView[[#This Row],[_RemFrom]]=0,0,GanttView[[#This Row],[Forecast Finish]])</f>
        <v>0</v>
      </c>
      <c r="T146" s="131" t="b">
        <f aca="false">IF(IFERROR(INDEX(tsk_Name,GanttView[[#This Row],[_Row]])="",TRUE()),FALSE(),N(INDEX(tsk_Variance,GanttView[[#This Row],[_Row]]))&gt;0)</f>
        <v>0</v>
      </c>
      <c r="U146" s="132" t="n">
        <f aca="false">IF(IFERROR(INDEX(tsk_Name,GanttView[[#This Row],[_Row]])="",TRUE()),0,N(INDEX(tsk_Deadline,GanttView[[#This Row],[_Row]])))</f>
        <v>0</v>
      </c>
      <c r="V146" s="131" t="b">
        <f aca="false">IF(IFERROR(INDEX(tsk_Name,GanttView[[#This Row],[_Row]])="",TRUE()),FALSE(),INDEX(tsk_Critical,GanttView[[#This Row],[_Row]])="Yes")</f>
        <v>0</v>
      </c>
    </row>
    <row r="147" customFormat="false" ht="15" hidden="false" customHeight="false" outlineLevel="0" collapsed="false">
      <c r="A147" s="126" t="str">
        <f aca="false">IF(IFERROR(INDEX(tsk_Name,GanttView[[#This Row],[_Row]])="",TRUE()),"",INDEX(tsk_ID,GanttView[[#This Row],[_Row]]))</f>
        <v/>
      </c>
      <c r="B147" s="126" t="str">
        <f aca="false">IF(IFERROR(INDEX(tsk_Name,GanttView[[#This Row],[_Row]])="",TRUE()),"",INDEX(tsk_WBS,GanttView[[#This Row],[_Row]]))</f>
        <v/>
      </c>
      <c r="C147" s="127" t="str">
        <f aca="false">IF(IFERROR(INDEX(tsk_Name,GanttView[[#This Row],[_Row]])="",TRUE()),"",REPT("    ",INDEX(tsk_Level,GanttView[[#This Row],[_Row]])-1)&amp;INDEX(tsk_Name,GanttView[[#This Row],[_Row]]))</f>
        <v/>
      </c>
      <c r="D147" s="126" t="str">
        <f aca="false">IF(IFERROR(INDEX(tsk_Name,GanttView[[#This Row],[_Row]])="",TRUE()),"",IF(INDEX(tsk_IsSummary,GanttView[[#This Row],[_Row]]),NETWORKDAYS.INTL(INDEX(tsk_FcStart,GanttView[[#This Row],[_Row]]),INDEX(tsk_FcFinish,GanttView[[#This Row],[_Row]]),WorkWeek,Holidays),N(INDEX(tsk_Duration,GanttView[[#This Row],[_Row]]))))</f>
        <v/>
      </c>
      <c r="E147" s="128" t="str">
        <f aca="false">IF(IFERROR(INDEX(tsk_Name,GanttView[[#This Row],[_Row]])="",TRUE()),"",INDEX(tsk_PlanStart,GanttView[[#This Row],[_Row]]))</f>
        <v/>
      </c>
      <c r="F147" s="128" t="str">
        <f aca="false">IF(IFERROR(INDEX(tsk_Name,GanttView[[#This Row],[_Row]])="",TRUE()),"",INDEX(tsk_PlanFinish,GanttView[[#This Row],[_Row]]))</f>
        <v/>
      </c>
      <c r="G147" s="128" t="str">
        <f aca="false">IF(IFERROR(INDEX(tsk_Name,GanttView[[#This Row],[_Row]])="",TRUE()),"",INDEX(tsk_FcStart,GanttView[[#This Row],[_Row]]))</f>
        <v/>
      </c>
      <c r="H147" s="128" t="str">
        <f aca="false">IF(IFERROR(INDEX(tsk_Name,GanttView[[#This Row],[_Row]])="",TRUE()),"",INDEX(tsk_FcFinish,GanttView[[#This Row],[_Row]]))</f>
        <v/>
      </c>
      <c r="I147" s="129" t="str">
        <f aca="false">IF(IFERROR(INDEX(tsk_Name,GanttView[[#This Row],[_Row]])="",TRUE()),"",INDEX(tsk_Progress,GanttView[[#This Row],[_Row]]))</f>
        <v/>
      </c>
      <c r="J147" s="127" t="str">
        <f aca="false">IF(IFERROR(INDEX(tsk_Name,GanttView[[#This Row],[_Row]])="",TRUE()),"",INDEX(tsk_ResourceNames,GanttView[[#This Row],[_Row]])&amp;"")</f>
        <v/>
      </c>
      <c r="K147" s="126" t="str">
        <f aca="false">IF(IFERROR(INDEX(tsk_Name,GanttView[[#This Row],[_Row]])="",TRUE()),"",INDEX(tsk_Status,GanttView[[#This Row],[_Row]]))</f>
        <v/>
      </c>
      <c r="L147" s="126" t="str">
        <f aca="false">IF(IFERROR(INDEX(tsk_Name,GanttView[[#This Row],[_Row]])="",TRUE()),"",INDEX(tsk_Show,GanttView[[#This Row],[_Row]])&amp;"")</f>
        <v/>
      </c>
      <c r="M147" s="130" t="n">
        <f aca="false">ROW()-ROW(GanttView[[#Headers],[ID]])</f>
        <v>142</v>
      </c>
      <c r="N147" s="131" t="b">
        <f aca="false">IF(IFERROR(INDEX(tsk_Name,GanttView[[#This Row],[_Row]])="",TRUE()),FALSE(),INDEX(tsk_IsSummary,GanttView[[#This Row],[_Row]]))</f>
        <v>0</v>
      </c>
      <c r="O147" s="131" t="b">
        <f aca="false">IF(IFERROR(INDEX(tsk_Name,GanttView[[#This Row],[_Row]])="",TRUE()),FALSE(),AND(INDEX(tsk_IsLeaf,GanttView[[#This Row],[_Row]])=1,N(INDEX(tsk_Duration,GanttView[[#This Row],[_Row]]))=0))</f>
        <v>0</v>
      </c>
      <c r="P147" s="132" t="n">
        <f aca="false">IF(IFERROR(INDEX(tsk_Name,GanttView[[#This Row],[_Row]])="",TRUE()),0,IF(AND(INDEX(tsk_IsLeaf,GanttView[[#This Row],[_Row]])=1,NOT(GanttView[[#This Row],[_IsMilestone]]),N(GanttView[[#This Row],[%]])&gt;0),GanttView[[#This Row],[Forecast Start]],0))</f>
        <v>0</v>
      </c>
      <c r="Q147" s="132" t="n">
        <f aca="false">IF(GanttView[[#This Row],[_DoneFrom]]=0,0,IF(GanttView[[#This Row],[%]]&gt;=1,GanttView[[#This Row],[Forecast Finish]],MAX(GanttView[[#This Row],[_DoneFrom]],GanttView[[#This Row],[Forecast Start]]+ROUND((GanttView[[#This Row],[Forecast Finish]]-GanttView[[#This Row],[Forecast Start]]+1)*GanttView[[#This Row],[%]],0)-1)))</f>
        <v>0</v>
      </c>
      <c r="R147" s="132" t="n">
        <f aca="false">IF(IFERROR(INDEX(tsk_Name,GanttView[[#This Row],[_Row]])="",TRUE()),0,IF(OR(INDEX(tsk_IsLeaf,GanttView[[#This Row],[_Row]])&lt;&gt;1,GanttView[[#This Row],[_IsMilestone]],N(GanttView[[#This Row],[%]])&gt;=1),0,IF(GanttView[[#This Row],[_DoneTo]]&gt;0,GanttView[[#This Row],[_DoneTo]]+1,GanttView[[#This Row],[Forecast Start]])))</f>
        <v>0</v>
      </c>
      <c r="S147" s="132" t="n">
        <f aca="false">IF(GanttView[[#This Row],[_RemFrom]]=0,0,GanttView[[#This Row],[Forecast Finish]])</f>
        <v>0</v>
      </c>
      <c r="T147" s="131" t="b">
        <f aca="false">IF(IFERROR(INDEX(tsk_Name,GanttView[[#This Row],[_Row]])="",TRUE()),FALSE(),N(INDEX(tsk_Variance,GanttView[[#This Row],[_Row]]))&gt;0)</f>
        <v>0</v>
      </c>
      <c r="U147" s="132" t="n">
        <f aca="false">IF(IFERROR(INDEX(tsk_Name,GanttView[[#This Row],[_Row]])="",TRUE()),0,N(INDEX(tsk_Deadline,GanttView[[#This Row],[_Row]])))</f>
        <v>0</v>
      </c>
      <c r="V147" s="131" t="b">
        <f aca="false">IF(IFERROR(INDEX(tsk_Name,GanttView[[#This Row],[_Row]])="",TRUE()),FALSE(),INDEX(tsk_Critical,GanttView[[#This Row],[_Row]])="Yes")</f>
        <v>0</v>
      </c>
    </row>
    <row r="148" customFormat="false" ht="15" hidden="false" customHeight="false" outlineLevel="0" collapsed="false">
      <c r="A148" s="126" t="str">
        <f aca="false">IF(IFERROR(INDEX(tsk_Name,GanttView[[#This Row],[_Row]])="",TRUE()),"",INDEX(tsk_ID,GanttView[[#This Row],[_Row]]))</f>
        <v/>
      </c>
      <c r="B148" s="126" t="str">
        <f aca="false">IF(IFERROR(INDEX(tsk_Name,GanttView[[#This Row],[_Row]])="",TRUE()),"",INDEX(tsk_WBS,GanttView[[#This Row],[_Row]]))</f>
        <v/>
      </c>
      <c r="C148" s="127" t="str">
        <f aca="false">IF(IFERROR(INDEX(tsk_Name,GanttView[[#This Row],[_Row]])="",TRUE()),"",REPT("    ",INDEX(tsk_Level,GanttView[[#This Row],[_Row]])-1)&amp;INDEX(tsk_Name,GanttView[[#This Row],[_Row]]))</f>
        <v/>
      </c>
      <c r="D148" s="126" t="str">
        <f aca="false">IF(IFERROR(INDEX(tsk_Name,GanttView[[#This Row],[_Row]])="",TRUE()),"",IF(INDEX(tsk_IsSummary,GanttView[[#This Row],[_Row]]),NETWORKDAYS.INTL(INDEX(tsk_FcStart,GanttView[[#This Row],[_Row]]),INDEX(tsk_FcFinish,GanttView[[#This Row],[_Row]]),WorkWeek,Holidays),N(INDEX(tsk_Duration,GanttView[[#This Row],[_Row]]))))</f>
        <v/>
      </c>
      <c r="E148" s="128" t="str">
        <f aca="false">IF(IFERROR(INDEX(tsk_Name,GanttView[[#This Row],[_Row]])="",TRUE()),"",INDEX(tsk_PlanStart,GanttView[[#This Row],[_Row]]))</f>
        <v/>
      </c>
      <c r="F148" s="128" t="str">
        <f aca="false">IF(IFERROR(INDEX(tsk_Name,GanttView[[#This Row],[_Row]])="",TRUE()),"",INDEX(tsk_PlanFinish,GanttView[[#This Row],[_Row]]))</f>
        <v/>
      </c>
      <c r="G148" s="128" t="str">
        <f aca="false">IF(IFERROR(INDEX(tsk_Name,GanttView[[#This Row],[_Row]])="",TRUE()),"",INDEX(tsk_FcStart,GanttView[[#This Row],[_Row]]))</f>
        <v/>
      </c>
      <c r="H148" s="128" t="str">
        <f aca="false">IF(IFERROR(INDEX(tsk_Name,GanttView[[#This Row],[_Row]])="",TRUE()),"",INDEX(tsk_FcFinish,GanttView[[#This Row],[_Row]]))</f>
        <v/>
      </c>
      <c r="I148" s="129" t="str">
        <f aca="false">IF(IFERROR(INDEX(tsk_Name,GanttView[[#This Row],[_Row]])="",TRUE()),"",INDEX(tsk_Progress,GanttView[[#This Row],[_Row]]))</f>
        <v/>
      </c>
      <c r="J148" s="127" t="str">
        <f aca="false">IF(IFERROR(INDEX(tsk_Name,GanttView[[#This Row],[_Row]])="",TRUE()),"",INDEX(tsk_ResourceNames,GanttView[[#This Row],[_Row]])&amp;"")</f>
        <v/>
      </c>
      <c r="K148" s="126" t="str">
        <f aca="false">IF(IFERROR(INDEX(tsk_Name,GanttView[[#This Row],[_Row]])="",TRUE()),"",INDEX(tsk_Status,GanttView[[#This Row],[_Row]]))</f>
        <v/>
      </c>
      <c r="L148" s="126" t="str">
        <f aca="false">IF(IFERROR(INDEX(tsk_Name,GanttView[[#This Row],[_Row]])="",TRUE()),"",INDEX(tsk_Show,GanttView[[#This Row],[_Row]])&amp;"")</f>
        <v/>
      </c>
      <c r="M148" s="130" t="n">
        <f aca="false">ROW()-ROW(GanttView[[#Headers],[ID]])</f>
        <v>143</v>
      </c>
      <c r="N148" s="131" t="b">
        <f aca="false">IF(IFERROR(INDEX(tsk_Name,GanttView[[#This Row],[_Row]])="",TRUE()),FALSE(),INDEX(tsk_IsSummary,GanttView[[#This Row],[_Row]]))</f>
        <v>0</v>
      </c>
      <c r="O148" s="131" t="b">
        <f aca="false">IF(IFERROR(INDEX(tsk_Name,GanttView[[#This Row],[_Row]])="",TRUE()),FALSE(),AND(INDEX(tsk_IsLeaf,GanttView[[#This Row],[_Row]])=1,N(INDEX(tsk_Duration,GanttView[[#This Row],[_Row]]))=0))</f>
        <v>0</v>
      </c>
      <c r="P148" s="132" t="n">
        <f aca="false">IF(IFERROR(INDEX(tsk_Name,GanttView[[#This Row],[_Row]])="",TRUE()),0,IF(AND(INDEX(tsk_IsLeaf,GanttView[[#This Row],[_Row]])=1,NOT(GanttView[[#This Row],[_IsMilestone]]),N(GanttView[[#This Row],[%]])&gt;0),GanttView[[#This Row],[Forecast Start]],0))</f>
        <v>0</v>
      </c>
      <c r="Q148" s="132" t="n">
        <f aca="false">IF(GanttView[[#This Row],[_DoneFrom]]=0,0,IF(GanttView[[#This Row],[%]]&gt;=1,GanttView[[#This Row],[Forecast Finish]],MAX(GanttView[[#This Row],[_DoneFrom]],GanttView[[#This Row],[Forecast Start]]+ROUND((GanttView[[#This Row],[Forecast Finish]]-GanttView[[#This Row],[Forecast Start]]+1)*GanttView[[#This Row],[%]],0)-1)))</f>
        <v>0</v>
      </c>
      <c r="R148" s="132" t="n">
        <f aca="false">IF(IFERROR(INDEX(tsk_Name,GanttView[[#This Row],[_Row]])="",TRUE()),0,IF(OR(INDEX(tsk_IsLeaf,GanttView[[#This Row],[_Row]])&lt;&gt;1,GanttView[[#This Row],[_IsMilestone]],N(GanttView[[#This Row],[%]])&gt;=1),0,IF(GanttView[[#This Row],[_DoneTo]]&gt;0,GanttView[[#This Row],[_DoneTo]]+1,GanttView[[#This Row],[Forecast Start]])))</f>
        <v>0</v>
      </c>
      <c r="S148" s="132" t="n">
        <f aca="false">IF(GanttView[[#This Row],[_RemFrom]]=0,0,GanttView[[#This Row],[Forecast Finish]])</f>
        <v>0</v>
      </c>
      <c r="T148" s="131" t="b">
        <f aca="false">IF(IFERROR(INDEX(tsk_Name,GanttView[[#This Row],[_Row]])="",TRUE()),FALSE(),N(INDEX(tsk_Variance,GanttView[[#This Row],[_Row]]))&gt;0)</f>
        <v>0</v>
      </c>
      <c r="U148" s="132" t="n">
        <f aca="false">IF(IFERROR(INDEX(tsk_Name,GanttView[[#This Row],[_Row]])="",TRUE()),0,N(INDEX(tsk_Deadline,GanttView[[#This Row],[_Row]])))</f>
        <v>0</v>
      </c>
      <c r="V148" s="131" t="b">
        <f aca="false">IF(IFERROR(INDEX(tsk_Name,GanttView[[#This Row],[_Row]])="",TRUE()),FALSE(),INDEX(tsk_Critical,GanttView[[#This Row],[_Row]])="Yes")</f>
        <v>0</v>
      </c>
    </row>
    <row r="149" customFormat="false" ht="15" hidden="false" customHeight="false" outlineLevel="0" collapsed="false">
      <c r="A149" s="126" t="str">
        <f aca="false">IF(IFERROR(INDEX(tsk_Name,GanttView[[#This Row],[_Row]])="",TRUE()),"",INDEX(tsk_ID,GanttView[[#This Row],[_Row]]))</f>
        <v/>
      </c>
      <c r="B149" s="126" t="str">
        <f aca="false">IF(IFERROR(INDEX(tsk_Name,GanttView[[#This Row],[_Row]])="",TRUE()),"",INDEX(tsk_WBS,GanttView[[#This Row],[_Row]]))</f>
        <v/>
      </c>
      <c r="C149" s="127" t="str">
        <f aca="false">IF(IFERROR(INDEX(tsk_Name,GanttView[[#This Row],[_Row]])="",TRUE()),"",REPT("    ",INDEX(tsk_Level,GanttView[[#This Row],[_Row]])-1)&amp;INDEX(tsk_Name,GanttView[[#This Row],[_Row]]))</f>
        <v/>
      </c>
      <c r="D149" s="126" t="str">
        <f aca="false">IF(IFERROR(INDEX(tsk_Name,GanttView[[#This Row],[_Row]])="",TRUE()),"",IF(INDEX(tsk_IsSummary,GanttView[[#This Row],[_Row]]),NETWORKDAYS.INTL(INDEX(tsk_FcStart,GanttView[[#This Row],[_Row]]),INDEX(tsk_FcFinish,GanttView[[#This Row],[_Row]]),WorkWeek,Holidays),N(INDEX(tsk_Duration,GanttView[[#This Row],[_Row]]))))</f>
        <v/>
      </c>
      <c r="E149" s="128" t="str">
        <f aca="false">IF(IFERROR(INDEX(tsk_Name,GanttView[[#This Row],[_Row]])="",TRUE()),"",INDEX(tsk_PlanStart,GanttView[[#This Row],[_Row]]))</f>
        <v/>
      </c>
      <c r="F149" s="128" t="str">
        <f aca="false">IF(IFERROR(INDEX(tsk_Name,GanttView[[#This Row],[_Row]])="",TRUE()),"",INDEX(tsk_PlanFinish,GanttView[[#This Row],[_Row]]))</f>
        <v/>
      </c>
      <c r="G149" s="128" t="str">
        <f aca="false">IF(IFERROR(INDEX(tsk_Name,GanttView[[#This Row],[_Row]])="",TRUE()),"",INDEX(tsk_FcStart,GanttView[[#This Row],[_Row]]))</f>
        <v/>
      </c>
      <c r="H149" s="128" t="str">
        <f aca="false">IF(IFERROR(INDEX(tsk_Name,GanttView[[#This Row],[_Row]])="",TRUE()),"",INDEX(tsk_FcFinish,GanttView[[#This Row],[_Row]]))</f>
        <v/>
      </c>
      <c r="I149" s="129" t="str">
        <f aca="false">IF(IFERROR(INDEX(tsk_Name,GanttView[[#This Row],[_Row]])="",TRUE()),"",INDEX(tsk_Progress,GanttView[[#This Row],[_Row]]))</f>
        <v/>
      </c>
      <c r="J149" s="127" t="str">
        <f aca="false">IF(IFERROR(INDEX(tsk_Name,GanttView[[#This Row],[_Row]])="",TRUE()),"",INDEX(tsk_ResourceNames,GanttView[[#This Row],[_Row]])&amp;"")</f>
        <v/>
      </c>
      <c r="K149" s="126" t="str">
        <f aca="false">IF(IFERROR(INDEX(tsk_Name,GanttView[[#This Row],[_Row]])="",TRUE()),"",INDEX(tsk_Status,GanttView[[#This Row],[_Row]]))</f>
        <v/>
      </c>
      <c r="L149" s="126" t="str">
        <f aca="false">IF(IFERROR(INDEX(tsk_Name,GanttView[[#This Row],[_Row]])="",TRUE()),"",INDEX(tsk_Show,GanttView[[#This Row],[_Row]])&amp;"")</f>
        <v/>
      </c>
      <c r="M149" s="130" t="n">
        <f aca="false">ROW()-ROW(GanttView[[#Headers],[ID]])</f>
        <v>144</v>
      </c>
      <c r="N149" s="131" t="b">
        <f aca="false">IF(IFERROR(INDEX(tsk_Name,GanttView[[#This Row],[_Row]])="",TRUE()),FALSE(),INDEX(tsk_IsSummary,GanttView[[#This Row],[_Row]]))</f>
        <v>0</v>
      </c>
      <c r="O149" s="131" t="b">
        <f aca="false">IF(IFERROR(INDEX(tsk_Name,GanttView[[#This Row],[_Row]])="",TRUE()),FALSE(),AND(INDEX(tsk_IsLeaf,GanttView[[#This Row],[_Row]])=1,N(INDEX(tsk_Duration,GanttView[[#This Row],[_Row]]))=0))</f>
        <v>0</v>
      </c>
      <c r="P149" s="132" t="n">
        <f aca="false">IF(IFERROR(INDEX(tsk_Name,GanttView[[#This Row],[_Row]])="",TRUE()),0,IF(AND(INDEX(tsk_IsLeaf,GanttView[[#This Row],[_Row]])=1,NOT(GanttView[[#This Row],[_IsMilestone]]),N(GanttView[[#This Row],[%]])&gt;0),GanttView[[#This Row],[Forecast Start]],0))</f>
        <v>0</v>
      </c>
      <c r="Q149" s="132" t="n">
        <f aca="false">IF(GanttView[[#This Row],[_DoneFrom]]=0,0,IF(GanttView[[#This Row],[%]]&gt;=1,GanttView[[#This Row],[Forecast Finish]],MAX(GanttView[[#This Row],[_DoneFrom]],GanttView[[#This Row],[Forecast Start]]+ROUND((GanttView[[#This Row],[Forecast Finish]]-GanttView[[#This Row],[Forecast Start]]+1)*GanttView[[#This Row],[%]],0)-1)))</f>
        <v>0</v>
      </c>
      <c r="R149" s="132" t="n">
        <f aca="false">IF(IFERROR(INDEX(tsk_Name,GanttView[[#This Row],[_Row]])="",TRUE()),0,IF(OR(INDEX(tsk_IsLeaf,GanttView[[#This Row],[_Row]])&lt;&gt;1,GanttView[[#This Row],[_IsMilestone]],N(GanttView[[#This Row],[%]])&gt;=1),0,IF(GanttView[[#This Row],[_DoneTo]]&gt;0,GanttView[[#This Row],[_DoneTo]]+1,GanttView[[#This Row],[Forecast Start]])))</f>
        <v>0</v>
      </c>
      <c r="S149" s="132" t="n">
        <f aca="false">IF(GanttView[[#This Row],[_RemFrom]]=0,0,GanttView[[#This Row],[Forecast Finish]])</f>
        <v>0</v>
      </c>
      <c r="T149" s="131" t="b">
        <f aca="false">IF(IFERROR(INDEX(tsk_Name,GanttView[[#This Row],[_Row]])="",TRUE()),FALSE(),N(INDEX(tsk_Variance,GanttView[[#This Row],[_Row]]))&gt;0)</f>
        <v>0</v>
      </c>
      <c r="U149" s="132" t="n">
        <f aca="false">IF(IFERROR(INDEX(tsk_Name,GanttView[[#This Row],[_Row]])="",TRUE()),0,N(INDEX(tsk_Deadline,GanttView[[#This Row],[_Row]])))</f>
        <v>0</v>
      </c>
      <c r="V149" s="131" t="b">
        <f aca="false">IF(IFERROR(INDEX(tsk_Name,GanttView[[#This Row],[_Row]])="",TRUE()),FALSE(),INDEX(tsk_Critical,GanttView[[#This Row],[_Row]])="Yes")</f>
        <v>0</v>
      </c>
    </row>
    <row r="150" customFormat="false" ht="15" hidden="false" customHeight="false" outlineLevel="0" collapsed="false">
      <c r="A150" s="126" t="str">
        <f aca="false">IF(IFERROR(INDEX(tsk_Name,GanttView[[#This Row],[_Row]])="",TRUE()),"",INDEX(tsk_ID,GanttView[[#This Row],[_Row]]))</f>
        <v/>
      </c>
      <c r="B150" s="126" t="str">
        <f aca="false">IF(IFERROR(INDEX(tsk_Name,GanttView[[#This Row],[_Row]])="",TRUE()),"",INDEX(tsk_WBS,GanttView[[#This Row],[_Row]]))</f>
        <v/>
      </c>
      <c r="C150" s="127" t="str">
        <f aca="false">IF(IFERROR(INDEX(tsk_Name,GanttView[[#This Row],[_Row]])="",TRUE()),"",REPT("    ",INDEX(tsk_Level,GanttView[[#This Row],[_Row]])-1)&amp;INDEX(tsk_Name,GanttView[[#This Row],[_Row]]))</f>
        <v/>
      </c>
      <c r="D150" s="126" t="str">
        <f aca="false">IF(IFERROR(INDEX(tsk_Name,GanttView[[#This Row],[_Row]])="",TRUE()),"",IF(INDEX(tsk_IsSummary,GanttView[[#This Row],[_Row]]),NETWORKDAYS.INTL(INDEX(tsk_FcStart,GanttView[[#This Row],[_Row]]),INDEX(tsk_FcFinish,GanttView[[#This Row],[_Row]]),WorkWeek,Holidays),N(INDEX(tsk_Duration,GanttView[[#This Row],[_Row]]))))</f>
        <v/>
      </c>
      <c r="E150" s="128" t="str">
        <f aca="false">IF(IFERROR(INDEX(tsk_Name,GanttView[[#This Row],[_Row]])="",TRUE()),"",INDEX(tsk_PlanStart,GanttView[[#This Row],[_Row]]))</f>
        <v/>
      </c>
      <c r="F150" s="128" t="str">
        <f aca="false">IF(IFERROR(INDEX(tsk_Name,GanttView[[#This Row],[_Row]])="",TRUE()),"",INDEX(tsk_PlanFinish,GanttView[[#This Row],[_Row]]))</f>
        <v/>
      </c>
      <c r="G150" s="128" t="str">
        <f aca="false">IF(IFERROR(INDEX(tsk_Name,GanttView[[#This Row],[_Row]])="",TRUE()),"",INDEX(tsk_FcStart,GanttView[[#This Row],[_Row]]))</f>
        <v/>
      </c>
      <c r="H150" s="128" t="str">
        <f aca="false">IF(IFERROR(INDEX(tsk_Name,GanttView[[#This Row],[_Row]])="",TRUE()),"",INDEX(tsk_FcFinish,GanttView[[#This Row],[_Row]]))</f>
        <v/>
      </c>
      <c r="I150" s="129" t="str">
        <f aca="false">IF(IFERROR(INDEX(tsk_Name,GanttView[[#This Row],[_Row]])="",TRUE()),"",INDEX(tsk_Progress,GanttView[[#This Row],[_Row]]))</f>
        <v/>
      </c>
      <c r="J150" s="127" t="str">
        <f aca="false">IF(IFERROR(INDEX(tsk_Name,GanttView[[#This Row],[_Row]])="",TRUE()),"",INDEX(tsk_ResourceNames,GanttView[[#This Row],[_Row]])&amp;"")</f>
        <v/>
      </c>
      <c r="K150" s="126" t="str">
        <f aca="false">IF(IFERROR(INDEX(tsk_Name,GanttView[[#This Row],[_Row]])="",TRUE()),"",INDEX(tsk_Status,GanttView[[#This Row],[_Row]]))</f>
        <v/>
      </c>
      <c r="L150" s="126" t="str">
        <f aca="false">IF(IFERROR(INDEX(tsk_Name,GanttView[[#This Row],[_Row]])="",TRUE()),"",INDEX(tsk_Show,GanttView[[#This Row],[_Row]])&amp;"")</f>
        <v/>
      </c>
      <c r="M150" s="130" t="n">
        <f aca="false">ROW()-ROW(GanttView[[#Headers],[ID]])</f>
        <v>145</v>
      </c>
      <c r="N150" s="131" t="b">
        <f aca="false">IF(IFERROR(INDEX(tsk_Name,GanttView[[#This Row],[_Row]])="",TRUE()),FALSE(),INDEX(tsk_IsSummary,GanttView[[#This Row],[_Row]]))</f>
        <v>0</v>
      </c>
      <c r="O150" s="131" t="b">
        <f aca="false">IF(IFERROR(INDEX(tsk_Name,GanttView[[#This Row],[_Row]])="",TRUE()),FALSE(),AND(INDEX(tsk_IsLeaf,GanttView[[#This Row],[_Row]])=1,N(INDEX(tsk_Duration,GanttView[[#This Row],[_Row]]))=0))</f>
        <v>0</v>
      </c>
      <c r="P150" s="132" t="n">
        <f aca="false">IF(IFERROR(INDEX(tsk_Name,GanttView[[#This Row],[_Row]])="",TRUE()),0,IF(AND(INDEX(tsk_IsLeaf,GanttView[[#This Row],[_Row]])=1,NOT(GanttView[[#This Row],[_IsMilestone]]),N(GanttView[[#This Row],[%]])&gt;0),GanttView[[#This Row],[Forecast Start]],0))</f>
        <v>0</v>
      </c>
      <c r="Q150" s="132" t="n">
        <f aca="false">IF(GanttView[[#This Row],[_DoneFrom]]=0,0,IF(GanttView[[#This Row],[%]]&gt;=1,GanttView[[#This Row],[Forecast Finish]],MAX(GanttView[[#This Row],[_DoneFrom]],GanttView[[#This Row],[Forecast Start]]+ROUND((GanttView[[#This Row],[Forecast Finish]]-GanttView[[#This Row],[Forecast Start]]+1)*GanttView[[#This Row],[%]],0)-1)))</f>
        <v>0</v>
      </c>
      <c r="R150" s="132" t="n">
        <f aca="false">IF(IFERROR(INDEX(tsk_Name,GanttView[[#This Row],[_Row]])="",TRUE()),0,IF(OR(INDEX(tsk_IsLeaf,GanttView[[#This Row],[_Row]])&lt;&gt;1,GanttView[[#This Row],[_IsMilestone]],N(GanttView[[#This Row],[%]])&gt;=1),0,IF(GanttView[[#This Row],[_DoneTo]]&gt;0,GanttView[[#This Row],[_DoneTo]]+1,GanttView[[#This Row],[Forecast Start]])))</f>
        <v>0</v>
      </c>
      <c r="S150" s="132" t="n">
        <f aca="false">IF(GanttView[[#This Row],[_RemFrom]]=0,0,GanttView[[#This Row],[Forecast Finish]])</f>
        <v>0</v>
      </c>
      <c r="T150" s="131" t="b">
        <f aca="false">IF(IFERROR(INDEX(tsk_Name,GanttView[[#This Row],[_Row]])="",TRUE()),FALSE(),N(INDEX(tsk_Variance,GanttView[[#This Row],[_Row]]))&gt;0)</f>
        <v>0</v>
      </c>
      <c r="U150" s="132" t="n">
        <f aca="false">IF(IFERROR(INDEX(tsk_Name,GanttView[[#This Row],[_Row]])="",TRUE()),0,N(INDEX(tsk_Deadline,GanttView[[#This Row],[_Row]])))</f>
        <v>0</v>
      </c>
      <c r="V150" s="131" t="b">
        <f aca="false">IF(IFERROR(INDEX(tsk_Name,GanttView[[#This Row],[_Row]])="",TRUE()),FALSE(),INDEX(tsk_Critical,GanttView[[#This Row],[_Row]])="Yes")</f>
        <v>0</v>
      </c>
    </row>
    <row r="151" customFormat="false" ht="15" hidden="false" customHeight="false" outlineLevel="0" collapsed="false">
      <c r="A151" s="126" t="str">
        <f aca="false">IF(IFERROR(INDEX(tsk_Name,GanttView[[#This Row],[_Row]])="",TRUE()),"",INDEX(tsk_ID,GanttView[[#This Row],[_Row]]))</f>
        <v/>
      </c>
      <c r="B151" s="126" t="str">
        <f aca="false">IF(IFERROR(INDEX(tsk_Name,GanttView[[#This Row],[_Row]])="",TRUE()),"",INDEX(tsk_WBS,GanttView[[#This Row],[_Row]]))</f>
        <v/>
      </c>
      <c r="C151" s="127" t="str">
        <f aca="false">IF(IFERROR(INDEX(tsk_Name,GanttView[[#This Row],[_Row]])="",TRUE()),"",REPT("    ",INDEX(tsk_Level,GanttView[[#This Row],[_Row]])-1)&amp;INDEX(tsk_Name,GanttView[[#This Row],[_Row]]))</f>
        <v/>
      </c>
      <c r="D151" s="126" t="str">
        <f aca="false">IF(IFERROR(INDEX(tsk_Name,GanttView[[#This Row],[_Row]])="",TRUE()),"",IF(INDEX(tsk_IsSummary,GanttView[[#This Row],[_Row]]),NETWORKDAYS.INTL(INDEX(tsk_FcStart,GanttView[[#This Row],[_Row]]),INDEX(tsk_FcFinish,GanttView[[#This Row],[_Row]]),WorkWeek,Holidays),N(INDEX(tsk_Duration,GanttView[[#This Row],[_Row]]))))</f>
        <v/>
      </c>
      <c r="E151" s="128" t="str">
        <f aca="false">IF(IFERROR(INDEX(tsk_Name,GanttView[[#This Row],[_Row]])="",TRUE()),"",INDEX(tsk_PlanStart,GanttView[[#This Row],[_Row]]))</f>
        <v/>
      </c>
      <c r="F151" s="128" t="str">
        <f aca="false">IF(IFERROR(INDEX(tsk_Name,GanttView[[#This Row],[_Row]])="",TRUE()),"",INDEX(tsk_PlanFinish,GanttView[[#This Row],[_Row]]))</f>
        <v/>
      </c>
      <c r="G151" s="128" t="str">
        <f aca="false">IF(IFERROR(INDEX(tsk_Name,GanttView[[#This Row],[_Row]])="",TRUE()),"",INDEX(tsk_FcStart,GanttView[[#This Row],[_Row]]))</f>
        <v/>
      </c>
      <c r="H151" s="128" t="str">
        <f aca="false">IF(IFERROR(INDEX(tsk_Name,GanttView[[#This Row],[_Row]])="",TRUE()),"",INDEX(tsk_FcFinish,GanttView[[#This Row],[_Row]]))</f>
        <v/>
      </c>
      <c r="I151" s="129" t="str">
        <f aca="false">IF(IFERROR(INDEX(tsk_Name,GanttView[[#This Row],[_Row]])="",TRUE()),"",INDEX(tsk_Progress,GanttView[[#This Row],[_Row]]))</f>
        <v/>
      </c>
      <c r="J151" s="127" t="str">
        <f aca="false">IF(IFERROR(INDEX(tsk_Name,GanttView[[#This Row],[_Row]])="",TRUE()),"",INDEX(tsk_ResourceNames,GanttView[[#This Row],[_Row]])&amp;"")</f>
        <v/>
      </c>
      <c r="K151" s="126" t="str">
        <f aca="false">IF(IFERROR(INDEX(tsk_Name,GanttView[[#This Row],[_Row]])="",TRUE()),"",INDEX(tsk_Status,GanttView[[#This Row],[_Row]]))</f>
        <v/>
      </c>
      <c r="L151" s="126" t="str">
        <f aca="false">IF(IFERROR(INDEX(tsk_Name,GanttView[[#This Row],[_Row]])="",TRUE()),"",INDEX(tsk_Show,GanttView[[#This Row],[_Row]])&amp;"")</f>
        <v/>
      </c>
      <c r="M151" s="130" t="n">
        <f aca="false">ROW()-ROW(GanttView[[#Headers],[ID]])</f>
        <v>146</v>
      </c>
      <c r="N151" s="131" t="b">
        <f aca="false">IF(IFERROR(INDEX(tsk_Name,GanttView[[#This Row],[_Row]])="",TRUE()),FALSE(),INDEX(tsk_IsSummary,GanttView[[#This Row],[_Row]]))</f>
        <v>0</v>
      </c>
      <c r="O151" s="131" t="b">
        <f aca="false">IF(IFERROR(INDEX(tsk_Name,GanttView[[#This Row],[_Row]])="",TRUE()),FALSE(),AND(INDEX(tsk_IsLeaf,GanttView[[#This Row],[_Row]])=1,N(INDEX(tsk_Duration,GanttView[[#This Row],[_Row]]))=0))</f>
        <v>0</v>
      </c>
      <c r="P151" s="132" t="n">
        <f aca="false">IF(IFERROR(INDEX(tsk_Name,GanttView[[#This Row],[_Row]])="",TRUE()),0,IF(AND(INDEX(tsk_IsLeaf,GanttView[[#This Row],[_Row]])=1,NOT(GanttView[[#This Row],[_IsMilestone]]),N(GanttView[[#This Row],[%]])&gt;0),GanttView[[#This Row],[Forecast Start]],0))</f>
        <v>0</v>
      </c>
      <c r="Q151" s="132" t="n">
        <f aca="false">IF(GanttView[[#This Row],[_DoneFrom]]=0,0,IF(GanttView[[#This Row],[%]]&gt;=1,GanttView[[#This Row],[Forecast Finish]],MAX(GanttView[[#This Row],[_DoneFrom]],GanttView[[#This Row],[Forecast Start]]+ROUND((GanttView[[#This Row],[Forecast Finish]]-GanttView[[#This Row],[Forecast Start]]+1)*GanttView[[#This Row],[%]],0)-1)))</f>
        <v>0</v>
      </c>
      <c r="R151" s="132" t="n">
        <f aca="false">IF(IFERROR(INDEX(tsk_Name,GanttView[[#This Row],[_Row]])="",TRUE()),0,IF(OR(INDEX(tsk_IsLeaf,GanttView[[#This Row],[_Row]])&lt;&gt;1,GanttView[[#This Row],[_IsMilestone]],N(GanttView[[#This Row],[%]])&gt;=1),0,IF(GanttView[[#This Row],[_DoneTo]]&gt;0,GanttView[[#This Row],[_DoneTo]]+1,GanttView[[#This Row],[Forecast Start]])))</f>
        <v>0</v>
      </c>
      <c r="S151" s="132" t="n">
        <f aca="false">IF(GanttView[[#This Row],[_RemFrom]]=0,0,GanttView[[#This Row],[Forecast Finish]])</f>
        <v>0</v>
      </c>
      <c r="T151" s="131" t="b">
        <f aca="false">IF(IFERROR(INDEX(tsk_Name,GanttView[[#This Row],[_Row]])="",TRUE()),FALSE(),N(INDEX(tsk_Variance,GanttView[[#This Row],[_Row]]))&gt;0)</f>
        <v>0</v>
      </c>
      <c r="U151" s="132" t="n">
        <f aca="false">IF(IFERROR(INDEX(tsk_Name,GanttView[[#This Row],[_Row]])="",TRUE()),0,N(INDEX(tsk_Deadline,GanttView[[#This Row],[_Row]])))</f>
        <v>0</v>
      </c>
      <c r="V151" s="131" t="b">
        <f aca="false">IF(IFERROR(INDEX(tsk_Name,GanttView[[#This Row],[_Row]])="",TRUE()),FALSE(),INDEX(tsk_Critical,GanttView[[#This Row],[_Row]])="Yes")</f>
        <v>0</v>
      </c>
    </row>
    <row r="152" customFormat="false" ht="15" hidden="false" customHeight="false" outlineLevel="0" collapsed="false">
      <c r="A152" s="126" t="str">
        <f aca="false">IF(IFERROR(INDEX(tsk_Name,GanttView[[#This Row],[_Row]])="",TRUE()),"",INDEX(tsk_ID,GanttView[[#This Row],[_Row]]))</f>
        <v/>
      </c>
      <c r="B152" s="126" t="str">
        <f aca="false">IF(IFERROR(INDEX(tsk_Name,GanttView[[#This Row],[_Row]])="",TRUE()),"",INDEX(tsk_WBS,GanttView[[#This Row],[_Row]]))</f>
        <v/>
      </c>
      <c r="C152" s="127" t="str">
        <f aca="false">IF(IFERROR(INDEX(tsk_Name,GanttView[[#This Row],[_Row]])="",TRUE()),"",REPT("    ",INDEX(tsk_Level,GanttView[[#This Row],[_Row]])-1)&amp;INDEX(tsk_Name,GanttView[[#This Row],[_Row]]))</f>
        <v/>
      </c>
      <c r="D152" s="126" t="str">
        <f aca="false">IF(IFERROR(INDEX(tsk_Name,GanttView[[#This Row],[_Row]])="",TRUE()),"",IF(INDEX(tsk_IsSummary,GanttView[[#This Row],[_Row]]),NETWORKDAYS.INTL(INDEX(tsk_FcStart,GanttView[[#This Row],[_Row]]),INDEX(tsk_FcFinish,GanttView[[#This Row],[_Row]]),WorkWeek,Holidays),N(INDEX(tsk_Duration,GanttView[[#This Row],[_Row]]))))</f>
        <v/>
      </c>
      <c r="E152" s="128" t="str">
        <f aca="false">IF(IFERROR(INDEX(tsk_Name,GanttView[[#This Row],[_Row]])="",TRUE()),"",INDEX(tsk_PlanStart,GanttView[[#This Row],[_Row]]))</f>
        <v/>
      </c>
      <c r="F152" s="128" t="str">
        <f aca="false">IF(IFERROR(INDEX(tsk_Name,GanttView[[#This Row],[_Row]])="",TRUE()),"",INDEX(tsk_PlanFinish,GanttView[[#This Row],[_Row]]))</f>
        <v/>
      </c>
      <c r="G152" s="128" t="str">
        <f aca="false">IF(IFERROR(INDEX(tsk_Name,GanttView[[#This Row],[_Row]])="",TRUE()),"",INDEX(tsk_FcStart,GanttView[[#This Row],[_Row]]))</f>
        <v/>
      </c>
      <c r="H152" s="128" t="str">
        <f aca="false">IF(IFERROR(INDEX(tsk_Name,GanttView[[#This Row],[_Row]])="",TRUE()),"",INDEX(tsk_FcFinish,GanttView[[#This Row],[_Row]]))</f>
        <v/>
      </c>
      <c r="I152" s="129" t="str">
        <f aca="false">IF(IFERROR(INDEX(tsk_Name,GanttView[[#This Row],[_Row]])="",TRUE()),"",INDEX(tsk_Progress,GanttView[[#This Row],[_Row]]))</f>
        <v/>
      </c>
      <c r="J152" s="127" t="str">
        <f aca="false">IF(IFERROR(INDEX(tsk_Name,GanttView[[#This Row],[_Row]])="",TRUE()),"",INDEX(tsk_ResourceNames,GanttView[[#This Row],[_Row]])&amp;"")</f>
        <v/>
      </c>
      <c r="K152" s="126" t="str">
        <f aca="false">IF(IFERROR(INDEX(tsk_Name,GanttView[[#This Row],[_Row]])="",TRUE()),"",INDEX(tsk_Status,GanttView[[#This Row],[_Row]]))</f>
        <v/>
      </c>
      <c r="L152" s="126" t="str">
        <f aca="false">IF(IFERROR(INDEX(tsk_Name,GanttView[[#This Row],[_Row]])="",TRUE()),"",INDEX(tsk_Show,GanttView[[#This Row],[_Row]])&amp;"")</f>
        <v/>
      </c>
      <c r="M152" s="130" t="n">
        <f aca="false">ROW()-ROW(GanttView[[#Headers],[ID]])</f>
        <v>147</v>
      </c>
      <c r="N152" s="131" t="b">
        <f aca="false">IF(IFERROR(INDEX(tsk_Name,GanttView[[#This Row],[_Row]])="",TRUE()),FALSE(),INDEX(tsk_IsSummary,GanttView[[#This Row],[_Row]]))</f>
        <v>0</v>
      </c>
      <c r="O152" s="131" t="b">
        <f aca="false">IF(IFERROR(INDEX(tsk_Name,GanttView[[#This Row],[_Row]])="",TRUE()),FALSE(),AND(INDEX(tsk_IsLeaf,GanttView[[#This Row],[_Row]])=1,N(INDEX(tsk_Duration,GanttView[[#This Row],[_Row]]))=0))</f>
        <v>0</v>
      </c>
      <c r="P152" s="132" t="n">
        <f aca="false">IF(IFERROR(INDEX(tsk_Name,GanttView[[#This Row],[_Row]])="",TRUE()),0,IF(AND(INDEX(tsk_IsLeaf,GanttView[[#This Row],[_Row]])=1,NOT(GanttView[[#This Row],[_IsMilestone]]),N(GanttView[[#This Row],[%]])&gt;0),GanttView[[#This Row],[Forecast Start]],0))</f>
        <v>0</v>
      </c>
      <c r="Q152" s="132" t="n">
        <f aca="false">IF(GanttView[[#This Row],[_DoneFrom]]=0,0,IF(GanttView[[#This Row],[%]]&gt;=1,GanttView[[#This Row],[Forecast Finish]],MAX(GanttView[[#This Row],[_DoneFrom]],GanttView[[#This Row],[Forecast Start]]+ROUND((GanttView[[#This Row],[Forecast Finish]]-GanttView[[#This Row],[Forecast Start]]+1)*GanttView[[#This Row],[%]],0)-1)))</f>
        <v>0</v>
      </c>
      <c r="R152" s="132" t="n">
        <f aca="false">IF(IFERROR(INDEX(tsk_Name,GanttView[[#This Row],[_Row]])="",TRUE()),0,IF(OR(INDEX(tsk_IsLeaf,GanttView[[#This Row],[_Row]])&lt;&gt;1,GanttView[[#This Row],[_IsMilestone]],N(GanttView[[#This Row],[%]])&gt;=1),0,IF(GanttView[[#This Row],[_DoneTo]]&gt;0,GanttView[[#This Row],[_DoneTo]]+1,GanttView[[#This Row],[Forecast Start]])))</f>
        <v>0</v>
      </c>
      <c r="S152" s="132" t="n">
        <f aca="false">IF(GanttView[[#This Row],[_RemFrom]]=0,0,GanttView[[#This Row],[Forecast Finish]])</f>
        <v>0</v>
      </c>
      <c r="T152" s="131" t="b">
        <f aca="false">IF(IFERROR(INDEX(tsk_Name,GanttView[[#This Row],[_Row]])="",TRUE()),FALSE(),N(INDEX(tsk_Variance,GanttView[[#This Row],[_Row]]))&gt;0)</f>
        <v>0</v>
      </c>
      <c r="U152" s="132" t="n">
        <f aca="false">IF(IFERROR(INDEX(tsk_Name,GanttView[[#This Row],[_Row]])="",TRUE()),0,N(INDEX(tsk_Deadline,GanttView[[#This Row],[_Row]])))</f>
        <v>0</v>
      </c>
      <c r="V152" s="131" t="b">
        <f aca="false">IF(IFERROR(INDEX(tsk_Name,GanttView[[#This Row],[_Row]])="",TRUE()),FALSE(),INDEX(tsk_Critical,GanttView[[#This Row],[_Row]])="Yes")</f>
        <v>0</v>
      </c>
    </row>
    <row r="153" customFormat="false" ht="15" hidden="false" customHeight="false" outlineLevel="0" collapsed="false">
      <c r="A153" s="126" t="str">
        <f aca="false">IF(IFERROR(INDEX(tsk_Name,GanttView[[#This Row],[_Row]])="",TRUE()),"",INDEX(tsk_ID,GanttView[[#This Row],[_Row]]))</f>
        <v/>
      </c>
      <c r="B153" s="126" t="str">
        <f aca="false">IF(IFERROR(INDEX(tsk_Name,GanttView[[#This Row],[_Row]])="",TRUE()),"",INDEX(tsk_WBS,GanttView[[#This Row],[_Row]]))</f>
        <v/>
      </c>
      <c r="C153" s="127" t="str">
        <f aca="false">IF(IFERROR(INDEX(tsk_Name,GanttView[[#This Row],[_Row]])="",TRUE()),"",REPT("    ",INDEX(tsk_Level,GanttView[[#This Row],[_Row]])-1)&amp;INDEX(tsk_Name,GanttView[[#This Row],[_Row]]))</f>
        <v/>
      </c>
      <c r="D153" s="126" t="str">
        <f aca="false">IF(IFERROR(INDEX(tsk_Name,GanttView[[#This Row],[_Row]])="",TRUE()),"",IF(INDEX(tsk_IsSummary,GanttView[[#This Row],[_Row]]),NETWORKDAYS.INTL(INDEX(tsk_FcStart,GanttView[[#This Row],[_Row]]),INDEX(tsk_FcFinish,GanttView[[#This Row],[_Row]]),WorkWeek,Holidays),N(INDEX(tsk_Duration,GanttView[[#This Row],[_Row]]))))</f>
        <v/>
      </c>
      <c r="E153" s="128" t="str">
        <f aca="false">IF(IFERROR(INDEX(tsk_Name,GanttView[[#This Row],[_Row]])="",TRUE()),"",INDEX(tsk_PlanStart,GanttView[[#This Row],[_Row]]))</f>
        <v/>
      </c>
      <c r="F153" s="128" t="str">
        <f aca="false">IF(IFERROR(INDEX(tsk_Name,GanttView[[#This Row],[_Row]])="",TRUE()),"",INDEX(tsk_PlanFinish,GanttView[[#This Row],[_Row]]))</f>
        <v/>
      </c>
      <c r="G153" s="128" t="str">
        <f aca="false">IF(IFERROR(INDEX(tsk_Name,GanttView[[#This Row],[_Row]])="",TRUE()),"",INDEX(tsk_FcStart,GanttView[[#This Row],[_Row]]))</f>
        <v/>
      </c>
      <c r="H153" s="128" t="str">
        <f aca="false">IF(IFERROR(INDEX(tsk_Name,GanttView[[#This Row],[_Row]])="",TRUE()),"",INDEX(tsk_FcFinish,GanttView[[#This Row],[_Row]]))</f>
        <v/>
      </c>
      <c r="I153" s="129" t="str">
        <f aca="false">IF(IFERROR(INDEX(tsk_Name,GanttView[[#This Row],[_Row]])="",TRUE()),"",INDEX(tsk_Progress,GanttView[[#This Row],[_Row]]))</f>
        <v/>
      </c>
      <c r="J153" s="127" t="str">
        <f aca="false">IF(IFERROR(INDEX(tsk_Name,GanttView[[#This Row],[_Row]])="",TRUE()),"",INDEX(tsk_ResourceNames,GanttView[[#This Row],[_Row]])&amp;"")</f>
        <v/>
      </c>
      <c r="K153" s="126" t="str">
        <f aca="false">IF(IFERROR(INDEX(tsk_Name,GanttView[[#This Row],[_Row]])="",TRUE()),"",INDEX(tsk_Status,GanttView[[#This Row],[_Row]]))</f>
        <v/>
      </c>
      <c r="L153" s="126" t="str">
        <f aca="false">IF(IFERROR(INDEX(tsk_Name,GanttView[[#This Row],[_Row]])="",TRUE()),"",INDEX(tsk_Show,GanttView[[#This Row],[_Row]])&amp;"")</f>
        <v/>
      </c>
      <c r="M153" s="130" t="n">
        <f aca="false">ROW()-ROW(GanttView[[#Headers],[ID]])</f>
        <v>148</v>
      </c>
      <c r="N153" s="131" t="b">
        <f aca="false">IF(IFERROR(INDEX(tsk_Name,GanttView[[#This Row],[_Row]])="",TRUE()),FALSE(),INDEX(tsk_IsSummary,GanttView[[#This Row],[_Row]]))</f>
        <v>0</v>
      </c>
      <c r="O153" s="131" t="b">
        <f aca="false">IF(IFERROR(INDEX(tsk_Name,GanttView[[#This Row],[_Row]])="",TRUE()),FALSE(),AND(INDEX(tsk_IsLeaf,GanttView[[#This Row],[_Row]])=1,N(INDEX(tsk_Duration,GanttView[[#This Row],[_Row]]))=0))</f>
        <v>0</v>
      </c>
      <c r="P153" s="132" t="n">
        <f aca="false">IF(IFERROR(INDEX(tsk_Name,GanttView[[#This Row],[_Row]])="",TRUE()),0,IF(AND(INDEX(tsk_IsLeaf,GanttView[[#This Row],[_Row]])=1,NOT(GanttView[[#This Row],[_IsMilestone]]),N(GanttView[[#This Row],[%]])&gt;0),GanttView[[#This Row],[Forecast Start]],0))</f>
        <v>0</v>
      </c>
      <c r="Q153" s="132" t="n">
        <f aca="false">IF(GanttView[[#This Row],[_DoneFrom]]=0,0,IF(GanttView[[#This Row],[%]]&gt;=1,GanttView[[#This Row],[Forecast Finish]],MAX(GanttView[[#This Row],[_DoneFrom]],GanttView[[#This Row],[Forecast Start]]+ROUND((GanttView[[#This Row],[Forecast Finish]]-GanttView[[#This Row],[Forecast Start]]+1)*GanttView[[#This Row],[%]],0)-1)))</f>
        <v>0</v>
      </c>
      <c r="R153" s="132" t="n">
        <f aca="false">IF(IFERROR(INDEX(tsk_Name,GanttView[[#This Row],[_Row]])="",TRUE()),0,IF(OR(INDEX(tsk_IsLeaf,GanttView[[#This Row],[_Row]])&lt;&gt;1,GanttView[[#This Row],[_IsMilestone]],N(GanttView[[#This Row],[%]])&gt;=1),0,IF(GanttView[[#This Row],[_DoneTo]]&gt;0,GanttView[[#This Row],[_DoneTo]]+1,GanttView[[#This Row],[Forecast Start]])))</f>
        <v>0</v>
      </c>
      <c r="S153" s="132" t="n">
        <f aca="false">IF(GanttView[[#This Row],[_RemFrom]]=0,0,GanttView[[#This Row],[Forecast Finish]])</f>
        <v>0</v>
      </c>
      <c r="T153" s="131" t="b">
        <f aca="false">IF(IFERROR(INDEX(tsk_Name,GanttView[[#This Row],[_Row]])="",TRUE()),FALSE(),N(INDEX(tsk_Variance,GanttView[[#This Row],[_Row]]))&gt;0)</f>
        <v>0</v>
      </c>
      <c r="U153" s="132" t="n">
        <f aca="false">IF(IFERROR(INDEX(tsk_Name,GanttView[[#This Row],[_Row]])="",TRUE()),0,N(INDEX(tsk_Deadline,GanttView[[#This Row],[_Row]])))</f>
        <v>0</v>
      </c>
      <c r="V153" s="131" t="b">
        <f aca="false">IF(IFERROR(INDEX(tsk_Name,GanttView[[#This Row],[_Row]])="",TRUE()),FALSE(),INDEX(tsk_Critical,GanttView[[#This Row],[_Row]])="Yes")</f>
        <v>0</v>
      </c>
    </row>
    <row r="154" customFormat="false" ht="15" hidden="false" customHeight="false" outlineLevel="0" collapsed="false">
      <c r="A154" s="126" t="str">
        <f aca="false">IF(IFERROR(INDEX(tsk_Name,GanttView[[#This Row],[_Row]])="",TRUE()),"",INDEX(tsk_ID,GanttView[[#This Row],[_Row]]))</f>
        <v/>
      </c>
      <c r="B154" s="126" t="str">
        <f aca="false">IF(IFERROR(INDEX(tsk_Name,GanttView[[#This Row],[_Row]])="",TRUE()),"",INDEX(tsk_WBS,GanttView[[#This Row],[_Row]]))</f>
        <v/>
      </c>
      <c r="C154" s="127" t="str">
        <f aca="false">IF(IFERROR(INDEX(tsk_Name,GanttView[[#This Row],[_Row]])="",TRUE()),"",REPT("    ",INDEX(tsk_Level,GanttView[[#This Row],[_Row]])-1)&amp;INDEX(tsk_Name,GanttView[[#This Row],[_Row]]))</f>
        <v/>
      </c>
      <c r="D154" s="126" t="str">
        <f aca="false">IF(IFERROR(INDEX(tsk_Name,GanttView[[#This Row],[_Row]])="",TRUE()),"",IF(INDEX(tsk_IsSummary,GanttView[[#This Row],[_Row]]),NETWORKDAYS.INTL(INDEX(tsk_FcStart,GanttView[[#This Row],[_Row]]),INDEX(tsk_FcFinish,GanttView[[#This Row],[_Row]]),WorkWeek,Holidays),N(INDEX(tsk_Duration,GanttView[[#This Row],[_Row]]))))</f>
        <v/>
      </c>
      <c r="E154" s="128" t="str">
        <f aca="false">IF(IFERROR(INDEX(tsk_Name,GanttView[[#This Row],[_Row]])="",TRUE()),"",INDEX(tsk_PlanStart,GanttView[[#This Row],[_Row]]))</f>
        <v/>
      </c>
      <c r="F154" s="128" t="str">
        <f aca="false">IF(IFERROR(INDEX(tsk_Name,GanttView[[#This Row],[_Row]])="",TRUE()),"",INDEX(tsk_PlanFinish,GanttView[[#This Row],[_Row]]))</f>
        <v/>
      </c>
      <c r="G154" s="128" t="str">
        <f aca="false">IF(IFERROR(INDEX(tsk_Name,GanttView[[#This Row],[_Row]])="",TRUE()),"",INDEX(tsk_FcStart,GanttView[[#This Row],[_Row]]))</f>
        <v/>
      </c>
      <c r="H154" s="128" t="str">
        <f aca="false">IF(IFERROR(INDEX(tsk_Name,GanttView[[#This Row],[_Row]])="",TRUE()),"",INDEX(tsk_FcFinish,GanttView[[#This Row],[_Row]]))</f>
        <v/>
      </c>
      <c r="I154" s="129" t="str">
        <f aca="false">IF(IFERROR(INDEX(tsk_Name,GanttView[[#This Row],[_Row]])="",TRUE()),"",INDEX(tsk_Progress,GanttView[[#This Row],[_Row]]))</f>
        <v/>
      </c>
      <c r="J154" s="127" t="str">
        <f aca="false">IF(IFERROR(INDEX(tsk_Name,GanttView[[#This Row],[_Row]])="",TRUE()),"",INDEX(tsk_ResourceNames,GanttView[[#This Row],[_Row]])&amp;"")</f>
        <v/>
      </c>
      <c r="K154" s="126" t="str">
        <f aca="false">IF(IFERROR(INDEX(tsk_Name,GanttView[[#This Row],[_Row]])="",TRUE()),"",INDEX(tsk_Status,GanttView[[#This Row],[_Row]]))</f>
        <v/>
      </c>
      <c r="L154" s="126" t="str">
        <f aca="false">IF(IFERROR(INDEX(tsk_Name,GanttView[[#This Row],[_Row]])="",TRUE()),"",INDEX(tsk_Show,GanttView[[#This Row],[_Row]])&amp;"")</f>
        <v/>
      </c>
      <c r="M154" s="130" t="n">
        <f aca="false">ROW()-ROW(GanttView[[#Headers],[ID]])</f>
        <v>149</v>
      </c>
      <c r="N154" s="131" t="b">
        <f aca="false">IF(IFERROR(INDEX(tsk_Name,GanttView[[#This Row],[_Row]])="",TRUE()),FALSE(),INDEX(tsk_IsSummary,GanttView[[#This Row],[_Row]]))</f>
        <v>0</v>
      </c>
      <c r="O154" s="131" t="b">
        <f aca="false">IF(IFERROR(INDEX(tsk_Name,GanttView[[#This Row],[_Row]])="",TRUE()),FALSE(),AND(INDEX(tsk_IsLeaf,GanttView[[#This Row],[_Row]])=1,N(INDEX(tsk_Duration,GanttView[[#This Row],[_Row]]))=0))</f>
        <v>0</v>
      </c>
      <c r="P154" s="132" t="n">
        <f aca="false">IF(IFERROR(INDEX(tsk_Name,GanttView[[#This Row],[_Row]])="",TRUE()),0,IF(AND(INDEX(tsk_IsLeaf,GanttView[[#This Row],[_Row]])=1,NOT(GanttView[[#This Row],[_IsMilestone]]),N(GanttView[[#This Row],[%]])&gt;0),GanttView[[#This Row],[Forecast Start]],0))</f>
        <v>0</v>
      </c>
      <c r="Q154" s="132" t="n">
        <f aca="false">IF(GanttView[[#This Row],[_DoneFrom]]=0,0,IF(GanttView[[#This Row],[%]]&gt;=1,GanttView[[#This Row],[Forecast Finish]],MAX(GanttView[[#This Row],[_DoneFrom]],GanttView[[#This Row],[Forecast Start]]+ROUND((GanttView[[#This Row],[Forecast Finish]]-GanttView[[#This Row],[Forecast Start]]+1)*GanttView[[#This Row],[%]],0)-1)))</f>
        <v>0</v>
      </c>
      <c r="R154" s="132" t="n">
        <f aca="false">IF(IFERROR(INDEX(tsk_Name,GanttView[[#This Row],[_Row]])="",TRUE()),0,IF(OR(INDEX(tsk_IsLeaf,GanttView[[#This Row],[_Row]])&lt;&gt;1,GanttView[[#This Row],[_IsMilestone]],N(GanttView[[#This Row],[%]])&gt;=1),0,IF(GanttView[[#This Row],[_DoneTo]]&gt;0,GanttView[[#This Row],[_DoneTo]]+1,GanttView[[#This Row],[Forecast Start]])))</f>
        <v>0</v>
      </c>
      <c r="S154" s="132" t="n">
        <f aca="false">IF(GanttView[[#This Row],[_RemFrom]]=0,0,GanttView[[#This Row],[Forecast Finish]])</f>
        <v>0</v>
      </c>
      <c r="T154" s="131" t="b">
        <f aca="false">IF(IFERROR(INDEX(tsk_Name,GanttView[[#This Row],[_Row]])="",TRUE()),FALSE(),N(INDEX(tsk_Variance,GanttView[[#This Row],[_Row]]))&gt;0)</f>
        <v>0</v>
      </c>
      <c r="U154" s="132" t="n">
        <f aca="false">IF(IFERROR(INDEX(tsk_Name,GanttView[[#This Row],[_Row]])="",TRUE()),0,N(INDEX(tsk_Deadline,GanttView[[#This Row],[_Row]])))</f>
        <v>0</v>
      </c>
      <c r="V154" s="131" t="b">
        <f aca="false">IF(IFERROR(INDEX(tsk_Name,GanttView[[#This Row],[_Row]])="",TRUE()),FALSE(),INDEX(tsk_Critical,GanttView[[#This Row],[_Row]])="Yes")</f>
        <v>0</v>
      </c>
    </row>
    <row r="155" customFormat="false" ht="15" hidden="false" customHeight="false" outlineLevel="0" collapsed="false">
      <c r="A155" s="126" t="str">
        <f aca="false">IF(IFERROR(INDEX(tsk_Name,GanttView[[#This Row],[_Row]])="",TRUE()),"",INDEX(tsk_ID,GanttView[[#This Row],[_Row]]))</f>
        <v/>
      </c>
      <c r="B155" s="126" t="str">
        <f aca="false">IF(IFERROR(INDEX(tsk_Name,GanttView[[#This Row],[_Row]])="",TRUE()),"",INDEX(tsk_WBS,GanttView[[#This Row],[_Row]]))</f>
        <v/>
      </c>
      <c r="C155" s="127" t="str">
        <f aca="false">IF(IFERROR(INDEX(tsk_Name,GanttView[[#This Row],[_Row]])="",TRUE()),"",REPT("    ",INDEX(tsk_Level,GanttView[[#This Row],[_Row]])-1)&amp;INDEX(tsk_Name,GanttView[[#This Row],[_Row]]))</f>
        <v/>
      </c>
      <c r="D155" s="126" t="str">
        <f aca="false">IF(IFERROR(INDEX(tsk_Name,GanttView[[#This Row],[_Row]])="",TRUE()),"",IF(INDEX(tsk_IsSummary,GanttView[[#This Row],[_Row]]),NETWORKDAYS.INTL(INDEX(tsk_FcStart,GanttView[[#This Row],[_Row]]),INDEX(tsk_FcFinish,GanttView[[#This Row],[_Row]]),WorkWeek,Holidays),N(INDEX(tsk_Duration,GanttView[[#This Row],[_Row]]))))</f>
        <v/>
      </c>
      <c r="E155" s="128" t="str">
        <f aca="false">IF(IFERROR(INDEX(tsk_Name,GanttView[[#This Row],[_Row]])="",TRUE()),"",INDEX(tsk_PlanStart,GanttView[[#This Row],[_Row]]))</f>
        <v/>
      </c>
      <c r="F155" s="128" t="str">
        <f aca="false">IF(IFERROR(INDEX(tsk_Name,GanttView[[#This Row],[_Row]])="",TRUE()),"",INDEX(tsk_PlanFinish,GanttView[[#This Row],[_Row]]))</f>
        <v/>
      </c>
      <c r="G155" s="128" t="str">
        <f aca="false">IF(IFERROR(INDEX(tsk_Name,GanttView[[#This Row],[_Row]])="",TRUE()),"",INDEX(tsk_FcStart,GanttView[[#This Row],[_Row]]))</f>
        <v/>
      </c>
      <c r="H155" s="128" t="str">
        <f aca="false">IF(IFERROR(INDEX(tsk_Name,GanttView[[#This Row],[_Row]])="",TRUE()),"",INDEX(tsk_FcFinish,GanttView[[#This Row],[_Row]]))</f>
        <v/>
      </c>
      <c r="I155" s="129" t="str">
        <f aca="false">IF(IFERROR(INDEX(tsk_Name,GanttView[[#This Row],[_Row]])="",TRUE()),"",INDEX(tsk_Progress,GanttView[[#This Row],[_Row]]))</f>
        <v/>
      </c>
      <c r="J155" s="127" t="str">
        <f aca="false">IF(IFERROR(INDEX(tsk_Name,GanttView[[#This Row],[_Row]])="",TRUE()),"",INDEX(tsk_ResourceNames,GanttView[[#This Row],[_Row]])&amp;"")</f>
        <v/>
      </c>
      <c r="K155" s="126" t="str">
        <f aca="false">IF(IFERROR(INDEX(tsk_Name,GanttView[[#This Row],[_Row]])="",TRUE()),"",INDEX(tsk_Status,GanttView[[#This Row],[_Row]]))</f>
        <v/>
      </c>
      <c r="L155" s="126" t="str">
        <f aca="false">IF(IFERROR(INDEX(tsk_Name,GanttView[[#This Row],[_Row]])="",TRUE()),"",INDEX(tsk_Show,GanttView[[#This Row],[_Row]])&amp;"")</f>
        <v/>
      </c>
      <c r="M155" s="130" t="n">
        <f aca="false">ROW()-ROW(GanttView[[#Headers],[ID]])</f>
        <v>150</v>
      </c>
      <c r="N155" s="131" t="b">
        <f aca="false">IF(IFERROR(INDEX(tsk_Name,GanttView[[#This Row],[_Row]])="",TRUE()),FALSE(),INDEX(tsk_IsSummary,GanttView[[#This Row],[_Row]]))</f>
        <v>0</v>
      </c>
      <c r="O155" s="131" t="b">
        <f aca="false">IF(IFERROR(INDEX(tsk_Name,GanttView[[#This Row],[_Row]])="",TRUE()),FALSE(),AND(INDEX(tsk_IsLeaf,GanttView[[#This Row],[_Row]])=1,N(INDEX(tsk_Duration,GanttView[[#This Row],[_Row]]))=0))</f>
        <v>0</v>
      </c>
      <c r="P155" s="132" t="n">
        <f aca="false">IF(IFERROR(INDEX(tsk_Name,GanttView[[#This Row],[_Row]])="",TRUE()),0,IF(AND(INDEX(tsk_IsLeaf,GanttView[[#This Row],[_Row]])=1,NOT(GanttView[[#This Row],[_IsMilestone]]),N(GanttView[[#This Row],[%]])&gt;0),GanttView[[#This Row],[Forecast Start]],0))</f>
        <v>0</v>
      </c>
      <c r="Q155" s="132" t="n">
        <f aca="false">IF(GanttView[[#This Row],[_DoneFrom]]=0,0,IF(GanttView[[#This Row],[%]]&gt;=1,GanttView[[#This Row],[Forecast Finish]],MAX(GanttView[[#This Row],[_DoneFrom]],GanttView[[#This Row],[Forecast Start]]+ROUND((GanttView[[#This Row],[Forecast Finish]]-GanttView[[#This Row],[Forecast Start]]+1)*GanttView[[#This Row],[%]],0)-1)))</f>
        <v>0</v>
      </c>
      <c r="R155" s="132" t="n">
        <f aca="false">IF(IFERROR(INDEX(tsk_Name,GanttView[[#This Row],[_Row]])="",TRUE()),0,IF(OR(INDEX(tsk_IsLeaf,GanttView[[#This Row],[_Row]])&lt;&gt;1,GanttView[[#This Row],[_IsMilestone]],N(GanttView[[#This Row],[%]])&gt;=1),0,IF(GanttView[[#This Row],[_DoneTo]]&gt;0,GanttView[[#This Row],[_DoneTo]]+1,GanttView[[#This Row],[Forecast Start]])))</f>
        <v>0</v>
      </c>
      <c r="S155" s="132" t="n">
        <f aca="false">IF(GanttView[[#This Row],[_RemFrom]]=0,0,GanttView[[#This Row],[Forecast Finish]])</f>
        <v>0</v>
      </c>
      <c r="T155" s="131" t="b">
        <f aca="false">IF(IFERROR(INDEX(tsk_Name,GanttView[[#This Row],[_Row]])="",TRUE()),FALSE(),N(INDEX(tsk_Variance,GanttView[[#This Row],[_Row]]))&gt;0)</f>
        <v>0</v>
      </c>
      <c r="U155" s="132" t="n">
        <f aca="false">IF(IFERROR(INDEX(tsk_Name,GanttView[[#This Row],[_Row]])="",TRUE()),0,N(INDEX(tsk_Deadline,GanttView[[#This Row],[_Row]])))</f>
        <v>0</v>
      </c>
      <c r="V155" s="131" t="b">
        <f aca="false">IF(IFERROR(INDEX(tsk_Name,GanttView[[#This Row],[_Row]])="",TRUE()),FALSE(),INDEX(tsk_Critical,GanttView[[#This Row],[_Row]])="Yes")</f>
        <v>0</v>
      </c>
    </row>
    <row r="156" customFormat="false" ht="15" hidden="false" customHeight="false" outlineLevel="0" collapsed="false">
      <c r="A156" s="126" t="str">
        <f aca="false">IF(IFERROR(INDEX(tsk_Name,GanttView[[#This Row],[_Row]])="",TRUE()),"",INDEX(tsk_ID,GanttView[[#This Row],[_Row]]))</f>
        <v/>
      </c>
      <c r="B156" s="126" t="str">
        <f aca="false">IF(IFERROR(INDEX(tsk_Name,GanttView[[#This Row],[_Row]])="",TRUE()),"",INDEX(tsk_WBS,GanttView[[#This Row],[_Row]]))</f>
        <v/>
      </c>
      <c r="C156" s="127" t="str">
        <f aca="false">IF(IFERROR(INDEX(tsk_Name,GanttView[[#This Row],[_Row]])="",TRUE()),"",REPT("    ",INDEX(tsk_Level,GanttView[[#This Row],[_Row]])-1)&amp;INDEX(tsk_Name,GanttView[[#This Row],[_Row]]))</f>
        <v/>
      </c>
      <c r="D156" s="126" t="str">
        <f aca="false">IF(IFERROR(INDEX(tsk_Name,GanttView[[#This Row],[_Row]])="",TRUE()),"",IF(INDEX(tsk_IsSummary,GanttView[[#This Row],[_Row]]),NETWORKDAYS.INTL(INDEX(tsk_FcStart,GanttView[[#This Row],[_Row]]),INDEX(tsk_FcFinish,GanttView[[#This Row],[_Row]]),WorkWeek,Holidays),N(INDEX(tsk_Duration,GanttView[[#This Row],[_Row]]))))</f>
        <v/>
      </c>
      <c r="E156" s="128" t="str">
        <f aca="false">IF(IFERROR(INDEX(tsk_Name,GanttView[[#This Row],[_Row]])="",TRUE()),"",INDEX(tsk_PlanStart,GanttView[[#This Row],[_Row]]))</f>
        <v/>
      </c>
      <c r="F156" s="128" t="str">
        <f aca="false">IF(IFERROR(INDEX(tsk_Name,GanttView[[#This Row],[_Row]])="",TRUE()),"",INDEX(tsk_PlanFinish,GanttView[[#This Row],[_Row]]))</f>
        <v/>
      </c>
      <c r="G156" s="128" t="str">
        <f aca="false">IF(IFERROR(INDEX(tsk_Name,GanttView[[#This Row],[_Row]])="",TRUE()),"",INDEX(tsk_FcStart,GanttView[[#This Row],[_Row]]))</f>
        <v/>
      </c>
      <c r="H156" s="128" t="str">
        <f aca="false">IF(IFERROR(INDEX(tsk_Name,GanttView[[#This Row],[_Row]])="",TRUE()),"",INDEX(tsk_FcFinish,GanttView[[#This Row],[_Row]]))</f>
        <v/>
      </c>
      <c r="I156" s="129" t="str">
        <f aca="false">IF(IFERROR(INDEX(tsk_Name,GanttView[[#This Row],[_Row]])="",TRUE()),"",INDEX(tsk_Progress,GanttView[[#This Row],[_Row]]))</f>
        <v/>
      </c>
      <c r="J156" s="127" t="str">
        <f aca="false">IF(IFERROR(INDEX(tsk_Name,GanttView[[#This Row],[_Row]])="",TRUE()),"",INDEX(tsk_ResourceNames,GanttView[[#This Row],[_Row]])&amp;"")</f>
        <v/>
      </c>
      <c r="K156" s="126" t="str">
        <f aca="false">IF(IFERROR(INDEX(tsk_Name,GanttView[[#This Row],[_Row]])="",TRUE()),"",INDEX(tsk_Status,GanttView[[#This Row],[_Row]]))</f>
        <v/>
      </c>
      <c r="L156" s="126" t="str">
        <f aca="false">IF(IFERROR(INDEX(tsk_Name,GanttView[[#This Row],[_Row]])="",TRUE()),"",INDEX(tsk_Show,GanttView[[#This Row],[_Row]])&amp;"")</f>
        <v/>
      </c>
      <c r="M156" s="130" t="n">
        <f aca="false">ROW()-ROW(GanttView[[#Headers],[ID]])</f>
        <v>151</v>
      </c>
      <c r="N156" s="131" t="b">
        <f aca="false">IF(IFERROR(INDEX(tsk_Name,GanttView[[#This Row],[_Row]])="",TRUE()),FALSE(),INDEX(tsk_IsSummary,GanttView[[#This Row],[_Row]]))</f>
        <v>0</v>
      </c>
      <c r="O156" s="131" t="b">
        <f aca="false">IF(IFERROR(INDEX(tsk_Name,GanttView[[#This Row],[_Row]])="",TRUE()),FALSE(),AND(INDEX(tsk_IsLeaf,GanttView[[#This Row],[_Row]])=1,N(INDEX(tsk_Duration,GanttView[[#This Row],[_Row]]))=0))</f>
        <v>0</v>
      </c>
      <c r="P156" s="132" t="n">
        <f aca="false">IF(IFERROR(INDEX(tsk_Name,GanttView[[#This Row],[_Row]])="",TRUE()),0,IF(AND(INDEX(tsk_IsLeaf,GanttView[[#This Row],[_Row]])=1,NOT(GanttView[[#This Row],[_IsMilestone]]),N(GanttView[[#This Row],[%]])&gt;0),GanttView[[#This Row],[Forecast Start]],0))</f>
        <v>0</v>
      </c>
      <c r="Q156" s="132" t="n">
        <f aca="false">IF(GanttView[[#This Row],[_DoneFrom]]=0,0,IF(GanttView[[#This Row],[%]]&gt;=1,GanttView[[#This Row],[Forecast Finish]],MAX(GanttView[[#This Row],[_DoneFrom]],GanttView[[#This Row],[Forecast Start]]+ROUND((GanttView[[#This Row],[Forecast Finish]]-GanttView[[#This Row],[Forecast Start]]+1)*GanttView[[#This Row],[%]],0)-1)))</f>
        <v>0</v>
      </c>
      <c r="R156" s="132" t="n">
        <f aca="false">IF(IFERROR(INDEX(tsk_Name,GanttView[[#This Row],[_Row]])="",TRUE()),0,IF(OR(INDEX(tsk_IsLeaf,GanttView[[#This Row],[_Row]])&lt;&gt;1,GanttView[[#This Row],[_IsMilestone]],N(GanttView[[#This Row],[%]])&gt;=1),0,IF(GanttView[[#This Row],[_DoneTo]]&gt;0,GanttView[[#This Row],[_DoneTo]]+1,GanttView[[#This Row],[Forecast Start]])))</f>
        <v>0</v>
      </c>
      <c r="S156" s="132" t="n">
        <f aca="false">IF(GanttView[[#This Row],[_RemFrom]]=0,0,GanttView[[#This Row],[Forecast Finish]])</f>
        <v>0</v>
      </c>
      <c r="T156" s="131" t="b">
        <f aca="false">IF(IFERROR(INDEX(tsk_Name,GanttView[[#This Row],[_Row]])="",TRUE()),FALSE(),N(INDEX(tsk_Variance,GanttView[[#This Row],[_Row]]))&gt;0)</f>
        <v>0</v>
      </c>
      <c r="U156" s="132" t="n">
        <f aca="false">IF(IFERROR(INDEX(tsk_Name,GanttView[[#This Row],[_Row]])="",TRUE()),0,N(INDEX(tsk_Deadline,GanttView[[#This Row],[_Row]])))</f>
        <v>0</v>
      </c>
      <c r="V156" s="131" t="b">
        <f aca="false">IF(IFERROR(INDEX(tsk_Name,GanttView[[#This Row],[_Row]])="",TRUE()),FALSE(),INDEX(tsk_Critical,GanttView[[#This Row],[_Row]])="Yes")</f>
        <v>0</v>
      </c>
    </row>
    <row r="157" customFormat="false" ht="15" hidden="false" customHeight="false" outlineLevel="0" collapsed="false">
      <c r="A157" s="126" t="str">
        <f aca="false">IF(IFERROR(INDEX(tsk_Name,GanttView[[#This Row],[_Row]])="",TRUE()),"",INDEX(tsk_ID,GanttView[[#This Row],[_Row]]))</f>
        <v/>
      </c>
      <c r="B157" s="126" t="str">
        <f aca="false">IF(IFERROR(INDEX(tsk_Name,GanttView[[#This Row],[_Row]])="",TRUE()),"",INDEX(tsk_WBS,GanttView[[#This Row],[_Row]]))</f>
        <v/>
      </c>
      <c r="C157" s="127" t="str">
        <f aca="false">IF(IFERROR(INDEX(tsk_Name,GanttView[[#This Row],[_Row]])="",TRUE()),"",REPT("    ",INDEX(tsk_Level,GanttView[[#This Row],[_Row]])-1)&amp;INDEX(tsk_Name,GanttView[[#This Row],[_Row]]))</f>
        <v/>
      </c>
      <c r="D157" s="126" t="str">
        <f aca="false">IF(IFERROR(INDEX(tsk_Name,GanttView[[#This Row],[_Row]])="",TRUE()),"",IF(INDEX(tsk_IsSummary,GanttView[[#This Row],[_Row]]),NETWORKDAYS.INTL(INDEX(tsk_FcStart,GanttView[[#This Row],[_Row]]),INDEX(tsk_FcFinish,GanttView[[#This Row],[_Row]]),WorkWeek,Holidays),N(INDEX(tsk_Duration,GanttView[[#This Row],[_Row]]))))</f>
        <v/>
      </c>
      <c r="E157" s="128" t="str">
        <f aca="false">IF(IFERROR(INDEX(tsk_Name,GanttView[[#This Row],[_Row]])="",TRUE()),"",INDEX(tsk_PlanStart,GanttView[[#This Row],[_Row]]))</f>
        <v/>
      </c>
      <c r="F157" s="128" t="str">
        <f aca="false">IF(IFERROR(INDEX(tsk_Name,GanttView[[#This Row],[_Row]])="",TRUE()),"",INDEX(tsk_PlanFinish,GanttView[[#This Row],[_Row]]))</f>
        <v/>
      </c>
      <c r="G157" s="128" t="str">
        <f aca="false">IF(IFERROR(INDEX(tsk_Name,GanttView[[#This Row],[_Row]])="",TRUE()),"",INDEX(tsk_FcStart,GanttView[[#This Row],[_Row]]))</f>
        <v/>
      </c>
      <c r="H157" s="128" t="str">
        <f aca="false">IF(IFERROR(INDEX(tsk_Name,GanttView[[#This Row],[_Row]])="",TRUE()),"",INDEX(tsk_FcFinish,GanttView[[#This Row],[_Row]]))</f>
        <v/>
      </c>
      <c r="I157" s="129" t="str">
        <f aca="false">IF(IFERROR(INDEX(tsk_Name,GanttView[[#This Row],[_Row]])="",TRUE()),"",INDEX(tsk_Progress,GanttView[[#This Row],[_Row]]))</f>
        <v/>
      </c>
      <c r="J157" s="127" t="str">
        <f aca="false">IF(IFERROR(INDEX(tsk_Name,GanttView[[#This Row],[_Row]])="",TRUE()),"",INDEX(tsk_ResourceNames,GanttView[[#This Row],[_Row]])&amp;"")</f>
        <v/>
      </c>
      <c r="K157" s="126" t="str">
        <f aca="false">IF(IFERROR(INDEX(tsk_Name,GanttView[[#This Row],[_Row]])="",TRUE()),"",INDEX(tsk_Status,GanttView[[#This Row],[_Row]]))</f>
        <v/>
      </c>
      <c r="L157" s="126" t="str">
        <f aca="false">IF(IFERROR(INDEX(tsk_Name,GanttView[[#This Row],[_Row]])="",TRUE()),"",INDEX(tsk_Show,GanttView[[#This Row],[_Row]])&amp;"")</f>
        <v/>
      </c>
      <c r="M157" s="130" t="n">
        <f aca="false">ROW()-ROW(GanttView[[#Headers],[ID]])</f>
        <v>152</v>
      </c>
      <c r="N157" s="131" t="b">
        <f aca="false">IF(IFERROR(INDEX(tsk_Name,GanttView[[#This Row],[_Row]])="",TRUE()),FALSE(),INDEX(tsk_IsSummary,GanttView[[#This Row],[_Row]]))</f>
        <v>0</v>
      </c>
      <c r="O157" s="131" t="b">
        <f aca="false">IF(IFERROR(INDEX(tsk_Name,GanttView[[#This Row],[_Row]])="",TRUE()),FALSE(),AND(INDEX(tsk_IsLeaf,GanttView[[#This Row],[_Row]])=1,N(INDEX(tsk_Duration,GanttView[[#This Row],[_Row]]))=0))</f>
        <v>0</v>
      </c>
      <c r="P157" s="132" t="n">
        <f aca="false">IF(IFERROR(INDEX(tsk_Name,GanttView[[#This Row],[_Row]])="",TRUE()),0,IF(AND(INDEX(tsk_IsLeaf,GanttView[[#This Row],[_Row]])=1,NOT(GanttView[[#This Row],[_IsMilestone]]),N(GanttView[[#This Row],[%]])&gt;0),GanttView[[#This Row],[Forecast Start]],0))</f>
        <v>0</v>
      </c>
      <c r="Q157" s="132" t="n">
        <f aca="false">IF(GanttView[[#This Row],[_DoneFrom]]=0,0,IF(GanttView[[#This Row],[%]]&gt;=1,GanttView[[#This Row],[Forecast Finish]],MAX(GanttView[[#This Row],[_DoneFrom]],GanttView[[#This Row],[Forecast Start]]+ROUND((GanttView[[#This Row],[Forecast Finish]]-GanttView[[#This Row],[Forecast Start]]+1)*GanttView[[#This Row],[%]],0)-1)))</f>
        <v>0</v>
      </c>
      <c r="R157" s="132" t="n">
        <f aca="false">IF(IFERROR(INDEX(tsk_Name,GanttView[[#This Row],[_Row]])="",TRUE()),0,IF(OR(INDEX(tsk_IsLeaf,GanttView[[#This Row],[_Row]])&lt;&gt;1,GanttView[[#This Row],[_IsMilestone]],N(GanttView[[#This Row],[%]])&gt;=1),0,IF(GanttView[[#This Row],[_DoneTo]]&gt;0,GanttView[[#This Row],[_DoneTo]]+1,GanttView[[#This Row],[Forecast Start]])))</f>
        <v>0</v>
      </c>
      <c r="S157" s="132" t="n">
        <f aca="false">IF(GanttView[[#This Row],[_RemFrom]]=0,0,GanttView[[#This Row],[Forecast Finish]])</f>
        <v>0</v>
      </c>
      <c r="T157" s="131" t="b">
        <f aca="false">IF(IFERROR(INDEX(tsk_Name,GanttView[[#This Row],[_Row]])="",TRUE()),FALSE(),N(INDEX(tsk_Variance,GanttView[[#This Row],[_Row]]))&gt;0)</f>
        <v>0</v>
      </c>
      <c r="U157" s="132" t="n">
        <f aca="false">IF(IFERROR(INDEX(tsk_Name,GanttView[[#This Row],[_Row]])="",TRUE()),0,N(INDEX(tsk_Deadline,GanttView[[#This Row],[_Row]])))</f>
        <v>0</v>
      </c>
      <c r="V157" s="131" t="b">
        <f aca="false">IF(IFERROR(INDEX(tsk_Name,GanttView[[#This Row],[_Row]])="",TRUE()),FALSE(),INDEX(tsk_Critical,GanttView[[#This Row],[_Row]])="Yes")</f>
        <v>0</v>
      </c>
    </row>
    <row r="158" customFormat="false" ht="15" hidden="false" customHeight="false" outlineLevel="0" collapsed="false">
      <c r="A158" s="126" t="str">
        <f aca="false">IF(IFERROR(INDEX(tsk_Name,GanttView[[#This Row],[_Row]])="",TRUE()),"",INDEX(tsk_ID,GanttView[[#This Row],[_Row]]))</f>
        <v/>
      </c>
      <c r="B158" s="126" t="str">
        <f aca="false">IF(IFERROR(INDEX(tsk_Name,GanttView[[#This Row],[_Row]])="",TRUE()),"",INDEX(tsk_WBS,GanttView[[#This Row],[_Row]]))</f>
        <v/>
      </c>
      <c r="C158" s="127" t="str">
        <f aca="false">IF(IFERROR(INDEX(tsk_Name,GanttView[[#This Row],[_Row]])="",TRUE()),"",REPT("    ",INDEX(tsk_Level,GanttView[[#This Row],[_Row]])-1)&amp;INDEX(tsk_Name,GanttView[[#This Row],[_Row]]))</f>
        <v/>
      </c>
      <c r="D158" s="126" t="str">
        <f aca="false">IF(IFERROR(INDEX(tsk_Name,GanttView[[#This Row],[_Row]])="",TRUE()),"",IF(INDEX(tsk_IsSummary,GanttView[[#This Row],[_Row]]),NETWORKDAYS.INTL(INDEX(tsk_FcStart,GanttView[[#This Row],[_Row]]),INDEX(tsk_FcFinish,GanttView[[#This Row],[_Row]]),WorkWeek,Holidays),N(INDEX(tsk_Duration,GanttView[[#This Row],[_Row]]))))</f>
        <v/>
      </c>
      <c r="E158" s="128" t="str">
        <f aca="false">IF(IFERROR(INDEX(tsk_Name,GanttView[[#This Row],[_Row]])="",TRUE()),"",INDEX(tsk_PlanStart,GanttView[[#This Row],[_Row]]))</f>
        <v/>
      </c>
      <c r="F158" s="128" t="str">
        <f aca="false">IF(IFERROR(INDEX(tsk_Name,GanttView[[#This Row],[_Row]])="",TRUE()),"",INDEX(tsk_PlanFinish,GanttView[[#This Row],[_Row]]))</f>
        <v/>
      </c>
      <c r="G158" s="128" t="str">
        <f aca="false">IF(IFERROR(INDEX(tsk_Name,GanttView[[#This Row],[_Row]])="",TRUE()),"",INDEX(tsk_FcStart,GanttView[[#This Row],[_Row]]))</f>
        <v/>
      </c>
      <c r="H158" s="128" t="str">
        <f aca="false">IF(IFERROR(INDEX(tsk_Name,GanttView[[#This Row],[_Row]])="",TRUE()),"",INDEX(tsk_FcFinish,GanttView[[#This Row],[_Row]]))</f>
        <v/>
      </c>
      <c r="I158" s="129" t="str">
        <f aca="false">IF(IFERROR(INDEX(tsk_Name,GanttView[[#This Row],[_Row]])="",TRUE()),"",INDEX(tsk_Progress,GanttView[[#This Row],[_Row]]))</f>
        <v/>
      </c>
      <c r="J158" s="127" t="str">
        <f aca="false">IF(IFERROR(INDEX(tsk_Name,GanttView[[#This Row],[_Row]])="",TRUE()),"",INDEX(tsk_ResourceNames,GanttView[[#This Row],[_Row]])&amp;"")</f>
        <v/>
      </c>
      <c r="K158" s="126" t="str">
        <f aca="false">IF(IFERROR(INDEX(tsk_Name,GanttView[[#This Row],[_Row]])="",TRUE()),"",INDEX(tsk_Status,GanttView[[#This Row],[_Row]]))</f>
        <v/>
      </c>
      <c r="L158" s="126" t="str">
        <f aca="false">IF(IFERROR(INDEX(tsk_Name,GanttView[[#This Row],[_Row]])="",TRUE()),"",INDEX(tsk_Show,GanttView[[#This Row],[_Row]])&amp;"")</f>
        <v/>
      </c>
      <c r="M158" s="130" t="n">
        <f aca="false">ROW()-ROW(GanttView[[#Headers],[ID]])</f>
        <v>153</v>
      </c>
      <c r="N158" s="131" t="b">
        <f aca="false">IF(IFERROR(INDEX(tsk_Name,GanttView[[#This Row],[_Row]])="",TRUE()),FALSE(),INDEX(tsk_IsSummary,GanttView[[#This Row],[_Row]]))</f>
        <v>0</v>
      </c>
      <c r="O158" s="131" t="b">
        <f aca="false">IF(IFERROR(INDEX(tsk_Name,GanttView[[#This Row],[_Row]])="",TRUE()),FALSE(),AND(INDEX(tsk_IsLeaf,GanttView[[#This Row],[_Row]])=1,N(INDEX(tsk_Duration,GanttView[[#This Row],[_Row]]))=0))</f>
        <v>0</v>
      </c>
      <c r="P158" s="132" t="n">
        <f aca="false">IF(IFERROR(INDEX(tsk_Name,GanttView[[#This Row],[_Row]])="",TRUE()),0,IF(AND(INDEX(tsk_IsLeaf,GanttView[[#This Row],[_Row]])=1,NOT(GanttView[[#This Row],[_IsMilestone]]),N(GanttView[[#This Row],[%]])&gt;0),GanttView[[#This Row],[Forecast Start]],0))</f>
        <v>0</v>
      </c>
      <c r="Q158" s="132" t="n">
        <f aca="false">IF(GanttView[[#This Row],[_DoneFrom]]=0,0,IF(GanttView[[#This Row],[%]]&gt;=1,GanttView[[#This Row],[Forecast Finish]],MAX(GanttView[[#This Row],[_DoneFrom]],GanttView[[#This Row],[Forecast Start]]+ROUND((GanttView[[#This Row],[Forecast Finish]]-GanttView[[#This Row],[Forecast Start]]+1)*GanttView[[#This Row],[%]],0)-1)))</f>
        <v>0</v>
      </c>
      <c r="R158" s="132" t="n">
        <f aca="false">IF(IFERROR(INDEX(tsk_Name,GanttView[[#This Row],[_Row]])="",TRUE()),0,IF(OR(INDEX(tsk_IsLeaf,GanttView[[#This Row],[_Row]])&lt;&gt;1,GanttView[[#This Row],[_IsMilestone]],N(GanttView[[#This Row],[%]])&gt;=1),0,IF(GanttView[[#This Row],[_DoneTo]]&gt;0,GanttView[[#This Row],[_DoneTo]]+1,GanttView[[#This Row],[Forecast Start]])))</f>
        <v>0</v>
      </c>
      <c r="S158" s="132" t="n">
        <f aca="false">IF(GanttView[[#This Row],[_RemFrom]]=0,0,GanttView[[#This Row],[Forecast Finish]])</f>
        <v>0</v>
      </c>
      <c r="T158" s="131" t="b">
        <f aca="false">IF(IFERROR(INDEX(tsk_Name,GanttView[[#This Row],[_Row]])="",TRUE()),FALSE(),N(INDEX(tsk_Variance,GanttView[[#This Row],[_Row]]))&gt;0)</f>
        <v>0</v>
      </c>
      <c r="U158" s="132" t="n">
        <f aca="false">IF(IFERROR(INDEX(tsk_Name,GanttView[[#This Row],[_Row]])="",TRUE()),0,N(INDEX(tsk_Deadline,GanttView[[#This Row],[_Row]])))</f>
        <v>0</v>
      </c>
      <c r="V158" s="131" t="b">
        <f aca="false">IF(IFERROR(INDEX(tsk_Name,GanttView[[#This Row],[_Row]])="",TRUE()),FALSE(),INDEX(tsk_Critical,GanttView[[#This Row],[_Row]])="Yes")</f>
        <v>0</v>
      </c>
    </row>
    <row r="159" customFormat="false" ht="15" hidden="false" customHeight="false" outlineLevel="0" collapsed="false">
      <c r="A159" s="126" t="str">
        <f aca="false">IF(IFERROR(INDEX(tsk_Name,GanttView[[#This Row],[_Row]])="",TRUE()),"",INDEX(tsk_ID,GanttView[[#This Row],[_Row]]))</f>
        <v/>
      </c>
      <c r="B159" s="126" t="str">
        <f aca="false">IF(IFERROR(INDEX(tsk_Name,GanttView[[#This Row],[_Row]])="",TRUE()),"",INDEX(tsk_WBS,GanttView[[#This Row],[_Row]]))</f>
        <v/>
      </c>
      <c r="C159" s="127" t="str">
        <f aca="false">IF(IFERROR(INDEX(tsk_Name,GanttView[[#This Row],[_Row]])="",TRUE()),"",REPT("    ",INDEX(tsk_Level,GanttView[[#This Row],[_Row]])-1)&amp;INDEX(tsk_Name,GanttView[[#This Row],[_Row]]))</f>
        <v/>
      </c>
      <c r="D159" s="126" t="str">
        <f aca="false">IF(IFERROR(INDEX(tsk_Name,GanttView[[#This Row],[_Row]])="",TRUE()),"",IF(INDEX(tsk_IsSummary,GanttView[[#This Row],[_Row]]),NETWORKDAYS.INTL(INDEX(tsk_FcStart,GanttView[[#This Row],[_Row]]),INDEX(tsk_FcFinish,GanttView[[#This Row],[_Row]]),WorkWeek,Holidays),N(INDEX(tsk_Duration,GanttView[[#This Row],[_Row]]))))</f>
        <v/>
      </c>
      <c r="E159" s="128" t="str">
        <f aca="false">IF(IFERROR(INDEX(tsk_Name,GanttView[[#This Row],[_Row]])="",TRUE()),"",INDEX(tsk_PlanStart,GanttView[[#This Row],[_Row]]))</f>
        <v/>
      </c>
      <c r="F159" s="128" t="str">
        <f aca="false">IF(IFERROR(INDEX(tsk_Name,GanttView[[#This Row],[_Row]])="",TRUE()),"",INDEX(tsk_PlanFinish,GanttView[[#This Row],[_Row]]))</f>
        <v/>
      </c>
      <c r="G159" s="128" t="str">
        <f aca="false">IF(IFERROR(INDEX(tsk_Name,GanttView[[#This Row],[_Row]])="",TRUE()),"",INDEX(tsk_FcStart,GanttView[[#This Row],[_Row]]))</f>
        <v/>
      </c>
      <c r="H159" s="128" t="str">
        <f aca="false">IF(IFERROR(INDEX(tsk_Name,GanttView[[#This Row],[_Row]])="",TRUE()),"",INDEX(tsk_FcFinish,GanttView[[#This Row],[_Row]]))</f>
        <v/>
      </c>
      <c r="I159" s="129" t="str">
        <f aca="false">IF(IFERROR(INDEX(tsk_Name,GanttView[[#This Row],[_Row]])="",TRUE()),"",INDEX(tsk_Progress,GanttView[[#This Row],[_Row]]))</f>
        <v/>
      </c>
      <c r="J159" s="127" t="str">
        <f aca="false">IF(IFERROR(INDEX(tsk_Name,GanttView[[#This Row],[_Row]])="",TRUE()),"",INDEX(tsk_ResourceNames,GanttView[[#This Row],[_Row]])&amp;"")</f>
        <v/>
      </c>
      <c r="K159" s="126" t="str">
        <f aca="false">IF(IFERROR(INDEX(tsk_Name,GanttView[[#This Row],[_Row]])="",TRUE()),"",INDEX(tsk_Status,GanttView[[#This Row],[_Row]]))</f>
        <v/>
      </c>
      <c r="L159" s="126" t="str">
        <f aca="false">IF(IFERROR(INDEX(tsk_Name,GanttView[[#This Row],[_Row]])="",TRUE()),"",INDEX(tsk_Show,GanttView[[#This Row],[_Row]])&amp;"")</f>
        <v/>
      </c>
      <c r="M159" s="130" t="n">
        <f aca="false">ROW()-ROW(GanttView[[#Headers],[ID]])</f>
        <v>154</v>
      </c>
      <c r="N159" s="131" t="b">
        <f aca="false">IF(IFERROR(INDEX(tsk_Name,GanttView[[#This Row],[_Row]])="",TRUE()),FALSE(),INDEX(tsk_IsSummary,GanttView[[#This Row],[_Row]]))</f>
        <v>0</v>
      </c>
      <c r="O159" s="131" t="b">
        <f aca="false">IF(IFERROR(INDEX(tsk_Name,GanttView[[#This Row],[_Row]])="",TRUE()),FALSE(),AND(INDEX(tsk_IsLeaf,GanttView[[#This Row],[_Row]])=1,N(INDEX(tsk_Duration,GanttView[[#This Row],[_Row]]))=0))</f>
        <v>0</v>
      </c>
      <c r="P159" s="132" t="n">
        <f aca="false">IF(IFERROR(INDEX(tsk_Name,GanttView[[#This Row],[_Row]])="",TRUE()),0,IF(AND(INDEX(tsk_IsLeaf,GanttView[[#This Row],[_Row]])=1,NOT(GanttView[[#This Row],[_IsMilestone]]),N(GanttView[[#This Row],[%]])&gt;0),GanttView[[#This Row],[Forecast Start]],0))</f>
        <v>0</v>
      </c>
      <c r="Q159" s="132" t="n">
        <f aca="false">IF(GanttView[[#This Row],[_DoneFrom]]=0,0,IF(GanttView[[#This Row],[%]]&gt;=1,GanttView[[#This Row],[Forecast Finish]],MAX(GanttView[[#This Row],[_DoneFrom]],GanttView[[#This Row],[Forecast Start]]+ROUND((GanttView[[#This Row],[Forecast Finish]]-GanttView[[#This Row],[Forecast Start]]+1)*GanttView[[#This Row],[%]],0)-1)))</f>
        <v>0</v>
      </c>
      <c r="R159" s="132" t="n">
        <f aca="false">IF(IFERROR(INDEX(tsk_Name,GanttView[[#This Row],[_Row]])="",TRUE()),0,IF(OR(INDEX(tsk_IsLeaf,GanttView[[#This Row],[_Row]])&lt;&gt;1,GanttView[[#This Row],[_IsMilestone]],N(GanttView[[#This Row],[%]])&gt;=1),0,IF(GanttView[[#This Row],[_DoneTo]]&gt;0,GanttView[[#This Row],[_DoneTo]]+1,GanttView[[#This Row],[Forecast Start]])))</f>
        <v>0</v>
      </c>
      <c r="S159" s="132" t="n">
        <f aca="false">IF(GanttView[[#This Row],[_RemFrom]]=0,0,GanttView[[#This Row],[Forecast Finish]])</f>
        <v>0</v>
      </c>
      <c r="T159" s="131" t="b">
        <f aca="false">IF(IFERROR(INDEX(tsk_Name,GanttView[[#This Row],[_Row]])="",TRUE()),FALSE(),N(INDEX(tsk_Variance,GanttView[[#This Row],[_Row]]))&gt;0)</f>
        <v>0</v>
      </c>
      <c r="U159" s="132" t="n">
        <f aca="false">IF(IFERROR(INDEX(tsk_Name,GanttView[[#This Row],[_Row]])="",TRUE()),0,N(INDEX(tsk_Deadline,GanttView[[#This Row],[_Row]])))</f>
        <v>0</v>
      </c>
      <c r="V159" s="131" t="b">
        <f aca="false">IF(IFERROR(INDEX(tsk_Name,GanttView[[#This Row],[_Row]])="",TRUE()),FALSE(),INDEX(tsk_Critical,GanttView[[#This Row],[_Row]])="Yes")</f>
        <v>0</v>
      </c>
    </row>
    <row r="160" customFormat="false" ht="15" hidden="false" customHeight="false" outlineLevel="0" collapsed="false">
      <c r="A160" s="126" t="str">
        <f aca="false">IF(IFERROR(INDEX(tsk_Name,GanttView[[#This Row],[_Row]])="",TRUE()),"",INDEX(tsk_ID,GanttView[[#This Row],[_Row]]))</f>
        <v/>
      </c>
      <c r="B160" s="126" t="str">
        <f aca="false">IF(IFERROR(INDEX(tsk_Name,GanttView[[#This Row],[_Row]])="",TRUE()),"",INDEX(tsk_WBS,GanttView[[#This Row],[_Row]]))</f>
        <v/>
      </c>
      <c r="C160" s="127" t="str">
        <f aca="false">IF(IFERROR(INDEX(tsk_Name,GanttView[[#This Row],[_Row]])="",TRUE()),"",REPT("    ",INDEX(tsk_Level,GanttView[[#This Row],[_Row]])-1)&amp;INDEX(tsk_Name,GanttView[[#This Row],[_Row]]))</f>
        <v/>
      </c>
      <c r="D160" s="126" t="str">
        <f aca="false">IF(IFERROR(INDEX(tsk_Name,GanttView[[#This Row],[_Row]])="",TRUE()),"",IF(INDEX(tsk_IsSummary,GanttView[[#This Row],[_Row]]),NETWORKDAYS.INTL(INDEX(tsk_FcStart,GanttView[[#This Row],[_Row]]),INDEX(tsk_FcFinish,GanttView[[#This Row],[_Row]]),WorkWeek,Holidays),N(INDEX(tsk_Duration,GanttView[[#This Row],[_Row]]))))</f>
        <v/>
      </c>
      <c r="E160" s="128" t="str">
        <f aca="false">IF(IFERROR(INDEX(tsk_Name,GanttView[[#This Row],[_Row]])="",TRUE()),"",INDEX(tsk_PlanStart,GanttView[[#This Row],[_Row]]))</f>
        <v/>
      </c>
      <c r="F160" s="128" t="str">
        <f aca="false">IF(IFERROR(INDEX(tsk_Name,GanttView[[#This Row],[_Row]])="",TRUE()),"",INDEX(tsk_PlanFinish,GanttView[[#This Row],[_Row]]))</f>
        <v/>
      </c>
      <c r="G160" s="128" t="str">
        <f aca="false">IF(IFERROR(INDEX(tsk_Name,GanttView[[#This Row],[_Row]])="",TRUE()),"",INDEX(tsk_FcStart,GanttView[[#This Row],[_Row]]))</f>
        <v/>
      </c>
      <c r="H160" s="128" t="str">
        <f aca="false">IF(IFERROR(INDEX(tsk_Name,GanttView[[#This Row],[_Row]])="",TRUE()),"",INDEX(tsk_FcFinish,GanttView[[#This Row],[_Row]]))</f>
        <v/>
      </c>
      <c r="I160" s="129" t="str">
        <f aca="false">IF(IFERROR(INDEX(tsk_Name,GanttView[[#This Row],[_Row]])="",TRUE()),"",INDEX(tsk_Progress,GanttView[[#This Row],[_Row]]))</f>
        <v/>
      </c>
      <c r="J160" s="127" t="str">
        <f aca="false">IF(IFERROR(INDEX(tsk_Name,GanttView[[#This Row],[_Row]])="",TRUE()),"",INDEX(tsk_ResourceNames,GanttView[[#This Row],[_Row]])&amp;"")</f>
        <v/>
      </c>
      <c r="K160" s="126" t="str">
        <f aca="false">IF(IFERROR(INDEX(tsk_Name,GanttView[[#This Row],[_Row]])="",TRUE()),"",INDEX(tsk_Status,GanttView[[#This Row],[_Row]]))</f>
        <v/>
      </c>
      <c r="L160" s="126" t="str">
        <f aca="false">IF(IFERROR(INDEX(tsk_Name,GanttView[[#This Row],[_Row]])="",TRUE()),"",INDEX(tsk_Show,GanttView[[#This Row],[_Row]])&amp;"")</f>
        <v/>
      </c>
      <c r="M160" s="130" t="n">
        <f aca="false">ROW()-ROW(GanttView[[#Headers],[ID]])</f>
        <v>155</v>
      </c>
      <c r="N160" s="131" t="b">
        <f aca="false">IF(IFERROR(INDEX(tsk_Name,GanttView[[#This Row],[_Row]])="",TRUE()),FALSE(),INDEX(tsk_IsSummary,GanttView[[#This Row],[_Row]]))</f>
        <v>0</v>
      </c>
      <c r="O160" s="131" t="b">
        <f aca="false">IF(IFERROR(INDEX(tsk_Name,GanttView[[#This Row],[_Row]])="",TRUE()),FALSE(),AND(INDEX(tsk_IsLeaf,GanttView[[#This Row],[_Row]])=1,N(INDEX(tsk_Duration,GanttView[[#This Row],[_Row]]))=0))</f>
        <v>0</v>
      </c>
      <c r="P160" s="132" t="n">
        <f aca="false">IF(IFERROR(INDEX(tsk_Name,GanttView[[#This Row],[_Row]])="",TRUE()),0,IF(AND(INDEX(tsk_IsLeaf,GanttView[[#This Row],[_Row]])=1,NOT(GanttView[[#This Row],[_IsMilestone]]),N(GanttView[[#This Row],[%]])&gt;0),GanttView[[#This Row],[Forecast Start]],0))</f>
        <v>0</v>
      </c>
      <c r="Q160" s="132" t="n">
        <f aca="false">IF(GanttView[[#This Row],[_DoneFrom]]=0,0,IF(GanttView[[#This Row],[%]]&gt;=1,GanttView[[#This Row],[Forecast Finish]],MAX(GanttView[[#This Row],[_DoneFrom]],GanttView[[#This Row],[Forecast Start]]+ROUND((GanttView[[#This Row],[Forecast Finish]]-GanttView[[#This Row],[Forecast Start]]+1)*GanttView[[#This Row],[%]],0)-1)))</f>
        <v>0</v>
      </c>
      <c r="R160" s="132" t="n">
        <f aca="false">IF(IFERROR(INDEX(tsk_Name,GanttView[[#This Row],[_Row]])="",TRUE()),0,IF(OR(INDEX(tsk_IsLeaf,GanttView[[#This Row],[_Row]])&lt;&gt;1,GanttView[[#This Row],[_IsMilestone]],N(GanttView[[#This Row],[%]])&gt;=1),0,IF(GanttView[[#This Row],[_DoneTo]]&gt;0,GanttView[[#This Row],[_DoneTo]]+1,GanttView[[#This Row],[Forecast Start]])))</f>
        <v>0</v>
      </c>
      <c r="S160" s="132" t="n">
        <f aca="false">IF(GanttView[[#This Row],[_RemFrom]]=0,0,GanttView[[#This Row],[Forecast Finish]])</f>
        <v>0</v>
      </c>
      <c r="T160" s="131" t="b">
        <f aca="false">IF(IFERROR(INDEX(tsk_Name,GanttView[[#This Row],[_Row]])="",TRUE()),FALSE(),N(INDEX(tsk_Variance,GanttView[[#This Row],[_Row]]))&gt;0)</f>
        <v>0</v>
      </c>
      <c r="U160" s="132" t="n">
        <f aca="false">IF(IFERROR(INDEX(tsk_Name,GanttView[[#This Row],[_Row]])="",TRUE()),0,N(INDEX(tsk_Deadline,GanttView[[#This Row],[_Row]])))</f>
        <v>0</v>
      </c>
      <c r="V160" s="131" t="b">
        <f aca="false">IF(IFERROR(INDEX(tsk_Name,GanttView[[#This Row],[_Row]])="",TRUE()),FALSE(),INDEX(tsk_Critical,GanttView[[#This Row],[_Row]])="Yes")</f>
        <v>0</v>
      </c>
    </row>
    <row r="161" customFormat="false" ht="15" hidden="false" customHeight="false" outlineLevel="0" collapsed="false">
      <c r="A161" s="126" t="str">
        <f aca="false">IF(IFERROR(INDEX(tsk_Name,GanttView[[#This Row],[_Row]])="",TRUE()),"",INDEX(tsk_ID,GanttView[[#This Row],[_Row]]))</f>
        <v/>
      </c>
      <c r="B161" s="126" t="str">
        <f aca="false">IF(IFERROR(INDEX(tsk_Name,GanttView[[#This Row],[_Row]])="",TRUE()),"",INDEX(tsk_WBS,GanttView[[#This Row],[_Row]]))</f>
        <v/>
      </c>
      <c r="C161" s="127" t="str">
        <f aca="false">IF(IFERROR(INDEX(tsk_Name,GanttView[[#This Row],[_Row]])="",TRUE()),"",REPT("    ",INDEX(tsk_Level,GanttView[[#This Row],[_Row]])-1)&amp;INDEX(tsk_Name,GanttView[[#This Row],[_Row]]))</f>
        <v/>
      </c>
      <c r="D161" s="126" t="str">
        <f aca="false">IF(IFERROR(INDEX(tsk_Name,GanttView[[#This Row],[_Row]])="",TRUE()),"",IF(INDEX(tsk_IsSummary,GanttView[[#This Row],[_Row]]),NETWORKDAYS.INTL(INDEX(tsk_FcStart,GanttView[[#This Row],[_Row]]),INDEX(tsk_FcFinish,GanttView[[#This Row],[_Row]]),WorkWeek,Holidays),N(INDEX(tsk_Duration,GanttView[[#This Row],[_Row]]))))</f>
        <v/>
      </c>
      <c r="E161" s="128" t="str">
        <f aca="false">IF(IFERROR(INDEX(tsk_Name,GanttView[[#This Row],[_Row]])="",TRUE()),"",INDEX(tsk_PlanStart,GanttView[[#This Row],[_Row]]))</f>
        <v/>
      </c>
      <c r="F161" s="128" t="str">
        <f aca="false">IF(IFERROR(INDEX(tsk_Name,GanttView[[#This Row],[_Row]])="",TRUE()),"",INDEX(tsk_PlanFinish,GanttView[[#This Row],[_Row]]))</f>
        <v/>
      </c>
      <c r="G161" s="128" t="str">
        <f aca="false">IF(IFERROR(INDEX(tsk_Name,GanttView[[#This Row],[_Row]])="",TRUE()),"",INDEX(tsk_FcStart,GanttView[[#This Row],[_Row]]))</f>
        <v/>
      </c>
      <c r="H161" s="128" t="str">
        <f aca="false">IF(IFERROR(INDEX(tsk_Name,GanttView[[#This Row],[_Row]])="",TRUE()),"",INDEX(tsk_FcFinish,GanttView[[#This Row],[_Row]]))</f>
        <v/>
      </c>
      <c r="I161" s="129" t="str">
        <f aca="false">IF(IFERROR(INDEX(tsk_Name,GanttView[[#This Row],[_Row]])="",TRUE()),"",INDEX(tsk_Progress,GanttView[[#This Row],[_Row]]))</f>
        <v/>
      </c>
      <c r="J161" s="127" t="str">
        <f aca="false">IF(IFERROR(INDEX(tsk_Name,GanttView[[#This Row],[_Row]])="",TRUE()),"",INDEX(tsk_ResourceNames,GanttView[[#This Row],[_Row]])&amp;"")</f>
        <v/>
      </c>
      <c r="K161" s="126" t="str">
        <f aca="false">IF(IFERROR(INDEX(tsk_Name,GanttView[[#This Row],[_Row]])="",TRUE()),"",INDEX(tsk_Status,GanttView[[#This Row],[_Row]]))</f>
        <v/>
      </c>
      <c r="L161" s="126" t="str">
        <f aca="false">IF(IFERROR(INDEX(tsk_Name,GanttView[[#This Row],[_Row]])="",TRUE()),"",INDEX(tsk_Show,GanttView[[#This Row],[_Row]])&amp;"")</f>
        <v/>
      </c>
      <c r="M161" s="130" t="n">
        <f aca="false">ROW()-ROW(GanttView[[#Headers],[ID]])</f>
        <v>156</v>
      </c>
      <c r="N161" s="131" t="b">
        <f aca="false">IF(IFERROR(INDEX(tsk_Name,GanttView[[#This Row],[_Row]])="",TRUE()),FALSE(),INDEX(tsk_IsSummary,GanttView[[#This Row],[_Row]]))</f>
        <v>0</v>
      </c>
      <c r="O161" s="131" t="b">
        <f aca="false">IF(IFERROR(INDEX(tsk_Name,GanttView[[#This Row],[_Row]])="",TRUE()),FALSE(),AND(INDEX(tsk_IsLeaf,GanttView[[#This Row],[_Row]])=1,N(INDEX(tsk_Duration,GanttView[[#This Row],[_Row]]))=0))</f>
        <v>0</v>
      </c>
      <c r="P161" s="132" t="n">
        <f aca="false">IF(IFERROR(INDEX(tsk_Name,GanttView[[#This Row],[_Row]])="",TRUE()),0,IF(AND(INDEX(tsk_IsLeaf,GanttView[[#This Row],[_Row]])=1,NOT(GanttView[[#This Row],[_IsMilestone]]),N(GanttView[[#This Row],[%]])&gt;0),GanttView[[#This Row],[Forecast Start]],0))</f>
        <v>0</v>
      </c>
      <c r="Q161" s="132" t="n">
        <f aca="false">IF(GanttView[[#This Row],[_DoneFrom]]=0,0,IF(GanttView[[#This Row],[%]]&gt;=1,GanttView[[#This Row],[Forecast Finish]],MAX(GanttView[[#This Row],[_DoneFrom]],GanttView[[#This Row],[Forecast Start]]+ROUND((GanttView[[#This Row],[Forecast Finish]]-GanttView[[#This Row],[Forecast Start]]+1)*GanttView[[#This Row],[%]],0)-1)))</f>
        <v>0</v>
      </c>
      <c r="R161" s="132" t="n">
        <f aca="false">IF(IFERROR(INDEX(tsk_Name,GanttView[[#This Row],[_Row]])="",TRUE()),0,IF(OR(INDEX(tsk_IsLeaf,GanttView[[#This Row],[_Row]])&lt;&gt;1,GanttView[[#This Row],[_IsMilestone]],N(GanttView[[#This Row],[%]])&gt;=1),0,IF(GanttView[[#This Row],[_DoneTo]]&gt;0,GanttView[[#This Row],[_DoneTo]]+1,GanttView[[#This Row],[Forecast Start]])))</f>
        <v>0</v>
      </c>
      <c r="S161" s="132" t="n">
        <f aca="false">IF(GanttView[[#This Row],[_RemFrom]]=0,0,GanttView[[#This Row],[Forecast Finish]])</f>
        <v>0</v>
      </c>
      <c r="T161" s="131" t="b">
        <f aca="false">IF(IFERROR(INDEX(tsk_Name,GanttView[[#This Row],[_Row]])="",TRUE()),FALSE(),N(INDEX(tsk_Variance,GanttView[[#This Row],[_Row]]))&gt;0)</f>
        <v>0</v>
      </c>
      <c r="U161" s="132" t="n">
        <f aca="false">IF(IFERROR(INDEX(tsk_Name,GanttView[[#This Row],[_Row]])="",TRUE()),0,N(INDEX(tsk_Deadline,GanttView[[#This Row],[_Row]])))</f>
        <v>0</v>
      </c>
      <c r="V161" s="131" t="b">
        <f aca="false">IF(IFERROR(INDEX(tsk_Name,GanttView[[#This Row],[_Row]])="",TRUE()),FALSE(),INDEX(tsk_Critical,GanttView[[#This Row],[_Row]])="Yes")</f>
        <v>0</v>
      </c>
    </row>
    <row r="162" customFormat="false" ht="15" hidden="false" customHeight="false" outlineLevel="0" collapsed="false">
      <c r="A162" s="126" t="str">
        <f aca="false">IF(IFERROR(INDEX(tsk_Name,GanttView[[#This Row],[_Row]])="",TRUE()),"",INDEX(tsk_ID,GanttView[[#This Row],[_Row]]))</f>
        <v/>
      </c>
      <c r="B162" s="126" t="str">
        <f aca="false">IF(IFERROR(INDEX(tsk_Name,GanttView[[#This Row],[_Row]])="",TRUE()),"",INDEX(tsk_WBS,GanttView[[#This Row],[_Row]]))</f>
        <v/>
      </c>
      <c r="C162" s="127" t="str">
        <f aca="false">IF(IFERROR(INDEX(tsk_Name,GanttView[[#This Row],[_Row]])="",TRUE()),"",REPT("    ",INDEX(tsk_Level,GanttView[[#This Row],[_Row]])-1)&amp;INDEX(tsk_Name,GanttView[[#This Row],[_Row]]))</f>
        <v/>
      </c>
      <c r="D162" s="126" t="str">
        <f aca="false">IF(IFERROR(INDEX(tsk_Name,GanttView[[#This Row],[_Row]])="",TRUE()),"",IF(INDEX(tsk_IsSummary,GanttView[[#This Row],[_Row]]),NETWORKDAYS.INTL(INDEX(tsk_FcStart,GanttView[[#This Row],[_Row]]),INDEX(tsk_FcFinish,GanttView[[#This Row],[_Row]]),WorkWeek,Holidays),N(INDEX(tsk_Duration,GanttView[[#This Row],[_Row]]))))</f>
        <v/>
      </c>
      <c r="E162" s="128" t="str">
        <f aca="false">IF(IFERROR(INDEX(tsk_Name,GanttView[[#This Row],[_Row]])="",TRUE()),"",INDEX(tsk_PlanStart,GanttView[[#This Row],[_Row]]))</f>
        <v/>
      </c>
      <c r="F162" s="128" t="str">
        <f aca="false">IF(IFERROR(INDEX(tsk_Name,GanttView[[#This Row],[_Row]])="",TRUE()),"",INDEX(tsk_PlanFinish,GanttView[[#This Row],[_Row]]))</f>
        <v/>
      </c>
      <c r="G162" s="128" t="str">
        <f aca="false">IF(IFERROR(INDEX(tsk_Name,GanttView[[#This Row],[_Row]])="",TRUE()),"",INDEX(tsk_FcStart,GanttView[[#This Row],[_Row]]))</f>
        <v/>
      </c>
      <c r="H162" s="128" t="str">
        <f aca="false">IF(IFERROR(INDEX(tsk_Name,GanttView[[#This Row],[_Row]])="",TRUE()),"",INDEX(tsk_FcFinish,GanttView[[#This Row],[_Row]]))</f>
        <v/>
      </c>
      <c r="I162" s="129" t="str">
        <f aca="false">IF(IFERROR(INDEX(tsk_Name,GanttView[[#This Row],[_Row]])="",TRUE()),"",INDEX(tsk_Progress,GanttView[[#This Row],[_Row]]))</f>
        <v/>
      </c>
      <c r="J162" s="127" t="str">
        <f aca="false">IF(IFERROR(INDEX(tsk_Name,GanttView[[#This Row],[_Row]])="",TRUE()),"",INDEX(tsk_ResourceNames,GanttView[[#This Row],[_Row]])&amp;"")</f>
        <v/>
      </c>
      <c r="K162" s="126" t="str">
        <f aca="false">IF(IFERROR(INDEX(tsk_Name,GanttView[[#This Row],[_Row]])="",TRUE()),"",INDEX(tsk_Status,GanttView[[#This Row],[_Row]]))</f>
        <v/>
      </c>
      <c r="L162" s="126" t="str">
        <f aca="false">IF(IFERROR(INDEX(tsk_Name,GanttView[[#This Row],[_Row]])="",TRUE()),"",INDEX(tsk_Show,GanttView[[#This Row],[_Row]])&amp;"")</f>
        <v/>
      </c>
      <c r="M162" s="130" t="n">
        <f aca="false">ROW()-ROW(GanttView[[#Headers],[ID]])</f>
        <v>157</v>
      </c>
      <c r="N162" s="131" t="b">
        <f aca="false">IF(IFERROR(INDEX(tsk_Name,GanttView[[#This Row],[_Row]])="",TRUE()),FALSE(),INDEX(tsk_IsSummary,GanttView[[#This Row],[_Row]]))</f>
        <v>0</v>
      </c>
      <c r="O162" s="131" t="b">
        <f aca="false">IF(IFERROR(INDEX(tsk_Name,GanttView[[#This Row],[_Row]])="",TRUE()),FALSE(),AND(INDEX(tsk_IsLeaf,GanttView[[#This Row],[_Row]])=1,N(INDEX(tsk_Duration,GanttView[[#This Row],[_Row]]))=0))</f>
        <v>0</v>
      </c>
      <c r="P162" s="132" t="n">
        <f aca="false">IF(IFERROR(INDEX(tsk_Name,GanttView[[#This Row],[_Row]])="",TRUE()),0,IF(AND(INDEX(tsk_IsLeaf,GanttView[[#This Row],[_Row]])=1,NOT(GanttView[[#This Row],[_IsMilestone]]),N(GanttView[[#This Row],[%]])&gt;0),GanttView[[#This Row],[Forecast Start]],0))</f>
        <v>0</v>
      </c>
      <c r="Q162" s="132" t="n">
        <f aca="false">IF(GanttView[[#This Row],[_DoneFrom]]=0,0,IF(GanttView[[#This Row],[%]]&gt;=1,GanttView[[#This Row],[Forecast Finish]],MAX(GanttView[[#This Row],[_DoneFrom]],GanttView[[#This Row],[Forecast Start]]+ROUND((GanttView[[#This Row],[Forecast Finish]]-GanttView[[#This Row],[Forecast Start]]+1)*GanttView[[#This Row],[%]],0)-1)))</f>
        <v>0</v>
      </c>
      <c r="R162" s="132" t="n">
        <f aca="false">IF(IFERROR(INDEX(tsk_Name,GanttView[[#This Row],[_Row]])="",TRUE()),0,IF(OR(INDEX(tsk_IsLeaf,GanttView[[#This Row],[_Row]])&lt;&gt;1,GanttView[[#This Row],[_IsMilestone]],N(GanttView[[#This Row],[%]])&gt;=1),0,IF(GanttView[[#This Row],[_DoneTo]]&gt;0,GanttView[[#This Row],[_DoneTo]]+1,GanttView[[#This Row],[Forecast Start]])))</f>
        <v>0</v>
      </c>
      <c r="S162" s="132" t="n">
        <f aca="false">IF(GanttView[[#This Row],[_RemFrom]]=0,0,GanttView[[#This Row],[Forecast Finish]])</f>
        <v>0</v>
      </c>
      <c r="T162" s="131" t="b">
        <f aca="false">IF(IFERROR(INDEX(tsk_Name,GanttView[[#This Row],[_Row]])="",TRUE()),FALSE(),N(INDEX(tsk_Variance,GanttView[[#This Row],[_Row]]))&gt;0)</f>
        <v>0</v>
      </c>
      <c r="U162" s="132" t="n">
        <f aca="false">IF(IFERROR(INDEX(tsk_Name,GanttView[[#This Row],[_Row]])="",TRUE()),0,N(INDEX(tsk_Deadline,GanttView[[#This Row],[_Row]])))</f>
        <v>0</v>
      </c>
      <c r="V162" s="131" t="b">
        <f aca="false">IF(IFERROR(INDEX(tsk_Name,GanttView[[#This Row],[_Row]])="",TRUE()),FALSE(),INDEX(tsk_Critical,GanttView[[#This Row],[_Row]])="Yes")</f>
        <v>0</v>
      </c>
    </row>
    <row r="163" customFormat="false" ht="15" hidden="false" customHeight="false" outlineLevel="0" collapsed="false">
      <c r="A163" s="126" t="str">
        <f aca="false">IF(IFERROR(INDEX(tsk_Name,GanttView[[#This Row],[_Row]])="",TRUE()),"",INDEX(tsk_ID,GanttView[[#This Row],[_Row]]))</f>
        <v/>
      </c>
      <c r="B163" s="126" t="str">
        <f aca="false">IF(IFERROR(INDEX(tsk_Name,GanttView[[#This Row],[_Row]])="",TRUE()),"",INDEX(tsk_WBS,GanttView[[#This Row],[_Row]]))</f>
        <v/>
      </c>
      <c r="C163" s="127" t="str">
        <f aca="false">IF(IFERROR(INDEX(tsk_Name,GanttView[[#This Row],[_Row]])="",TRUE()),"",REPT("    ",INDEX(tsk_Level,GanttView[[#This Row],[_Row]])-1)&amp;INDEX(tsk_Name,GanttView[[#This Row],[_Row]]))</f>
        <v/>
      </c>
      <c r="D163" s="126" t="str">
        <f aca="false">IF(IFERROR(INDEX(tsk_Name,GanttView[[#This Row],[_Row]])="",TRUE()),"",IF(INDEX(tsk_IsSummary,GanttView[[#This Row],[_Row]]),NETWORKDAYS.INTL(INDEX(tsk_FcStart,GanttView[[#This Row],[_Row]]),INDEX(tsk_FcFinish,GanttView[[#This Row],[_Row]]),WorkWeek,Holidays),N(INDEX(tsk_Duration,GanttView[[#This Row],[_Row]]))))</f>
        <v/>
      </c>
      <c r="E163" s="128" t="str">
        <f aca="false">IF(IFERROR(INDEX(tsk_Name,GanttView[[#This Row],[_Row]])="",TRUE()),"",INDEX(tsk_PlanStart,GanttView[[#This Row],[_Row]]))</f>
        <v/>
      </c>
      <c r="F163" s="128" t="str">
        <f aca="false">IF(IFERROR(INDEX(tsk_Name,GanttView[[#This Row],[_Row]])="",TRUE()),"",INDEX(tsk_PlanFinish,GanttView[[#This Row],[_Row]]))</f>
        <v/>
      </c>
      <c r="G163" s="128" t="str">
        <f aca="false">IF(IFERROR(INDEX(tsk_Name,GanttView[[#This Row],[_Row]])="",TRUE()),"",INDEX(tsk_FcStart,GanttView[[#This Row],[_Row]]))</f>
        <v/>
      </c>
      <c r="H163" s="128" t="str">
        <f aca="false">IF(IFERROR(INDEX(tsk_Name,GanttView[[#This Row],[_Row]])="",TRUE()),"",INDEX(tsk_FcFinish,GanttView[[#This Row],[_Row]]))</f>
        <v/>
      </c>
      <c r="I163" s="129" t="str">
        <f aca="false">IF(IFERROR(INDEX(tsk_Name,GanttView[[#This Row],[_Row]])="",TRUE()),"",INDEX(tsk_Progress,GanttView[[#This Row],[_Row]]))</f>
        <v/>
      </c>
      <c r="J163" s="127" t="str">
        <f aca="false">IF(IFERROR(INDEX(tsk_Name,GanttView[[#This Row],[_Row]])="",TRUE()),"",INDEX(tsk_ResourceNames,GanttView[[#This Row],[_Row]])&amp;"")</f>
        <v/>
      </c>
      <c r="K163" s="126" t="str">
        <f aca="false">IF(IFERROR(INDEX(tsk_Name,GanttView[[#This Row],[_Row]])="",TRUE()),"",INDEX(tsk_Status,GanttView[[#This Row],[_Row]]))</f>
        <v/>
      </c>
      <c r="L163" s="126" t="str">
        <f aca="false">IF(IFERROR(INDEX(tsk_Name,GanttView[[#This Row],[_Row]])="",TRUE()),"",INDEX(tsk_Show,GanttView[[#This Row],[_Row]])&amp;"")</f>
        <v/>
      </c>
      <c r="M163" s="130" t="n">
        <f aca="false">ROW()-ROW(GanttView[[#Headers],[ID]])</f>
        <v>158</v>
      </c>
      <c r="N163" s="131" t="b">
        <f aca="false">IF(IFERROR(INDEX(tsk_Name,GanttView[[#This Row],[_Row]])="",TRUE()),FALSE(),INDEX(tsk_IsSummary,GanttView[[#This Row],[_Row]]))</f>
        <v>0</v>
      </c>
      <c r="O163" s="131" t="b">
        <f aca="false">IF(IFERROR(INDEX(tsk_Name,GanttView[[#This Row],[_Row]])="",TRUE()),FALSE(),AND(INDEX(tsk_IsLeaf,GanttView[[#This Row],[_Row]])=1,N(INDEX(tsk_Duration,GanttView[[#This Row],[_Row]]))=0))</f>
        <v>0</v>
      </c>
      <c r="P163" s="132" t="n">
        <f aca="false">IF(IFERROR(INDEX(tsk_Name,GanttView[[#This Row],[_Row]])="",TRUE()),0,IF(AND(INDEX(tsk_IsLeaf,GanttView[[#This Row],[_Row]])=1,NOT(GanttView[[#This Row],[_IsMilestone]]),N(GanttView[[#This Row],[%]])&gt;0),GanttView[[#This Row],[Forecast Start]],0))</f>
        <v>0</v>
      </c>
      <c r="Q163" s="132" t="n">
        <f aca="false">IF(GanttView[[#This Row],[_DoneFrom]]=0,0,IF(GanttView[[#This Row],[%]]&gt;=1,GanttView[[#This Row],[Forecast Finish]],MAX(GanttView[[#This Row],[_DoneFrom]],GanttView[[#This Row],[Forecast Start]]+ROUND((GanttView[[#This Row],[Forecast Finish]]-GanttView[[#This Row],[Forecast Start]]+1)*GanttView[[#This Row],[%]],0)-1)))</f>
        <v>0</v>
      </c>
      <c r="R163" s="132" t="n">
        <f aca="false">IF(IFERROR(INDEX(tsk_Name,GanttView[[#This Row],[_Row]])="",TRUE()),0,IF(OR(INDEX(tsk_IsLeaf,GanttView[[#This Row],[_Row]])&lt;&gt;1,GanttView[[#This Row],[_IsMilestone]],N(GanttView[[#This Row],[%]])&gt;=1),0,IF(GanttView[[#This Row],[_DoneTo]]&gt;0,GanttView[[#This Row],[_DoneTo]]+1,GanttView[[#This Row],[Forecast Start]])))</f>
        <v>0</v>
      </c>
      <c r="S163" s="132" t="n">
        <f aca="false">IF(GanttView[[#This Row],[_RemFrom]]=0,0,GanttView[[#This Row],[Forecast Finish]])</f>
        <v>0</v>
      </c>
      <c r="T163" s="131" t="b">
        <f aca="false">IF(IFERROR(INDEX(tsk_Name,GanttView[[#This Row],[_Row]])="",TRUE()),FALSE(),N(INDEX(tsk_Variance,GanttView[[#This Row],[_Row]]))&gt;0)</f>
        <v>0</v>
      </c>
      <c r="U163" s="132" t="n">
        <f aca="false">IF(IFERROR(INDEX(tsk_Name,GanttView[[#This Row],[_Row]])="",TRUE()),0,N(INDEX(tsk_Deadline,GanttView[[#This Row],[_Row]])))</f>
        <v>0</v>
      </c>
      <c r="V163" s="131" t="b">
        <f aca="false">IF(IFERROR(INDEX(tsk_Name,GanttView[[#This Row],[_Row]])="",TRUE()),FALSE(),INDEX(tsk_Critical,GanttView[[#This Row],[_Row]])="Yes")</f>
        <v>0</v>
      </c>
    </row>
    <row r="164" customFormat="false" ht="15" hidden="false" customHeight="false" outlineLevel="0" collapsed="false">
      <c r="A164" s="126" t="str">
        <f aca="false">IF(IFERROR(INDEX(tsk_Name,GanttView[[#This Row],[_Row]])="",TRUE()),"",INDEX(tsk_ID,GanttView[[#This Row],[_Row]]))</f>
        <v/>
      </c>
      <c r="B164" s="126" t="str">
        <f aca="false">IF(IFERROR(INDEX(tsk_Name,GanttView[[#This Row],[_Row]])="",TRUE()),"",INDEX(tsk_WBS,GanttView[[#This Row],[_Row]]))</f>
        <v/>
      </c>
      <c r="C164" s="127" t="str">
        <f aca="false">IF(IFERROR(INDEX(tsk_Name,GanttView[[#This Row],[_Row]])="",TRUE()),"",REPT("    ",INDEX(tsk_Level,GanttView[[#This Row],[_Row]])-1)&amp;INDEX(tsk_Name,GanttView[[#This Row],[_Row]]))</f>
        <v/>
      </c>
      <c r="D164" s="126" t="str">
        <f aca="false">IF(IFERROR(INDEX(tsk_Name,GanttView[[#This Row],[_Row]])="",TRUE()),"",IF(INDEX(tsk_IsSummary,GanttView[[#This Row],[_Row]]),NETWORKDAYS.INTL(INDEX(tsk_FcStart,GanttView[[#This Row],[_Row]]),INDEX(tsk_FcFinish,GanttView[[#This Row],[_Row]]),WorkWeek,Holidays),N(INDEX(tsk_Duration,GanttView[[#This Row],[_Row]]))))</f>
        <v/>
      </c>
      <c r="E164" s="128" t="str">
        <f aca="false">IF(IFERROR(INDEX(tsk_Name,GanttView[[#This Row],[_Row]])="",TRUE()),"",INDEX(tsk_PlanStart,GanttView[[#This Row],[_Row]]))</f>
        <v/>
      </c>
      <c r="F164" s="128" t="str">
        <f aca="false">IF(IFERROR(INDEX(tsk_Name,GanttView[[#This Row],[_Row]])="",TRUE()),"",INDEX(tsk_PlanFinish,GanttView[[#This Row],[_Row]]))</f>
        <v/>
      </c>
      <c r="G164" s="128" t="str">
        <f aca="false">IF(IFERROR(INDEX(tsk_Name,GanttView[[#This Row],[_Row]])="",TRUE()),"",INDEX(tsk_FcStart,GanttView[[#This Row],[_Row]]))</f>
        <v/>
      </c>
      <c r="H164" s="128" t="str">
        <f aca="false">IF(IFERROR(INDEX(tsk_Name,GanttView[[#This Row],[_Row]])="",TRUE()),"",INDEX(tsk_FcFinish,GanttView[[#This Row],[_Row]]))</f>
        <v/>
      </c>
      <c r="I164" s="129" t="str">
        <f aca="false">IF(IFERROR(INDEX(tsk_Name,GanttView[[#This Row],[_Row]])="",TRUE()),"",INDEX(tsk_Progress,GanttView[[#This Row],[_Row]]))</f>
        <v/>
      </c>
      <c r="J164" s="127" t="str">
        <f aca="false">IF(IFERROR(INDEX(tsk_Name,GanttView[[#This Row],[_Row]])="",TRUE()),"",INDEX(tsk_ResourceNames,GanttView[[#This Row],[_Row]])&amp;"")</f>
        <v/>
      </c>
      <c r="K164" s="126" t="str">
        <f aca="false">IF(IFERROR(INDEX(tsk_Name,GanttView[[#This Row],[_Row]])="",TRUE()),"",INDEX(tsk_Status,GanttView[[#This Row],[_Row]]))</f>
        <v/>
      </c>
      <c r="L164" s="126" t="str">
        <f aca="false">IF(IFERROR(INDEX(tsk_Name,GanttView[[#This Row],[_Row]])="",TRUE()),"",INDEX(tsk_Show,GanttView[[#This Row],[_Row]])&amp;"")</f>
        <v/>
      </c>
      <c r="M164" s="130" t="n">
        <f aca="false">ROW()-ROW(GanttView[[#Headers],[ID]])</f>
        <v>159</v>
      </c>
      <c r="N164" s="131" t="b">
        <f aca="false">IF(IFERROR(INDEX(tsk_Name,GanttView[[#This Row],[_Row]])="",TRUE()),FALSE(),INDEX(tsk_IsSummary,GanttView[[#This Row],[_Row]]))</f>
        <v>0</v>
      </c>
      <c r="O164" s="131" t="b">
        <f aca="false">IF(IFERROR(INDEX(tsk_Name,GanttView[[#This Row],[_Row]])="",TRUE()),FALSE(),AND(INDEX(tsk_IsLeaf,GanttView[[#This Row],[_Row]])=1,N(INDEX(tsk_Duration,GanttView[[#This Row],[_Row]]))=0))</f>
        <v>0</v>
      </c>
      <c r="P164" s="132" t="n">
        <f aca="false">IF(IFERROR(INDEX(tsk_Name,GanttView[[#This Row],[_Row]])="",TRUE()),0,IF(AND(INDEX(tsk_IsLeaf,GanttView[[#This Row],[_Row]])=1,NOT(GanttView[[#This Row],[_IsMilestone]]),N(GanttView[[#This Row],[%]])&gt;0),GanttView[[#This Row],[Forecast Start]],0))</f>
        <v>0</v>
      </c>
      <c r="Q164" s="132" t="n">
        <f aca="false">IF(GanttView[[#This Row],[_DoneFrom]]=0,0,IF(GanttView[[#This Row],[%]]&gt;=1,GanttView[[#This Row],[Forecast Finish]],MAX(GanttView[[#This Row],[_DoneFrom]],GanttView[[#This Row],[Forecast Start]]+ROUND((GanttView[[#This Row],[Forecast Finish]]-GanttView[[#This Row],[Forecast Start]]+1)*GanttView[[#This Row],[%]],0)-1)))</f>
        <v>0</v>
      </c>
      <c r="R164" s="132" t="n">
        <f aca="false">IF(IFERROR(INDEX(tsk_Name,GanttView[[#This Row],[_Row]])="",TRUE()),0,IF(OR(INDEX(tsk_IsLeaf,GanttView[[#This Row],[_Row]])&lt;&gt;1,GanttView[[#This Row],[_IsMilestone]],N(GanttView[[#This Row],[%]])&gt;=1),0,IF(GanttView[[#This Row],[_DoneTo]]&gt;0,GanttView[[#This Row],[_DoneTo]]+1,GanttView[[#This Row],[Forecast Start]])))</f>
        <v>0</v>
      </c>
      <c r="S164" s="132" t="n">
        <f aca="false">IF(GanttView[[#This Row],[_RemFrom]]=0,0,GanttView[[#This Row],[Forecast Finish]])</f>
        <v>0</v>
      </c>
      <c r="T164" s="131" t="b">
        <f aca="false">IF(IFERROR(INDEX(tsk_Name,GanttView[[#This Row],[_Row]])="",TRUE()),FALSE(),N(INDEX(tsk_Variance,GanttView[[#This Row],[_Row]]))&gt;0)</f>
        <v>0</v>
      </c>
      <c r="U164" s="132" t="n">
        <f aca="false">IF(IFERROR(INDEX(tsk_Name,GanttView[[#This Row],[_Row]])="",TRUE()),0,N(INDEX(tsk_Deadline,GanttView[[#This Row],[_Row]])))</f>
        <v>0</v>
      </c>
      <c r="V164" s="131" t="b">
        <f aca="false">IF(IFERROR(INDEX(tsk_Name,GanttView[[#This Row],[_Row]])="",TRUE()),FALSE(),INDEX(tsk_Critical,GanttView[[#This Row],[_Row]])="Yes")</f>
        <v>0</v>
      </c>
    </row>
    <row r="165" customFormat="false" ht="15" hidden="false" customHeight="false" outlineLevel="0" collapsed="false">
      <c r="A165" s="126" t="str">
        <f aca="false">IF(IFERROR(INDEX(tsk_Name,GanttView[[#This Row],[_Row]])="",TRUE()),"",INDEX(tsk_ID,GanttView[[#This Row],[_Row]]))</f>
        <v/>
      </c>
      <c r="B165" s="126" t="str">
        <f aca="false">IF(IFERROR(INDEX(tsk_Name,GanttView[[#This Row],[_Row]])="",TRUE()),"",INDEX(tsk_WBS,GanttView[[#This Row],[_Row]]))</f>
        <v/>
      </c>
      <c r="C165" s="127" t="str">
        <f aca="false">IF(IFERROR(INDEX(tsk_Name,GanttView[[#This Row],[_Row]])="",TRUE()),"",REPT("    ",INDEX(tsk_Level,GanttView[[#This Row],[_Row]])-1)&amp;INDEX(tsk_Name,GanttView[[#This Row],[_Row]]))</f>
        <v/>
      </c>
      <c r="D165" s="126" t="str">
        <f aca="false">IF(IFERROR(INDEX(tsk_Name,GanttView[[#This Row],[_Row]])="",TRUE()),"",IF(INDEX(tsk_IsSummary,GanttView[[#This Row],[_Row]]),NETWORKDAYS.INTL(INDEX(tsk_FcStart,GanttView[[#This Row],[_Row]]),INDEX(tsk_FcFinish,GanttView[[#This Row],[_Row]]),WorkWeek,Holidays),N(INDEX(tsk_Duration,GanttView[[#This Row],[_Row]]))))</f>
        <v/>
      </c>
      <c r="E165" s="128" t="str">
        <f aca="false">IF(IFERROR(INDEX(tsk_Name,GanttView[[#This Row],[_Row]])="",TRUE()),"",INDEX(tsk_PlanStart,GanttView[[#This Row],[_Row]]))</f>
        <v/>
      </c>
      <c r="F165" s="128" t="str">
        <f aca="false">IF(IFERROR(INDEX(tsk_Name,GanttView[[#This Row],[_Row]])="",TRUE()),"",INDEX(tsk_PlanFinish,GanttView[[#This Row],[_Row]]))</f>
        <v/>
      </c>
      <c r="G165" s="128" t="str">
        <f aca="false">IF(IFERROR(INDEX(tsk_Name,GanttView[[#This Row],[_Row]])="",TRUE()),"",INDEX(tsk_FcStart,GanttView[[#This Row],[_Row]]))</f>
        <v/>
      </c>
      <c r="H165" s="128" t="str">
        <f aca="false">IF(IFERROR(INDEX(tsk_Name,GanttView[[#This Row],[_Row]])="",TRUE()),"",INDEX(tsk_FcFinish,GanttView[[#This Row],[_Row]]))</f>
        <v/>
      </c>
      <c r="I165" s="129" t="str">
        <f aca="false">IF(IFERROR(INDEX(tsk_Name,GanttView[[#This Row],[_Row]])="",TRUE()),"",INDEX(tsk_Progress,GanttView[[#This Row],[_Row]]))</f>
        <v/>
      </c>
      <c r="J165" s="127" t="str">
        <f aca="false">IF(IFERROR(INDEX(tsk_Name,GanttView[[#This Row],[_Row]])="",TRUE()),"",INDEX(tsk_ResourceNames,GanttView[[#This Row],[_Row]])&amp;"")</f>
        <v/>
      </c>
      <c r="K165" s="126" t="str">
        <f aca="false">IF(IFERROR(INDEX(tsk_Name,GanttView[[#This Row],[_Row]])="",TRUE()),"",INDEX(tsk_Status,GanttView[[#This Row],[_Row]]))</f>
        <v/>
      </c>
      <c r="L165" s="126" t="str">
        <f aca="false">IF(IFERROR(INDEX(tsk_Name,GanttView[[#This Row],[_Row]])="",TRUE()),"",INDEX(tsk_Show,GanttView[[#This Row],[_Row]])&amp;"")</f>
        <v/>
      </c>
      <c r="M165" s="130" t="n">
        <f aca="false">ROW()-ROW(GanttView[[#Headers],[ID]])</f>
        <v>160</v>
      </c>
      <c r="N165" s="131" t="b">
        <f aca="false">IF(IFERROR(INDEX(tsk_Name,GanttView[[#This Row],[_Row]])="",TRUE()),FALSE(),INDEX(tsk_IsSummary,GanttView[[#This Row],[_Row]]))</f>
        <v>0</v>
      </c>
      <c r="O165" s="131" t="b">
        <f aca="false">IF(IFERROR(INDEX(tsk_Name,GanttView[[#This Row],[_Row]])="",TRUE()),FALSE(),AND(INDEX(tsk_IsLeaf,GanttView[[#This Row],[_Row]])=1,N(INDEX(tsk_Duration,GanttView[[#This Row],[_Row]]))=0))</f>
        <v>0</v>
      </c>
      <c r="P165" s="132" t="n">
        <f aca="false">IF(IFERROR(INDEX(tsk_Name,GanttView[[#This Row],[_Row]])="",TRUE()),0,IF(AND(INDEX(tsk_IsLeaf,GanttView[[#This Row],[_Row]])=1,NOT(GanttView[[#This Row],[_IsMilestone]]),N(GanttView[[#This Row],[%]])&gt;0),GanttView[[#This Row],[Forecast Start]],0))</f>
        <v>0</v>
      </c>
      <c r="Q165" s="132" t="n">
        <f aca="false">IF(GanttView[[#This Row],[_DoneFrom]]=0,0,IF(GanttView[[#This Row],[%]]&gt;=1,GanttView[[#This Row],[Forecast Finish]],MAX(GanttView[[#This Row],[_DoneFrom]],GanttView[[#This Row],[Forecast Start]]+ROUND((GanttView[[#This Row],[Forecast Finish]]-GanttView[[#This Row],[Forecast Start]]+1)*GanttView[[#This Row],[%]],0)-1)))</f>
        <v>0</v>
      </c>
      <c r="R165" s="132" t="n">
        <f aca="false">IF(IFERROR(INDEX(tsk_Name,GanttView[[#This Row],[_Row]])="",TRUE()),0,IF(OR(INDEX(tsk_IsLeaf,GanttView[[#This Row],[_Row]])&lt;&gt;1,GanttView[[#This Row],[_IsMilestone]],N(GanttView[[#This Row],[%]])&gt;=1),0,IF(GanttView[[#This Row],[_DoneTo]]&gt;0,GanttView[[#This Row],[_DoneTo]]+1,GanttView[[#This Row],[Forecast Start]])))</f>
        <v>0</v>
      </c>
      <c r="S165" s="132" t="n">
        <f aca="false">IF(GanttView[[#This Row],[_RemFrom]]=0,0,GanttView[[#This Row],[Forecast Finish]])</f>
        <v>0</v>
      </c>
      <c r="T165" s="131" t="b">
        <f aca="false">IF(IFERROR(INDEX(tsk_Name,GanttView[[#This Row],[_Row]])="",TRUE()),FALSE(),N(INDEX(tsk_Variance,GanttView[[#This Row],[_Row]]))&gt;0)</f>
        <v>0</v>
      </c>
      <c r="U165" s="132" t="n">
        <f aca="false">IF(IFERROR(INDEX(tsk_Name,GanttView[[#This Row],[_Row]])="",TRUE()),0,N(INDEX(tsk_Deadline,GanttView[[#This Row],[_Row]])))</f>
        <v>0</v>
      </c>
      <c r="V165" s="131" t="b">
        <f aca="false">IF(IFERROR(INDEX(tsk_Name,GanttView[[#This Row],[_Row]])="",TRUE()),FALSE(),INDEX(tsk_Critical,GanttView[[#This Row],[_Row]])="Yes")</f>
        <v>0</v>
      </c>
    </row>
    <row r="166" customFormat="false" ht="15" hidden="false" customHeight="false" outlineLevel="0" collapsed="false">
      <c r="A166" s="126" t="str">
        <f aca="false">IF(IFERROR(INDEX(tsk_Name,GanttView[[#This Row],[_Row]])="",TRUE()),"",INDEX(tsk_ID,GanttView[[#This Row],[_Row]]))</f>
        <v/>
      </c>
      <c r="B166" s="126" t="str">
        <f aca="false">IF(IFERROR(INDEX(tsk_Name,GanttView[[#This Row],[_Row]])="",TRUE()),"",INDEX(tsk_WBS,GanttView[[#This Row],[_Row]]))</f>
        <v/>
      </c>
      <c r="C166" s="127" t="str">
        <f aca="false">IF(IFERROR(INDEX(tsk_Name,GanttView[[#This Row],[_Row]])="",TRUE()),"",REPT("    ",INDEX(tsk_Level,GanttView[[#This Row],[_Row]])-1)&amp;INDEX(tsk_Name,GanttView[[#This Row],[_Row]]))</f>
        <v/>
      </c>
      <c r="D166" s="126" t="str">
        <f aca="false">IF(IFERROR(INDEX(tsk_Name,GanttView[[#This Row],[_Row]])="",TRUE()),"",IF(INDEX(tsk_IsSummary,GanttView[[#This Row],[_Row]]),NETWORKDAYS.INTL(INDEX(tsk_FcStart,GanttView[[#This Row],[_Row]]),INDEX(tsk_FcFinish,GanttView[[#This Row],[_Row]]),WorkWeek,Holidays),N(INDEX(tsk_Duration,GanttView[[#This Row],[_Row]]))))</f>
        <v/>
      </c>
      <c r="E166" s="128" t="str">
        <f aca="false">IF(IFERROR(INDEX(tsk_Name,GanttView[[#This Row],[_Row]])="",TRUE()),"",INDEX(tsk_PlanStart,GanttView[[#This Row],[_Row]]))</f>
        <v/>
      </c>
      <c r="F166" s="128" t="str">
        <f aca="false">IF(IFERROR(INDEX(tsk_Name,GanttView[[#This Row],[_Row]])="",TRUE()),"",INDEX(tsk_PlanFinish,GanttView[[#This Row],[_Row]]))</f>
        <v/>
      </c>
      <c r="G166" s="128" t="str">
        <f aca="false">IF(IFERROR(INDEX(tsk_Name,GanttView[[#This Row],[_Row]])="",TRUE()),"",INDEX(tsk_FcStart,GanttView[[#This Row],[_Row]]))</f>
        <v/>
      </c>
      <c r="H166" s="128" t="str">
        <f aca="false">IF(IFERROR(INDEX(tsk_Name,GanttView[[#This Row],[_Row]])="",TRUE()),"",INDEX(tsk_FcFinish,GanttView[[#This Row],[_Row]]))</f>
        <v/>
      </c>
      <c r="I166" s="129" t="str">
        <f aca="false">IF(IFERROR(INDEX(tsk_Name,GanttView[[#This Row],[_Row]])="",TRUE()),"",INDEX(tsk_Progress,GanttView[[#This Row],[_Row]]))</f>
        <v/>
      </c>
      <c r="J166" s="127" t="str">
        <f aca="false">IF(IFERROR(INDEX(tsk_Name,GanttView[[#This Row],[_Row]])="",TRUE()),"",INDEX(tsk_ResourceNames,GanttView[[#This Row],[_Row]])&amp;"")</f>
        <v/>
      </c>
      <c r="K166" s="126" t="str">
        <f aca="false">IF(IFERROR(INDEX(tsk_Name,GanttView[[#This Row],[_Row]])="",TRUE()),"",INDEX(tsk_Status,GanttView[[#This Row],[_Row]]))</f>
        <v/>
      </c>
      <c r="L166" s="126" t="str">
        <f aca="false">IF(IFERROR(INDEX(tsk_Name,GanttView[[#This Row],[_Row]])="",TRUE()),"",INDEX(tsk_Show,GanttView[[#This Row],[_Row]])&amp;"")</f>
        <v/>
      </c>
      <c r="M166" s="130" t="n">
        <f aca="false">ROW()-ROW(GanttView[[#Headers],[ID]])</f>
        <v>161</v>
      </c>
      <c r="N166" s="131" t="b">
        <f aca="false">IF(IFERROR(INDEX(tsk_Name,GanttView[[#This Row],[_Row]])="",TRUE()),FALSE(),INDEX(tsk_IsSummary,GanttView[[#This Row],[_Row]]))</f>
        <v>0</v>
      </c>
      <c r="O166" s="131" t="b">
        <f aca="false">IF(IFERROR(INDEX(tsk_Name,GanttView[[#This Row],[_Row]])="",TRUE()),FALSE(),AND(INDEX(tsk_IsLeaf,GanttView[[#This Row],[_Row]])=1,N(INDEX(tsk_Duration,GanttView[[#This Row],[_Row]]))=0))</f>
        <v>0</v>
      </c>
      <c r="P166" s="132" t="n">
        <f aca="false">IF(IFERROR(INDEX(tsk_Name,GanttView[[#This Row],[_Row]])="",TRUE()),0,IF(AND(INDEX(tsk_IsLeaf,GanttView[[#This Row],[_Row]])=1,NOT(GanttView[[#This Row],[_IsMilestone]]),N(GanttView[[#This Row],[%]])&gt;0),GanttView[[#This Row],[Forecast Start]],0))</f>
        <v>0</v>
      </c>
      <c r="Q166" s="132" t="n">
        <f aca="false">IF(GanttView[[#This Row],[_DoneFrom]]=0,0,IF(GanttView[[#This Row],[%]]&gt;=1,GanttView[[#This Row],[Forecast Finish]],MAX(GanttView[[#This Row],[_DoneFrom]],GanttView[[#This Row],[Forecast Start]]+ROUND((GanttView[[#This Row],[Forecast Finish]]-GanttView[[#This Row],[Forecast Start]]+1)*GanttView[[#This Row],[%]],0)-1)))</f>
        <v>0</v>
      </c>
      <c r="R166" s="132" t="n">
        <f aca="false">IF(IFERROR(INDEX(tsk_Name,GanttView[[#This Row],[_Row]])="",TRUE()),0,IF(OR(INDEX(tsk_IsLeaf,GanttView[[#This Row],[_Row]])&lt;&gt;1,GanttView[[#This Row],[_IsMilestone]],N(GanttView[[#This Row],[%]])&gt;=1),0,IF(GanttView[[#This Row],[_DoneTo]]&gt;0,GanttView[[#This Row],[_DoneTo]]+1,GanttView[[#This Row],[Forecast Start]])))</f>
        <v>0</v>
      </c>
      <c r="S166" s="132" t="n">
        <f aca="false">IF(GanttView[[#This Row],[_RemFrom]]=0,0,GanttView[[#This Row],[Forecast Finish]])</f>
        <v>0</v>
      </c>
      <c r="T166" s="131" t="b">
        <f aca="false">IF(IFERROR(INDEX(tsk_Name,GanttView[[#This Row],[_Row]])="",TRUE()),FALSE(),N(INDEX(tsk_Variance,GanttView[[#This Row],[_Row]]))&gt;0)</f>
        <v>0</v>
      </c>
      <c r="U166" s="132" t="n">
        <f aca="false">IF(IFERROR(INDEX(tsk_Name,GanttView[[#This Row],[_Row]])="",TRUE()),0,N(INDEX(tsk_Deadline,GanttView[[#This Row],[_Row]])))</f>
        <v>0</v>
      </c>
      <c r="V166" s="131" t="b">
        <f aca="false">IF(IFERROR(INDEX(tsk_Name,GanttView[[#This Row],[_Row]])="",TRUE()),FALSE(),INDEX(tsk_Critical,GanttView[[#This Row],[_Row]])="Yes")</f>
        <v>0</v>
      </c>
    </row>
    <row r="167" customFormat="false" ht="15" hidden="false" customHeight="false" outlineLevel="0" collapsed="false">
      <c r="A167" s="126" t="str">
        <f aca="false">IF(IFERROR(INDEX(tsk_Name,GanttView[[#This Row],[_Row]])="",TRUE()),"",INDEX(tsk_ID,GanttView[[#This Row],[_Row]]))</f>
        <v/>
      </c>
      <c r="B167" s="126" t="str">
        <f aca="false">IF(IFERROR(INDEX(tsk_Name,GanttView[[#This Row],[_Row]])="",TRUE()),"",INDEX(tsk_WBS,GanttView[[#This Row],[_Row]]))</f>
        <v/>
      </c>
      <c r="C167" s="127" t="str">
        <f aca="false">IF(IFERROR(INDEX(tsk_Name,GanttView[[#This Row],[_Row]])="",TRUE()),"",REPT("    ",INDEX(tsk_Level,GanttView[[#This Row],[_Row]])-1)&amp;INDEX(tsk_Name,GanttView[[#This Row],[_Row]]))</f>
        <v/>
      </c>
      <c r="D167" s="126" t="str">
        <f aca="false">IF(IFERROR(INDEX(tsk_Name,GanttView[[#This Row],[_Row]])="",TRUE()),"",IF(INDEX(tsk_IsSummary,GanttView[[#This Row],[_Row]]),NETWORKDAYS.INTL(INDEX(tsk_FcStart,GanttView[[#This Row],[_Row]]),INDEX(tsk_FcFinish,GanttView[[#This Row],[_Row]]),WorkWeek,Holidays),N(INDEX(tsk_Duration,GanttView[[#This Row],[_Row]]))))</f>
        <v/>
      </c>
      <c r="E167" s="128" t="str">
        <f aca="false">IF(IFERROR(INDEX(tsk_Name,GanttView[[#This Row],[_Row]])="",TRUE()),"",INDEX(tsk_PlanStart,GanttView[[#This Row],[_Row]]))</f>
        <v/>
      </c>
      <c r="F167" s="128" t="str">
        <f aca="false">IF(IFERROR(INDEX(tsk_Name,GanttView[[#This Row],[_Row]])="",TRUE()),"",INDEX(tsk_PlanFinish,GanttView[[#This Row],[_Row]]))</f>
        <v/>
      </c>
      <c r="G167" s="128" t="str">
        <f aca="false">IF(IFERROR(INDEX(tsk_Name,GanttView[[#This Row],[_Row]])="",TRUE()),"",INDEX(tsk_FcStart,GanttView[[#This Row],[_Row]]))</f>
        <v/>
      </c>
      <c r="H167" s="128" t="str">
        <f aca="false">IF(IFERROR(INDEX(tsk_Name,GanttView[[#This Row],[_Row]])="",TRUE()),"",INDEX(tsk_FcFinish,GanttView[[#This Row],[_Row]]))</f>
        <v/>
      </c>
      <c r="I167" s="129" t="str">
        <f aca="false">IF(IFERROR(INDEX(tsk_Name,GanttView[[#This Row],[_Row]])="",TRUE()),"",INDEX(tsk_Progress,GanttView[[#This Row],[_Row]]))</f>
        <v/>
      </c>
      <c r="J167" s="127" t="str">
        <f aca="false">IF(IFERROR(INDEX(tsk_Name,GanttView[[#This Row],[_Row]])="",TRUE()),"",INDEX(tsk_ResourceNames,GanttView[[#This Row],[_Row]])&amp;"")</f>
        <v/>
      </c>
      <c r="K167" s="126" t="str">
        <f aca="false">IF(IFERROR(INDEX(tsk_Name,GanttView[[#This Row],[_Row]])="",TRUE()),"",INDEX(tsk_Status,GanttView[[#This Row],[_Row]]))</f>
        <v/>
      </c>
      <c r="L167" s="126" t="str">
        <f aca="false">IF(IFERROR(INDEX(tsk_Name,GanttView[[#This Row],[_Row]])="",TRUE()),"",INDEX(tsk_Show,GanttView[[#This Row],[_Row]])&amp;"")</f>
        <v/>
      </c>
      <c r="M167" s="130" t="n">
        <f aca="false">ROW()-ROW(GanttView[[#Headers],[ID]])</f>
        <v>162</v>
      </c>
      <c r="N167" s="131" t="b">
        <f aca="false">IF(IFERROR(INDEX(tsk_Name,GanttView[[#This Row],[_Row]])="",TRUE()),FALSE(),INDEX(tsk_IsSummary,GanttView[[#This Row],[_Row]]))</f>
        <v>0</v>
      </c>
      <c r="O167" s="131" t="b">
        <f aca="false">IF(IFERROR(INDEX(tsk_Name,GanttView[[#This Row],[_Row]])="",TRUE()),FALSE(),AND(INDEX(tsk_IsLeaf,GanttView[[#This Row],[_Row]])=1,N(INDEX(tsk_Duration,GanttView[[#This Row],[_Row]]))=0))</f>
        <v>0</v>
      </c>
      <c r="P167" s="132" t="n">
        <f aca="false">IF(IFERROR(INDEX(tsk_Name,GanttView[[#This Row],[_Row]])="",TRUE()),0,IF(AND(INDEX(tsk_IsLeaf,GanttView[[#This Row],[_Row]])=1,NOT(GanttView[[#This Row],[_IsMilestone]]),N(GanttView[[#This Row],[%]])&gt;0),GanttView[[#This Row],[Forecast Start]],0))</f>
        <v>0</v>
      </c>
      <c r="Q167" s="132" t="n">
        <f aca="false">IF(GanttView[[#This Row],[_DoneFrom]]=0,0,IF(GanttView[[#This Row],[%]]&gt;=1,GanttView[[#This Row],[Forecast Finish]],MAX(GanttView[[#This Row],[_DoneFrom]],GanttView[[#This Row],[Forecast Start]]+ROUND((GanttView[[#This Row],[Forecast Finish]]-GanttView[[#This Row],[Forecast Start]]+1)*GanttView[[#This Row],[%]],0)-1)))</f>
        <v>0</v>
      </c>
      <c r="R167" s="132" t="n">
        <f aca="false">IF(IFERROR(INDEX(tsk_Name,GanttView[[#This Row],[_Row]])="",TRUE()),0,IF(OR(INDEX(tsk_IsLeaf,GanttView[[#This Row],[_Row]])&lt;&gt;1,GanttView[[#This Row],[_IsMilestone]],N(GanttView[[#This Row],[%]])&gt;=1),0,IF(GanttView[[#This Row],[_DoneTo]]&gt;0,GanttView[[#This Row],[_DoneTo]]+1,GanttView[[#This Row],[Forecast Start]])))</f>
        <v>0</v>
      </c>
      <c r="S167" s="132" t="n">
        <f aca="false">IF(GanttView[[#This Row],[_RemFrom]]=0,0,GanttView[[#This Row],[Forecast Finish]])</f>
        <v>0</v>
      </c>
      <c r="T167" s="131" t="b">
        <f aca="false">IF(IFERROR(INDEX(tsk_Name,GanttView[[#This Row],[_Row]])="",TRUE()),FALSE(),N(INDEX(tsk_Variance,GanttView[[#This Row],[_Row]]))&gt;0)</f>
        <v>0</v>
      </c>
      <c r="U167" s="132" t="n">
        <f aca="false">IF(IFERROR(INDEX(tsk_Name,GanttView[[#This Row],[_Row]])="",TRUE()),0,N(INDEX(tsk_Deadline,GanttView[[#This Row],[_Row]])))</f>
        <v>0</v>
      </c>
      <c r="V167" s="131" t="b">
        <f aca="false">IF(IFERROR(INDEX(tsk_Name,GanttView[[#This Row],[_Row]])="",TRUE()),FALSE(),INDEX(tsk_Critical,GanttView[[#This Row],[_Row]])="Yes")</f>
        <v>0</v>
      </c>
    </row>
    <row r="168" customFormat="false" ht="15" hidden="false" customHeight="false" outlineLevel="0" collapsed="false">
      <c r="A168" s="126" t="str">
        <f aca="false">IF(IFERROR(INDEX(tsk_Name,GanttView[[#This Row],[_Row]])="",TRUE()),"",INDEX(tsk_ID,GanttView[[#This Row],[_Row]]))</f>
        <v/>
      </c>
      <c r="B168" s="126" t="str">
        <f aca="false">IF(IFERROR(INDEX(tsk_Name,GanttView[[#This Row],[_Row]])="",TRUE()),"",INDEX(tsk_WBS,GanttView[[#This Row],[_Row]]))</f>
        <v/>
      </c>
      <c r="C168" s="127" t="str">
        <f aca="false">IF(IFERROR(INDEX(tsk_Name,GanttView[[#This Row],[_Row]])="",TRUE()),"",REPT("    ",INDEX(tsk_Level,GanttView[[#This Row],[_Row]])-1)&amp;INDEX(tsk_Name,GanttView[[#This Row],[_Row]]))</f>
        <v/>
      </c>
      <c r="D168" s="126" t="str">
        <f aca="false">IF(IFERROR(INDEX(tsk_Name,GanttView[[#This Row],[_Row]])="",TRUE()),"",IF(INDEX(tsk_IsSummary,GanttView[[#This Row],[_Row]]),NETWORKDAYS.INTL(INDEX(tsk_FcStart,GanttView[[#This Row],[_Row]]),INDEX(tsk_FcFinish,GanttView[[#This Row],[_Row]]),WorkWeek,Holidays),N(INDEX(tsk_Duration,GanttView[[#This Row],[_Row]]))))</f>
        <v/>
      </c>
      <c r="E168" s="128" t="str">
        <f aca="false">IF(IFERROR(INDEX(tsk_Name,GanttView[[#This Row],[_Row]])="",TRUE()),"",INDEX(tsk_PlanStart,GanttView[[#This Row],[_Row]]))</f>
        <v/>
      </c>
      <c r="F168" s="128" t="str">
        <f aca="false">IF(IFERROR(INDEX(tsk_Name,GanttView[[#This Row],[_Row]])="",TRUE()),"",INDEX(tsk_PlanFinish,GanttView[[#This Row],[_Row]]))</f>
        <v/>
      </c>
      <c r="G168" s="128" t="str">
        <f aca="false">IF(IFERROR(INDEX(tsk_Name,GanttView[[#This Row],[_Row]])="",TRUE()),"",INDEX(tsk_FcStart,GanttView[[#This Row],[_Row]]))</f>
        <v/>
      </c>
      <c r="H168" s="128" t="str">
        <f aca="false">IF(IFERROR(INDEX(tsk_Name,GanttView[[#This Row],[_Row]])="",TRUE()),"",INDEX(tsk_FcFinish,GanttView[[#This Row],[_Row]]))</f>
        <v/>
      </c>
      <c r="I168" s="129" t="str">
        <f aca="false">IF(IFERROR(INDEX(tsk_Name,GanttView[[#This Row],[_Row]])="",TRUE()),"",INDEX(tsk_Progress,GanttView[[#This Row],[_Row]]))</f>
        <v/>
      </c>
      <c r="J168" s="127" t="str">
        <f aca="false">IF(IFERROR(INDEX(tsk_Name,GanttView[[#This Row],[_Row]])="",TRUE()),"",INDEX(tsk_ResourceNames,GanttView[[#This Row],[_Row]])&amp;"")</f>
        <v/>
      </c>
      <c r="K168" s="126" t="str">
        <f aca="false">IF(IFERROR(INDEX(tsk_Name,GanttView[[#This Row],[_Row]])="",TRUE()),"",INDEX(tsk_Status,GanttView[[#This Row],[_Row]]))</f>
        <v/>
      </c>
      <c r="L168" s="126" t="str">
        <f aca="false">IF(IFERROR(INDEX(tsk_Name,GanttView[[#This Row],[_Row]])="",TRUE()),"",INDEX(tsk_Show,GanttView[[#This Row],[_Row]])&amp;"")</f>
        <v/>
      </c>
      <c r="M168" s="130" t="n">
        <f aca="false">ROW()-ROW(GanttView[[#Headers],[ID]])</f>
        <v>163</v>
      </c>
      <c r="N168" s="131" t="b">
        <f aca="false">IF(IFERROR(INDEX(tsk_Name,GanttView[[#This Row],[_Row]])="",TRUE()),FALSE(),INDEX(tsk_IsSummary,GanttView[[#This Row],[_Row]]))</f>
        <v>0</v>
      </c>
      <c r="O168" s="131" t="b">
        <f aca="false">IF(IFERROR(INDEX(tsk_Name,GanttView[[#This Row],[_Row]])="",TRUE()),FALSE(),AND(INDEX(tsk_IsLeaf,GanttView[[#This Row],[_Row]])=1,N(INDEX(tsk_Duration,GanttView[[#This Row],[_Row]]))=0))</f>
        <v>0</v>
      </c>
      <c r="P168" s="132" t="n">
        <f aca="false">IF(IFERROR(INDEX(tsk_Name,GanttView[[#This Row],[_Row]])="",TRUE()),0,IF(AND(INDEX(tsk_IsLeaf,GanttView[[#This Row],[_Row]])=1,NOT(GanttView[[#This Row],[_IsMilestone]]),N(GanttView[[#This Row],[%]])&gt;0),GanttView[[#This Row],[Forecast Start]],0))</f>
        <v>0</v>
      </c>
      <c r="Q168" s="132" t="n">
        <f aca="false">IF(GanttView[[#This Row],[_DoneFrom]]=0,0,IF(GanttView[[#This Row],[%]]&gt;=1,GanttView[[#This Row],[Forecast Finish]],MAX(GanttView[[#This Row],[_DoneFrom]],GanttView[[#This Row],[Forecast Start]]+ROUND((GanttView[[#This Row],[Forecast Finish]]-GanttView[[#This Row],[Forecast Start]]+1)*GanttView[[#This Row],[%]],0)-1)))</f>
        <v>0</v>
      </c>
      <c r="R168" s="132" t="n">
        <f aca="false">IF(IFERROR(INDEX(tsk_Name,GanttView[[#This Row],[_Row]])="",TRUE()),0,IF(OR(INDEX(tsk_IsLeaf,GanttView[[#This Row],[_Row]])&lt;&gt;1,GanttView[[#This Row],[_IsMilestone]],N(GanttView[[#This Row],[%]])&gt;=1),0,IF(GanttView[[#This Row],[_DoneTo]]&gt;0,GanttView[[#This Row],[_DoneTo]]+1,GanttView[[#This Row],[Forecast Start]])))</f>
        <v>0</v>
      </c>
      <c r="S168" s="132" t="n">
        <f aca="false">IF(GanttView[[#This Row],[_RemFrom]]=0,0,GanttView[[#This Row],[Forecast Finish]])</f>
        <v>0</v>
      </c>
      <c r="T168" s="131" t="b">
        <f aca="false">IF(IFERROR(INDEX(tsk_Name,GanttView[[#This Row],[_Row]])="",TRUE()),FALSE(),N(INDEX(tsk_Variance,GanttView[[#This Row],[_Row]]))&gt;0)</f>
        <v>0</v>
      </c>
      <c r="U168" s="132" t="n">
        <f aca="false">IF(IFERROR(INDEX(tsk_Name,GanttView[[#This Row],[_Row]])="",TRUE()),0,N(INDEX(tsk_Deadline,GanttView[[#This Row],[_Row]])))</f>
        <v>0</v>
      </c>
      <c r="V168" s="131" t="b">
        <f aca="false">IF(IFERROR(INDEX(tsk_Name,GanttView[[#This Row],[_Row]])="",TRUE()),FALSE(),INDEX(tsk_Critical,GanttView[[#This Row],[_Row]])="Yes")</f>
        <v>0</v>
      </c>
    </row>
    <row r="169" customFormat="false" ht="15" hidden="false" customHeight="false" outlineLevel="0" collapsed="false">
      <c r="A169" s="126" t="str">
        <f aca="false">IF(IFERROR(INDEX(tsk_Name,GanttView[[#This Row],[_Row]])="",TRUE()),"",INDEX(tsk_ID,GanttView[[#This Row],[_Row]]))</f>
        <v/>
      </c>
      <c r="B169" s="126" t="str">
        <f aca="false">IF(IFERROR(INDEX(tsk_Name,GanttView[[#This Row],[_Row]])="",TRUE()),"",INDEX(tsk_WBS,GanttView[[#This Row],[_Row]]))</f>
        <v/>
      </c>
      <c r="C169" s="127" t="str">
        <f aca="false">IF(IFERROR(INDEX(tsk_Name,GanttView[[#This Row],[_Row]])="",TRUE()),"",REPT("    ",INDEX(tsk_Level,GanttView[[#This Row],[_Row]])-1)&amp;INDEX(tsk_Name,GanttView[[#This Row],[_Row]]))</f>
        <v/>
      </c>
      <c r="D169" s="126" t="str">
        <f aca="false">IF(IFERROR(INDEX(tsk_Name,GanttView[[#This Row],[_Row]])="",TRUE()),"",IF(INDEX(tsk_IsSummary,GanttView[[#This Row],[_Row]]),NETWORKDAYS.INTL(INDEX(tsk_FcStart,GanttView[[#This Row],[_Row]]),INDEX(tsk_FcFinish,GanttView[[#This Row],[_Row]]),WorkWeek,Holidays),N(INDEX(tsk_Duration,GanttView[[#This Row],[_Row]]))))</f>
        <v/>
      </c>
      <c r="E169" s="128" t="str">
        <f aca="false">IF(IFERROR(INDEX(tsk_Name,GanttView[[#This Row],[_Row]])="",TRUE()),"",INDEX(tsk_PlanStart,GanttView[[#This Row],[_Row]]))</f>
        <v/>
      </c>
      <c r="F169" s="128" t="str">
        <f aca="false">IF(IFERROR(INDEX(tsk_Name,GanttView[[#This Row],[_Row]])="",TRUE()),"",INDEX(tsk_PlanFinish,GanttView[[#This Row],[_Row]]))</f>
        <v/>
      </c>
      <c r="G169" s="128" t="str">
        <f aca="false">IF(IFERROR(INDEX(tsk_Name,GanttView[[#This Row],[_Row]])="",TRUE()),"",INDEX(tsk_FcStart,GanttView[[#This Row],[_Row]]))</f>
        <v/>
      </c>
      <c r="H169" s="128" t="str">
        <f aca="false">IF(IFERROR(INDEX(tsk_Name,GanttView[[#This Row],[_Row]])="",TRUE()),"",INDEX(tsk_FcFinish,GanttView[[#This Row],[_Row]]))</f>
        <v/>
      </c>
      <c r="I169" s="129" t="str">
        <f aca="false">IF(IFERROR(INDEX(tsk_Name,GanttView[[#This Row],[_Row]])="",TRUE()),"",INDEX(tsk_Progress,GanttView[[#This Row],[_Row]]))</f>
        <v/>
      </c>
      <c r="J169" s="127" t="str">
        <f aca="false">IF(IFERROR(INDEX(tsk_Name,GanttView[[#This Row],[_Row]])="",TRUE()),"",INDEX(tsk_ResourceNames,GanttView[[#This Row],[_Row]])&amp;"")</f>
        <v/>
      </c>
      <c r="K169" s="126" t="str">
        <f aca="false">IF(IFERROR(INDEX(tsk_Name,GanttView[[#This Row],[_Row]])="",TRUE()),"",INDEX(tsk_Status,GanttView[[#This Row],[_Row]]))</f>
        <v/>
      </c>
      <c r="L169" s="126" t="str">
        <f aca="false">IF(IFERROR(INDEX(tsk_Name,GanttView[[#This Row],[_Row]])="",TRUE()),"",INDEX(tsk_Show,GanttView[[#This Row],[_Row]])&amp;"")</f>
        <v/>
      </c>
      <c r="M169" s="130" t="n">
        <f aca="false">ROW()-ROW(GanttView[[#Headers],[ID]])</f>
        <v>164</v>
      </c>
      <c r="N169" s="131" t="b">
        <f aca="false">IF(IFERROR(INDEX(tsk_Name,GanttView[[#This Row],[_Row]])="",TRUE()),FALSE(),INDEX(tsk_IsSummary,GanttView[[#This Row],[_Row]]))</f>
        <v>0</v>
      </c>
      <c r="O169" s="131" t="b">
        <f aca="false">IF(IFERROR(INDEX(tsk_Name,GanttView[[#This Row],[_Row]])="",TRUE()),FALSE(),AND(INDEX(tsk_IsLeaf,GanttView[[#This Row],[_Row]])=1,N(INDEX(tsk_Duration,GanttView[[#This Row],[_Row]]))=0))</f>
        <v>0</v>
      </c>
      <c r="P169" s="132" t="n">
        <f aca="false">IF(IFERROR(INDEX(tsk_Name,GanttView[[#This Row],[_Row]])="",TRUE()),0,IF(AND(INDEX(tsk_IsLeaf,GanttView[[#This Row],[_Row]])=1,NOT(GanttView[[#This Row],[_IsMilestone]]),N(GanttView[[#This Row],[%]])&gt;0),GanttView[[#This Row],[Forecast Start]],0))</f>
        <v>0</v>
      </c>
      <c r="Q169" s="132" t="n">
        <f aca="false">IF(GanttView[[#This Row],[_DoneFrom]]=0,0,IF(GanttView[[#This Row],[%]]&gt;=1,GanttView[[#This Row],[Forecast Finish]],MAX(GanttView[[#This Row],[_DoneFrom]],GanttView[[#This Row],[Forecast Start]]+ROUND((GanttView[[#This Row],[Forecast Finish]]-GanttView[[#This Row],[Forecast Start]]+1)*GanttView[[#This Row],[%]],0)-1)))</f>
        <v>0</v>
      </c>
      <c r="R169" s="132" t="n">
        <f aca="false">IF(IFERROR(INDEX(tsk_Name,GanttView[[#This Row],[_Row]])="",TRUE()),0,IF(OR(INDEX(tsk_IsLeaf,GanttView[[#This Row],[_Row]])&lt;&gt;1,GanttView[[#This Row],[_IsMilestone]],N(GanttView[[#This Row],[%]])&gt;=1),0,IF(GanttView[[#This Row],[_DoneTo]]&gt;0,GanttView[[#This Row],[_DoneTo]]+1,GanttView[[#This Row],[Forecast Start]])))</f>
        <v>0</v>
      </c>
      <c r="S169" s="132" t="n">
        <f aca="false">IF(GanttView[[#This Row],[_RemFrom]]=0,0,GanttView[[#This Row],[Forecast Finish]])</f>
        <v>0</v>
      </c>
      <c r="T169" s="131" t="b">
        <f aca="false">IF(IFERROR(INDEX(tsk_Name,GanttView[[#This Row],[_Row]])="",TRUE()),FALSE(),N(INDEX(tsk_Variance,GanttView[[#This Row],[_Row]]))&gt;0)</f>
        <v>0</v>
      </c>
      <c r="U169" s="132" t="n">
        <f aca="false">IF(IFERROR(INDEX(tsk_Name,GanttView[[#This Row],[_Row]])="",TRUE()),0,N(INDEX(tsk_Deadline,GanttView[[#This Row],[_Row]])))</f>
        <v>0</v>
      </c>
      <c r="V169" s="131" t="b">
        <f aca="false">IF(IFERROR(INDEX(tsk_Name,GanttView[[#This Row],[_Row]])="",TRUE()),FALSE(),INDEX(tsk_Critical,GanttView[[#This Row],[_Row]])="Yes")</f>
        <v>0</v>
      </c>
    </row>
    <row r="170" customFormat="false" ht="15" hidden="false" customHeight="false" outlineLevel="0" collapsed="false">
      <c r="A170" s="126" t="str">
        <f aca="false">IF(IFERROR(INDEX(tsk_Name,GanttView[[#This Row],[_Row]])="",TRUE()),"",INDEX(tsk_ID,GanttView[[#This Row],[_Row]]))</f>
        <v/>
      </c>
      <c r="B170" s="126" t="str">
        <f aca="false">IF(IFERROR(INDEX(tsk_Name,GanttView[[#This Row],[_Row]])="",TRUE()),"",INDEX(tsk_WBS,GanttView[[#This Row],[_Row]]))</f>
        <v/>
      </c>
      <c r="C170" s="127" t="str">
        <f aca="false">IF(IFERROR(INDEX(tsk_Name,GanttView[[#This Row],[_Row]])="",TRUE()),"",REPT("    ",INDEX(tsk_Level,GanttView[[#This Row],[_Row]])-1)&amp;INDEX(tsk_Name,GanttView[[#This Row],[_Row]]))</f>
        <v/>
      </c>
      <c r="D170" s="126" t="str">
        <f aca="false">IF(IFERROR(INDEX(tsk_Name,GanttView[[#This Row],[_Row]])="",TRUE()),"",IF(INDEX(tsk_IsSummary,GanttView[[#This Row],[_Row]]),NETWORKDAYS.INTL(INDEX(tsk_FcStart,GanttView[[#This Row],[_Row]]),INDEX(tsk_FcFinish,GanttView[[#This Row],[_Row]]),WorkWeek,Holidays),N(INDEX(tsk_Duration,GanttView[[#This Row],[_Row]]))))</f>
        <v/>
      </c>
      <c r="E170" s="128" t="str">
        <f aca="false">IF(IFERROR(INDEX(tsk_Name,GanttView[[#This Row],[_Row]])="",TRUE()),"",INDEX(tsk_PlanStart,GanttView[[#This Row],[_Row]]))</f>
        <v/>
      </c>
      <c r="F170" s="128" t="str">
        <f aca="false">IF(IFERROR(INDEX(tsk_Name,GanttView[[#This Row],[_Row]])="",TRUE()),"",INDEX(tsk_PlanFinish,GanttView[[#This Row],[_Row]]))</f>
        <v/>
      </c>
      <c r="G170" s="128" t="str">
        <f aca="false">IF(IFERROR(INDEX(tsk_Name,GanttView[[#This Row],[_Row]])="",TRUE()),"",INDEX(tsk_FcStart,GanttView[[#This Row],[_Row]]))</f>
        <v/>
      </c>
      <c r="H170" s="128" t="str">
        <f aca="false">IF(IFERROR(INDEX(tsk_Name,GanttView[[#This Row],[_Row]])="",TRUE()),"",INDEX(tsk_FcFinish,GanttView[[#This Row],[_Row]]))</f>
        <v/>
      </c>
      <c r="I170" s="129" t="str">
        <f aca="false">IF(IFERROR(INDEX(tsk_Name,GanttView[[#This Row],[_Row]])="",TRUE()),"",INDEX(tsk_Progress,GanttView[[#This Row],[_Row]]))</f>
        <v/>
      </c>
      <c r="J170" s="127" t="str">
        <f aca="false">IF(IFERROR(INDEX(tsk_Name,GanttView[[#This Row],[_Row]])="",TRUE()),"",INDEX(tsk_ResourceNames,GanttView[[#This Row],[_Row]])&amp;"")</f>
        <v/>
      </c>
      <c r="K170" s="126" t="str">
        <f aca="false">IF(IFERROR(INDEX(tsk_Name,GanttView[[#This Row],[_Row]])="",TRUE()),"",INDEX(tsk_Status,GanttView[[#This Row],[_Row]]))</f>
        <v/>
      </c>
      <c r="L170" s="126" t="str">
        <f aca="false">IF(IFERROR(INDEX(tsk_Name,GanttView[[#This Row],[_Row]])="",TRUE()),"",INDEX(tsk_Show,GanttView[[#This Row],[_Row]])&amp;"")</f>
        <v/>
      </c>
      <c r="M170" s="130" t="n">
        <f aca="false">ROW()-ROW(GanttView[[#Headers],[ID]])</f>
        <v>165</v>
      </c>
      <c r="N170" s="131" t="b">
        <f aca="false">IF(IFERROR(INDEX(tsk_Name,GanttView[[#This Row],[_Row]])="",TRUE()),FALSE(),INDEX(tsk_IsSummary,GanttView[[#This Row],[_Row]]))</f>
        <v>0</v>
      </c>
      <c r="O170" s="131" t="b">
        <f aca="false">IF(IFERROR(INDEX(tsk_Name,GanttView[[#This Row],[_Row]])="",TRUE()),FALSE(),AND(INDEX(tsk_IsLeaf,GanttView[[#This Row],[_Row]])=1,N(INDEX(tsk_Duration,GanttView[[#This Row],[_Row]]))=0))</f>
        <v>0</v>
      </c>
      <c r="P170" s="132" t="n">
        <f aca="false">IF(IFERROR(INDEX(tsk_Name,GanttView[[#This Row],[_Row]])="",TRUE()),0,IF(AND(INDEX(tsk_IsLeaf,GanttView[[#This Row],[_Row]])=1,NOT(GanttView[[#This Row],[_IsMilestone]]),N(GanttView[[#This Row],[%]])&gt;0),GanttView[[#This Row],[Forecast Start]],0))</f>
        <v>0</v>
      </c>
      <c r="Q170" s="132" t="n">
        <f aca="false">IF(GanttView[[#This Row],[_DoneFrom]]=0,0,IF(GanttView[[#This Row],[%]]&gt;=1,GanttView[[#This Row],[Forecast Finish]],MAX(GanttView[[#This Row],[_DoneFrom]],GanttView[[#This Row],[Forecast Start]]+ROUND((GanttView[[#This Row],[Forecast Finish]]-GanttView[[#This Row],[Forecast Start]]+1)*GanttView[[#This Row],[%]],0)-1)))</f>
        <v>0</v>
      </c>
      <c r="R170" s="132" t="n">
        <f aca="false">IF(IFERROR(INDEX(tsk_Name,GanttView[[#This Row],[_Row]])="",TRUE()),0,IF(OR(INDEX(tsk_IsLeaf,GanttView[[#This Row],[_Row]])&lt;&gt;1,GanttView[[#This Row],[_IsMilestone]],N(GanttView[[#This Row],[%]])&gt;=1),0,IF(GanttView[[#This Row],[_DoneTo]]&gt;0,GanttView[[#This Row],[_DoneTo]]+1,GanttView[[#This Row],[Forecast Start]])))</f>
        <v>0</v>
      </c>
      <c r="S170" s="132" t="n">
        <f aca="false">IF(GanttView[[#This Row],[_RemFrom]]=0,0,GanttView[[#This Row],[Forecast Finish]])</f>
        <v>0</v>
      </c>
      <c r="T170" s="131" t="b">
        <f aca="false">IF(IFERROR(INDEX(tsk_Name,GanttView[[#This Row],[_Row]])="",TRUE()),FALSE(),N(INDEX(tsk_Variance,GanttView[[#This Row],[_Row]]))&gt;0)</f>
        <v>0</v>
      </c>
      <c r="U170" s="132" t="n">
        <f aca="false">IF(IFERROR(INDEX(tsk_Name,GanttView[[#This Row],[_Row]])="",TRUE()),0,N(INDEX(tsk_Deadline,GanttView[[#This Row],[_Row]])))</f>
        <v>0</v>
      </c>
      <c r="V170" s="131" t="b">
        <f aca="false">IF(IFERROR(INDEX(tsk_Name,GanttView[[#This Row],[_Row]])="",TRUE()),FALSE(),INDEX(tsk_Critical,GanttView[[#This Row],[_Row]])="Yes")</f>
        <v>0</v>
      </c>
    </row>
    <row r="171" customFormat="false" ht="15" hidden="false" customHeight="false" outlineLevel="0" collapsed="false">
      <c r="A171" s="126" t="str">
        <f aca="false">IF(IFERROR(INDEX(tsk_Name,GanttView[[#This Row],[_Row]])="",TRUE()),"",INDEX(tsk_ID,GanttView[[#This Row],[_Row]]))</f>
        <v/>
      </c>
      <c r="B171" s="126" t="str">
        <f aca="false">IF(IFERROR(INDEX(tsk_Name,GanttView[[#This Row],[_Row]])="",TRUE()),"",INDEX(tsk_WBS,GanttView[[#This Row],[_Row]]))</f>
        <v/>
      </c>
      <c r="C171" s="127" t="str">
        <f aca="false">IF(IFERROR(INDEX(tsk_Name,GanttView[[#This Row],[_Row]])="",TRUE()),"",REPT("    ",INDEX(tsk_Level,GanttView[[#This Row],[_Row]])-1)&amp;INDEX(tsk_Name,GanttView[[#This Row],[_Row]]))</f>
        <v/>
      </c>
      <c r="D171" s="126" t="str">
        <f aca="false">IF(IFERROR(INDEX(tsk_Name,GanttView[[#This Row],[_Row]])="",TRUE()),"",IF(INDEX(tsk_IsSummary,GanttView[[#This Row],[_Row]]),NETWORKDAYS.INTL(INDEX(tsk_FcStart,GanttView[[#This Row],[_Row]]),INDEX(tsk_FcFinish,GanttView[[#This Row],[_Row]]),WorkWeek,Holidays),N(INDEX(tsk_Duration,GanttView[[#This Row],[_Row]]))))</f>
        <v/>
      </c>
      <c r="E171" s="128" t="str">
        <f aca="false">IF(IFERROR(INDEX(tsk_Name,GanttView[[#This Row],[_Row]])="",TRUE()),"",INDEX(tsk_PlanStart,GanttView[[#This Row],[_Row]]))</f>
        <v/>
      </c>
      <c r="F171" s="128" t="str">
        <f aca="false">IF(IFERROR(INDEX(tsk_Name,GanttView[[#This Row],[_Row]])="",TRUE()),"",INDEX(tsk_PlanFinish,GanttView[[#This Row],[_Row]]))</f>
        <v/>
      </c>
      <c r="G171" s="128" t="str">
        <f aca="false">IF(IFERROR(INDEX(tsk_Name,GanttView[[#This Row],[_Row]])="",TRUE()),"",INDEX(tsk_FcStart,GanttView[[#This Row],[_Row]]))</f>
        <v/>
      </c>
      <c r="H171" s="128" t="str">
        <f aca="false">IF(IFERROR(INDEX(tsk_Name,GanttView[[#This Row],[_Row]])="",TRUE()),"",INDEX(tsk_FcFinish,GanttView[[#This Row],[_Row]]))</f>
        <v/>
      </c>
      <c r="I171" s="129" t="str">
        <f aca="false">IF(IFERROR(INDEX(tsk_Name,GanttView[[#This Row],[_Row]])="",TRUE()),"",INDEX(tsk_Progress,GanttView[[#This Row],[_Row]]))</f>
        <v/>
      </c>
      <c r="J171" s="127" t="str">
        <f aca="false">IF(IFERROR(INDEX(tsk_Name,GanttView[[#This Row],[_Row]])="",TRUE()),"",INDEX(tsk_ResourceNames,GanttView[[#This Row],[_Row]])&amp;"")</f>
        <v/>
      </c>
      <c r="K171" s="126" t="str">
        <f aca="false">IF(IFERROR(INDEX(tsk_Name,GanttView[[#This Row],[_Row]])="",TRUE()),"",INDEX(tsk_Status,GanttView[[#This Row],[_Row]]))</f>
        <v/>
      </c>
      <c r="L171" s="126" t="str">
        <f aca="false">IF(IFERROR(INDEX(tsk_Name,GanttView[[#This Row],[_Row]])="",TRUE()),"",INDEX(tsk_Show,GanttView[[#This Row],[_Row]])&amp;"")</f>
        <v/>
      </c>
      <c r="M171" s="130" t="n">
        <f aca="false">ROW()-ROW(GanttView[[#Headers],[ID]])</f>
        <v>166</v>
      </c>
      <c r="N171" s="131" t="b">
        <f aca="false">IF(IFERROR(INDEX(tsk_Name,GanttView[[#This Row],[_Row]])="",TRUE()),FALSE(),INDEX(tsk_IsSummary,GanttView[[#This Row],[_Row]]))</f>
        <v>0</v>
      </c>
      <c r="O171" s="131" t="b">
        <f aca="false">IF(IFERROR(INDEX(tsk_Name,GanttView[[#This Row],[_Row]])="",TRUE()),FALSE(),AND(INDEX(tsk_IsLeaf,GanttView[[#This Row],[_Row]])=1,N(INDEX(tsk_Duration,GanttView[[#This Row],[_Row]]))=0))</f>
        <v>0</v>
      </c>
      <c r="P171" s="132" t="n">
        <f aca="false">IF(IFERROR(INDEX(tsk_Name,GanttView[[#This Row],[_Row]])="",TRUE()),0,IF(AND(INDEX(tsk_IsLeaf,GanttView[[#This Row],[_Row]])=1,NOT(GanttView[[#This Row],[_IsMilestone]]),N(GanttView[[#This Row],[%]])&gt;0),GanttView[[#This Row],[Forecast Start]],0))</f>
        <v>0</v>
      </c>
      <c r="Q171" s="132" t="n">
        <f aca="false">IF(GanttView[[#This Row],[_DoneFrom]]=0,0,IF(GanttView[[#This Row],[%]]&gt;=1,GanttView[[#This Row],[Forecast Finish]],MAX(GanttView[[#This Row],[_DoneFrom]],GanttView[[#This Row],[Forecast Start]]+ROUND((GanttView[[#This Row],[Forecast Finish]]-GanttView[[#This Row],[Forecast Start]]+1)*GanttView[[#This Row],[%]],0)-1)))</f>
        <v>0</v>
      </c>
      <c r="R171" s="132" t="n">
        <f aca="false">IF(IFERROR(INDEX(tsk_Name,GanttView[[#This Row],[_Row]])="",TRUE()),0,IF(OR(INDEX(tsk_IsLeaf,GanttView[[#This Row],[_Row]])&lt;&gt;1,GanttView[[#This Row],[_IsMilestone]],N(GanttView[[#This Row],[%]])&gt;=1),0,IF(GanttView[[#This Row],[_DoneTo]]&gt;0,GanttView[[#This Row],[_DoneTo]]+1,GanttView[[#This Row],[Forecast Start]])))</f>
        <v>0</v>
      </c>
      <c r="S171" s="132" t="n">
        <f aca="false">IF(GanttView[[#This Row],[_RemFrom]]=0,0,GanttView[[#This Row],[Forecast Finish]])</f>
        <v>0</v>
      </c>
      <c r="T171" s="131" t="b">
        <f aca="false">IF(IFERROR(INDEX(tsk_Name,GanttView[[#This Row],[_Row]])="",TRUE()),FALSE(),N(INDEX(tsk_Variance,GanttView[[#This Row],[_Row]]))&gt;0)</f>
        <v>0</v>
      </c>
      <c r="U171" s="132" t="n">
        <f aca="false">IF(IFERROR(INDEX(tsk_Name,GanttView[[#This Row],[_Row]])="",TRUE()),0,N(INDEX(tsk_Deadline,GanttView[[#This Row],[_Row]])))</f>
        <v>0</v>
      </c>
      <c r="V171" s="131" t="b">
        <f aca="false">IF(IFERROR(INDEX(tsk_Name,GanttView[[#This Row],[_Row]])="",TRUE()),FALSE(),INDEX(tsk_Critical,GanttView[[#This Row],[_Row]])="Yes")</f>
        <v>0</v>
      </c>
    </row>
    <row r="172" customFormat="false" ht="15" hidden="false" customHeight="false" outlineLevel="0" collapsed="false">
      <c r="A172" s="126" t="str">
        <f aca="false">IF(IFERROR(INDEX(tsk_Name,GanttView[[#This Row],[_Row]])="",TRUE()),"",INDEX(tsk_ID,GanttView[[#This Row],[_Row]]))</f>
        <v/>
      </c>
      <c r="B172" s="126" t="str">
        <f aca="false">IF(IFERROR(INDEX(tsk_Name,GanttView[[#This Row],[_Row]])="",TRUE()),"",INDEX(tsk_WBS,GanttView[[#This Row],[_Row]]))</f>
        <v/>
      </c>
      <c r="C172" s="127" t="str">
        <f aca="false">IF(IFERROR(INDEX(tsk_Name,GanttView[[#This Row],[_Row]])="",TRUE()),"",REPT("    ",INDEX(tsk_Level,GanttView[[#This Row],[_Row]])-1)&amp;INDEX(tsk_Name,GanttView[[#This Row],[_Row]]))</f>
        <v/>
      </c>
      <c r="D172" s="126" t="str">
        <f aca="false">IF(IFERROR(INDEX(tsk_Name,GanttView[[#This Row],[_Row]])="",TRUE()),"",IF(INDEX(tsk_IsSummary,GanttView[[#This Row],[_Row]]),NETWORKDAYS.INTL(INDEX(tsk_FcStart,GanttView[[#This Row],[_Row]]),INDEX(tsk_FcFinish,GanttView[[#This Row],[_Row]]),WorkWeek,Holidays),N(INDEX(tsk_Duration,GanttView[[#This Row],[_Row]]))))</f>
        <v/>
      </c>
      <c r="E172" s="128" t="str">
        <f aca="false">IF(IFERROR(INDEX(tsk_Name,GanttView[[#This Row],[_Row]])="",TRUE()),"",INDEX(tsk_PlanStart,GanttView[[#This Row],[_Row]]))</f>
        <v/>
      </c>
      <c r="F172" s="128" t="str">
        <f aca="false">IF(IFERROR(INDEX(tsk_Name,GanttView[[#This Row],[_Row]])="",TRUE()),"",INDEX(tsk_PlanFinish,GanttView[[#This Row],[_Row]]))</f>
        <v/>
      </c>
      <c r="G172" s="128" t="str">
        <f aca="false">IF(IFERROR(INDEX(tsk_Name,GanttView[[#This Row],[_Row]])="",TRUE()),"",INDEX(tsk_FcStart,GanttView[[#This Row],[_Row]]))</f>
        <v/>
      </c>
      <c r="H172" s="128" t="str">
        <f aca="false">IF(IFERROR(INDEX(tsk_Name,GanttView[[#This Row],[_Row]])="",TRUE()),"",INDEX(tsk_FcFinish,GanttView[[#This Row],[_Row]]))</f>
        <v/>
      </c>
      <c r="I172" s="129" t="str">
        <f aca="false">IF(IFERROR(INDEX(tsk_Name,GanttView[[#This Row],[_Row]])="",TRUE()),"",INDEX(tsk_Progress,GanttView[[#This Row],[_Row]]))</f>
        <v/>
      </c>
      <c r="J172" s="127" t="str">
        <f aca="false">IF(IFERROR(INDEX(tsk_Name,GanttView[[#This Row],[_Row]])="",TRUE()),"",INDEX(tsk_ResourceNames,GanttView[[#This Row],[_Row]])&amp;"")</f>
        <v/>
      </c>
      <c r="K172" s="126" t="str">
        <f aca="false">IF(IFERROR(INDEX(tsk_Name,GanttView[[#This Row],[_Row]])="",TRUE()),"",INDEX(tsk_Status,GanttView[[#This Row],[_Row]]))</f>
        <v/>
      </c>
      <c r="L172" s="126" t="str">
        <f aca="false">IF(IFERROR(INDEX(tsk_Name,GanttView[[#This Row],[_Row]])="",TRUE()),"",INDEX(tsk_Show,GanttView[[#This Row],[_Row]])&amp;"")</f>
        <v/>
      </c>
      <c r="M172" s="130" t="n">
        <f aca="false">ROW()-ROW(GanttView[[#Headers],[ID]])</f>
        <v>167</v>
      </c>
      <c r="N172" s="131" t="b">
        <f aca="false">IF(IFERROR(INDEX(tsk_Name,GanttView[[#This Row],[_Row]])="",TRUE()),FALSE(),INDEX(tsk_IsSummary,GanttView[[#This Row],[_Row]]))</f>
        <v>0</v>
      </c>
      <c r="O172" s="131" t="b">
        <f aca="false">IF(IFERROR(INDEX(tsk_Name,GanttView[[#This Row],[_Row]])="",TRUE()),FALSE(),AND(INDEX(tsk_IsLeaf,GanttView[[#This Row],[_Row]])=1,N(INDEX(tsk_Duration,GanttView[[#This Row],[_Row]]))=0))</f>
        <v>0</v>
      </c>
      <c r="P172" s="132" t="n">
        <f aca="false">IF(IFERROR(INDEX(tsk_Name,GanttView[[#This Row],[_Row]])="",TRUE()),0,IF(AND(INDEX(tsk_IsLeaf,GanttView[[#This Row],[_Row]])=1,NOT(GanttView[[#This Row],[_IsMilestone]]),N(GanttView[[#This Row],[%]])&gt;0),GanttView[[#This Row],[Forecast Start]],0))</f>
        <v>0</v>
      </c>
      <c r="Q172" s="132" t="n">
        <f aca="false">IF(GanttView[[#This Row],[_DoneFrom]]=0,0,IF(GanttView[[#This Row],[%]]&gt;=1,GanttView[[#This Row],[Forecast Finish]],MAX(GanttView[[#This Row],[_DoneFrom]],GanttView[[#This Row],[Forecast Start]]+ROUND((GanttView[[#This Row],[Forecast Finish]]-GanttView[[#This Row],[Forecast Start]]+1)*GanttView[[#This Row],[%]],0)-1)))</f>
        <v>0</v>
      </c>
      <c r="R172" s="132" t="n">
        <f aca="false">IF(IFERROR(INDEX(tsk_Name,GanttView[[#This Row],[_Row]])="",TRUE()),0,IF(OR(INDEX(tsk_IsLeaf,GanttView[[#This Row],[_Row]])&lt;&gt;1,GanttView[[#This Row],[_IsMilestone]],N(GanttView[[#This Row],[%]])&gt;=1),0,IF(GanttView[[#This Row],[_DoneTo]]&gt;0,GanttView[[#This Row],[_DoneTo]]+1,GanttView[[#This Row],[Forecast Start]])))</f>
        <v>0</v>
      </c>
      <c r="S172" s="132" t="n">
        <f aca="false">IF(GanttView[[#This Row],[_RemFrom]]=0,0,GanttView[[#This Row],[Forecast Finish]])</f>
        <v>0</v>
      </c>
      <c r="T172" s="131" t="b">
        <f aca="false">IF(IFERROR(INDEX(tsk_Name,GanttView[[#This Row],[_Row]])="",TRUE()),FALSE(),N(INDEX(tsk_Variance,GanttView[[#This Row],[_Row]]))&gt;0)</f>
        <v>0</v>
      </c>
      <c r="U172" s="132" t="n">
        <f aca="false">IF(IFERROR(INDEX(tsk_Name,GanttView[[#This Row],[_Row]])="",TRUE()),0,N(INDEX(tsk_Deadline,GanttView[[#This Row],[_Row]])))</f>
        <v>0</v>
      </c>
      <c r="V172" s="131" t="b">
        <f aca="false">IF(IFERROR(INDEX(tsk_Name,GanttView[[#This Row],[_Row]])="",TRUE()),FALSE(),INDEX(tsk_Critical,GanttView[[#This Row],[_Row]])="Yes")</f>
        <v>0</v>
      </c>
    </row>
    <row r="173" customFormat="false" ht="15" hidden="false" customHeight="false" outlineLevel="0" collapsed="false">
      <c r="A173" s="126" t="str">
        <f aca="false">IF(IFERROR(INDEX(tsk_Name,GanttView[[#This Row],[_Row]])="",TRUE()),"",INDEX(tsk_ID,GanttView[[#This Row],[_Row]]))</f>
        <v/>
      </c>
      <c r="B173" s="126" t="str">
        <f aca="false">IF(IFERROR(INDEX(tsk_Name,GanttView[[#This Row],[_Row]])="",TRUE()),"",INDEX(tsk_WBS,GanttView[[#This Row],[_Row]]))</f>
        <v/>
      </c>
      <c r="C173" s="127" t="str">
        <f aca="false">IF(IFERROR(INDEX(tsk_Name,GanttView[[#This Row],[_Row]])="",TRUE()),"",REPT("    ",INDEX(tsk_Level,GanttView[[#This Row],[_Row]])-1)&amp;INDEX(tsk_Name,GanttView[[#This Row],[_Row]]))</f>
        <v/>
      </c>
      <c r="D173" s="126" t="str">
        <f aca="false">IF(IFERROR(INDEX(tsk_Name,GanttView[[#This Row],[_Row]])="",TRUE()),"",IF(INDEX(tsk_IsSummary,GanttView[[#This Row],[_Row]]),NETWORKDAYS.INTL(INDEX(tsk_FcStart,GanttView[[#This Row],[_Row]]),INDEX(tsk_FcFinish,GanttView[[#This Row],[_Row]]),WorkWeek,Holidays),N(INDEX(tsk_Duration,GanttView[[#This Row],[_Row]]))))</f>
        <v/>
      </c>
      <c r="E173" s="128" t="str">
        <f aca="false">IF(IFERROR(INDEX(tsk_Name,GanttView[[#This Row],[_Row]])="",TRUE()),"",INDEX(tsk_PlanStart,GanttView[[#This Row],[_Row]]))</f>
        <v/>
      </c>
      <c r="F173" s="128" t="str">
        <f aca="false">IF(IFERROR(INDEX(tsk_Name,GanttView[[#This Row],[_Row]])="",TRUE()),"",INDEX(tsk_PlanFinish,GanttView[[#This Row],[_Row]]))</f>
        <v/>
      </c>
      <c r="G173" s="128" t="str">
        <f aca="false">IF(IFERROR(INDEX(tsk_Name,GanttView[[#This Row],[_Row]])="",TRUE()),"",INDEX(tsk_FcStart,GanttView[[#This Row],[_Row]]))</f>
        <v/>
      </c>
      <c r="H173" s="128" t="str">
        <f aca="false">IF(IFERROR(INDEX(tsk_Name,GanttView[[#This Row],[_Row]])="",TRUE()),"",INDEX(tsk_FcFinish,GanttView[[#This Row],[_Row]]))</f>
        <v/>
      </c>
      <c r="I173" s="129" t="str">
        <f aca="false">IF(IFERROR(INDEX(tsk_Name,GanttView[[#This Row],[_Row]])="",TRUE()),"",INDEX(tsk_Progress,GanttView[[#This Row],[_Row]]))</f>
        <v/>
      </c>
      <c r="J173" s="127" t="str">
        <f aca="false">IF(IFERROR(INDEX(tsk_Name,GanttView[[#This Row],[_Row]])="",TRUE()),"",INDEX(tsk_ResourceNames,GanttView[[#This Row],[_Row]])&amp;"")</f>
        <v/>
      </c>
      <c r="K173" s="126" t="str">
        <f aca="false">IF(IFERROR(INDEX(tsk_Name,GanttView[[#This Row],[_Row]])="",TRUE()),"",INDEX(tsk_Status,GanttView[[#This Row],[_Row]]))</f>
        <v/>
      </c>
      <c r="L173" s="126" t="str">
        <f aca="false">IF(IFERROR(INDEX(tsk_Name,GanttView[[#This Row],[_Row]])="",TRUE()),"",INDEX(tsk_Show,GanttView[[#This Row],[_Row]])&amp;"")</f>
        <v/>
      </c>
      <c r="M173" s="130" t="n">
        <f aca="false">ROW()-ROW(GanttView[[#Headers],[ID]])</f>
        <v>168</v>
      </c>
      <c r="N173" s="131" t="b">
        <f aca="false">IF(IFERROR(INDEX(tsk_Name,GanttView[[#This Row],[_Row]])="",TRUE()),FALSE(),INDEX(tsk_IsSummary,GanttView[[#This Row],[_Row]]))</f>
        <v>0</v>
      </c>
      <c r="O173" s="131" t="b">
        <f aca="false">IF(IFERROR(INDEX(tsk_Name,GanttView[[#This Row],[_Row]])="",TRUE()),FALSE(),AND(INDEX(tsk_IsLeaf,GanttView[[#This Row],[_Row]])=1,N(INDEX(tsk_Duration,GanttView[[#This Row],[_Row]]))=0))</f>
        <v>0</v>
      </c>
      <c r="P173" s="132" t="n">
        <f aca="false">IF(IFERROR(INDEX(tsk_Name,GanttView[[#This Row],[_Row]])="",TRUE()),0,IF(AND(INDEX(tsk_IsLeaf,GanttView[[#This Row],[_Row]])=1,NOT(GanttView[[#This Row],[_IsMilestone]]),N(GanttView[[#This Row],[%]])&gt;0),GanttView[[#This Row],[Forecast Start]],0))</f>
        <v>0</v>
      </c>
      <c r="Q173" s="132" t="n">
        <f aca="false">IF(GanttView[[#This Row],[_DoneFrom]]=0,0,IF(GanttView[[#This Row],[%]]&gt;=1,GanttView[[#This Row],[Forecast Finish]],MAX(GanttView[[#This Row],[_DoneFrom]],GanttView[[#This Row],[Forecast Start]]+ROUND((GanttView[[#This Row],[Forecast Finish]]-GanttView[[#This Row],[Forecast Start]]+1)*GanttView[[#This Row],[%]],0)-1)))</f>
        <v>0</v>
      </c>
      <c r="R173" s="132" t="n">
        <f aca="false">IF(IFERROR(INDEX(tsk_Name,GanttView[[#This Row],[_Row]])="",TRUE()),0,IF(OR(INDEX(tsk_IsLeaf,GanttView[[#This Row],[_Row]])&lt;&gt;1,GanttView[[#This Row],[_IsMilestone]],N(GanttView[[#This Row],[%]])&gt;=1),0,IF(GanttView[[#This Row],[_DoneTo]]&gt;0,GanttView[[#This Row],[_DoneTo]]+1,GanttView[[#This Row],[Forecast Start]])))</f>
        <v>0</v>
      </c>
      <c r="S173" s="132" t="n">
        <f aca="false">IF(GanttView[[#This Row],[_RemFrom]]=0,0,GanttView[[#This Row],[Forecast Finish]])</f>
        <v>0</v>
      </c>
      <c r="T173" s="131" t="b">
        <f aca="false">IF(IFERROR(INDEX(tsk_Name,GanttView[[#This Row],[_Row]])="",TRUE()),FALSE(),N(INDEX(tsk_Variance,GanttView[[#This Row],[_Row]]))&gt;0)</f>
        <v>0</v>
      </c>
      <c r="U173" s="132" t="n">
        <f aca="false">IF(IFERROR(INDEX(tsk_Name,GanttView[[#This Row],[_Row]])="",TRUE()),0,N(INDEX(tsk_Deadline,GanttView[[#This Row],[_Row]])))</f>
        <v>0</v>
      </c>
      <c r="V173" s="131" t="b">
        <f aca="false">IF(IFERROR(INDEX(tsk_Name,GanttView[[#This Row],[_Row]])="",TRUE()),FALSE(),INDEX(tsk_Critical,GanttView[[#This Row],[_Row]])="Yes")</f>
        <v>0</v>
      </c>
    </row>
    <row r="174" customFormat="false" ht="15" hidden="false" customHeight="false" outlineLevel="0" collapsed="false">
      <c r="A174" s="126" t="str">
        <f aca="false">IF(IFERROR(INDEX(tsk_Name,GanttView[[#This Row],[_Row]])="",TRUE()),"",INDEX(tsk_ID,GanttView[[#This Row],[_Row]]))</f>
        <v/>
      </c>
      <c r="B174" s="126" t="str">
        <f aca="false">IF(IFERROR(INDEX(tsk_Name,GanttView[[#This Row],[_Row]])="",TRUE()),"",INDEX(tsk_WBS,GanttView[[#This Row],[_Row]]))</f>
        <v/>
      </c>
      <c r="C174" s="127" t="str">
        <f aca="false">IF(IFERROR(INDEX(tsk_Name,GanttView[[#This Row],[_Row]])="",TRUE()),"",REPT("    ",INDEX(tsk_Level,GanttView[[#This Row],[_Row]])-1)&amp;INDEX(tsk_Name,GanttView[[#This Row],[_Row]]))</f>
        <v/>
      </c>
      <c r="D174" s="126" t="str">
        <f aca="false">IF(IFERROR(INDEX(tsk_Name,GanttView[[#This Row],[_Row]])="",TRUE()),"",IF(INDEX(tsk_IsSummary,GanttView[[#This Row],[_Row]]),NETWORKDAYS.INTL(INDEX(tsk_FcStart,GanttView[[#This Row],[_Row]]),INDEX(tsk_FcFinish,GanttView[[#This Row],[_Row]]),WorkWeek,Holidays),N(INDEX(tsk_Duration,GanttView[[#This Row],[_Row]]))))</f>
        <v/>
      </c>
      <c r="E174" s="128" t="str">
        <f aca="false">IF(IFERROR(INDEX(tsk_Name,GanttView[[#This Row],[_Row]])="",TRUE()),"",INDEX(tsk_PlanStart,GanttView[[#This Row],[_Row]]))</f>
        <v/>
      </c>
      <c r="F174" s="128" t="str">
        <f aca="false">IF(IFERROR(INDEX(tsk_Name,GanttView[[#This Row],[_Row]])="",TRUE()),"",INDEX(tsk_PlanFinish,GanttView[[#This Row],[_Row]]))</f>
        <v/>
      </c>
      <c r="G174" s="128" t="str">
        <f aca="false">IF(IFERROR(INDEX(tsk_Name,GanttView[[#This Row],[_Row]])="",TRUE()),"",INDEX(tsk_FcStart,GanttView[[#This Row],[_Row]]))</f>
        <v/>
      </c>
      <c r="H174" s="128" t="str">
        <f aca="false">IF(IFERROR(INDEX(tsk_Name,GanttView[[#This Row],[_Row]])="",TRUE()),"",INDEX(tsk_FcFinish,GanttView[[#This Row],[_Row]]))</f>
        <v/>
      </c>
      <c r="I174" s="129" t="str">
        <f aca="false">IF(IFERROR(INDEX(tsk_Name,GanttView[[#This Row],[_Row]])="",TRUE()),"",INDEX(tsk_Progress,GanttView[[#This Row],[_Row]]))</f>
        <v/>
      </c>
      <c r="J174" s="127" t="str">
        <f aca="false">IF(IFERROR(INDEX(tsk_Name,GanttView[[#This Row],[_Row]])="",TRUE()),"",INDEX(tsk_ResourceNames,GanttView[[#This Row],[_Row]])&amp;"")</f>
        <v/>
      </c>
      <c r="K174" s="126" t="str">
        <f aca="false">IF(IFERROR(INDEX(tsk_Name,GanttView[[#This Row],[_Row]])="",TRUE()),"",INDEX(tsk_Status,GanttView[[#This Row],[_Row]]))</f>
        <v/>
      </c>
      <c r="L174" s="126" t="str">
        <f aca="false">IF(IFERROR(INDEX(tsk_Name,GanttView[[#This Row],[_Row]])="",TRUE()),"",INDEX(tsk_Show,GanttView[[#This Row],[_Row]])&amp;"")</f>
        <v/>
      </c>
      <c r="M174" s="130" t="n">
        <f aca="false">ROW()-ROW(GanttView[[#Headers],[ID]])</f>
        <v>169</v>
      </c>
      <c r="N174" s="131" t="b">
        <f aca="false">IF(IFERROR(INDEX(tsk_Name,GanttView[[#This Row],[_Row]])="",TRUE()),FALSE(),INDEX(tsk_IsSummary,GanttView[[#This Row],[_Row]]))</f>
        <v>0</v>
      </c>
      <c r="O174" s="131" t="b">
        <f aca="false">IF(IFERROR(INDEX(tsk_Name,GanttView[[#This Row],[_Row]])="",TRUE()),FALSE(),AND(INDEX(tsk_IsLeaf,GanttView[[#This Row],[_Row]])=1,N(INDEX(tsk_Duration,GanttView[[#This Row],[_Row]]))=0))</f>
        <v>0</v>
      </c>
      <c r="P174" s="132" t="n">
        <f aca="false">IF(IFERROR(INDEX(tsk_Name,GanttView[[#This Row],[_Row]])="",TRUE()),0,IF(AND(INDEX(tsk_IsLeaf,GanttView[[#This Row],[_Row]])=1,NOT(GanttView[[#This Row],[_IsMilestone]]),N(GanttView[[#This Row],[%]])&gt;0),GanttView[[#This Row],[Forecast Start]],0))</f>
        <v>0</v>
      </c>
      <c r="Q174" s="132" t="n">
        <f aca="false">IF(GanttView[[#This Row],[_DoneFrom]]=0,0,IF(GanttView[[#This Row],[%]]&gt;=1,GanttView[[#This Row],[Forecast Finish]],MAX(GanttView[[#This Row],[_DoneFrom]],GanttView[[#This Row],[Forecast Start]]+ROUND((GanttView[[#This Row],[Forecast Finish]]-GanttView[[#This Row],[Forecast Start]]+1)*GanttView[[#This Row],[%]],0)-1)))</f>
        <v>0</v>
      </c>
      <c r="R174" s="132" t="n">
        <f aca="false">IF(IFERROR(INDEX(tsk_Name,GanttView[[#This Row],[_Row]])="",TRUE()),0,IF(OR(INDEX(tsk_IsLeaf,GanttView[[#This Row],[_Row]])&lt;&gt;1,GanttView[[#This Row],[_IsMilestone]],N(GanttView[[#This Row],[%]])&gt;=1),0,IF(GanttView[[#This Row],[_DoneTo]]&gt;0,GanttView[[#This Row],[_DoneTo]]+1,GanttView[[#This Row],[Forecast Start]])))</f>
        <v>0</v>
      </c>
      <c r="S174" s="132" t="n">
        <f aca="false">IF(GanttView[[#This Row],[_RemFrom]]=0,0,GanttView[[#This Row],[Forecast Finish]])</f>
        <v>0</v>
      </c>
      <c r="T174" s="131" t="b">
        <f aca="false">IF(IFERROR(INDEX(tsk_Name,GanttView[[#This Row],[_Row]])="",TRUE()),FALSE(),N(INDEX(tsk_Variance,GanttView[[#This Row],[_Row]]))&gt;0)</f>
        <v>0</v>
      </c>
      <c r="U174" s="132" t="n">
        <f aca="false">IF(IFERROR(INDEX(tsk_Name,GanttView[[#This Row],[_Row]])="",TRUE()),0,N(INDEX(tsk_Deadline,GanttView[[#This Row],[_Row]])))</f>
        <v>0</v>
      </c>
      <c r="V174" s="131" t="b">
        <f aca="false">IF(IFERROR(INDEX(tsk_Name,GanttView[[#This Row],[_Row]])="",TRUE()),FALSE(),INDEX(tsk_Critical,GanttView[[#This Row],[_Row]])="Yes")</f>
        <v>0</v>
      </c>
    </row>
    <row r="175" customFormat="false" ht="15" hidden="false" customHeight="false" outlineLevel="0" collapsed="false">
      <c r="A175" s="126" t="str">
        <f aca="false">IF(IFERROR(INDEX(tsk_Name,GanttView[[#This Row],[_Row]])="",TRUE()),"",INDEX(tsk_ID,GanttView[[#This Row],[_Row]]))</f>
        <v/>
      </c>
      <c r="B175" s="126" t="str">
        <f aca="false">IF(IFERROR(INDEX(tsk_Name,GanttView[[#This Row],[_Row]])="",TRUE()),"",INDEX(tsk_WBS,GanttView[[#This Row],[_Row]]))</f>
        <v/>
      </c>
      <c r="C175" s="127" t="str">
        <f aca="false">IF(IFERROR(INDEX(tsk_Name,GanttView[[#This Row],[_Row]])="",TRUE()),"",REPT("    ",INDEX(tsk_Level,GanttView[[#This Row],[_Row]])-1)&amp;INDEX(tsk_Name,GanttView[[#This Row],[_Row]]))</f>
        <v/>
      </c>
      <c r="D175" s="126" t="str">
        <f aca="false">IF(IFERROR(INDEX(tsk_Name,GanttView[[#This Row],[_Row]])="",TRUE()),"",IF(INDEX(tsk_IsSummary,GanttView[[#This Row],[_Row]]),NETWORKDAYS.INTL(INDEX(tsk_FcStart,GanttView[[#This Row],[_Row]]),INDEX(tsk_FcFinish,GanttView[[#This Row],[_Row]]),WorkWeek,Holidays),N(INDEX(tsk_Duration,GanttView[[#This Row],[_Row]]))))</f>
        <v/>
      </c>
      <c r="E175" s="128" t="str">
        <f aca="false">IF(IFERROR(INDEX(tsk_Name,GanttView[[#This Row],[_Row]])="",TRUE()),"",INDEX(tsk_PlanStart,GanttView[[#This Row],[_Row]]))</f>
        <v/>
      </c>
      <c r="F175" s="128" t="str">
        <f aca="false">IF(IFERROR(INDEX(tsk_Name,GanttView[[#This Row],[_Row]])="",TRUE()),"",INDEX(tsk_PlanFinish,GanttView[[#This Row],[_Row]]))</f>
        <v/>
      </c>
      <c r="G175" s="128" t="str">
        <f aca="false">IF(IFERROR(INDEX(tsk_Name,GanttView[[#This Row],[_Row]])="",TRUE()),"",INDEX(tsk_FcStart,GanttView[[#This Row],[_Row]]))</f>
        <v/>
      </c>
      <c r="H175" s="128" t="str">
        <f aca="false">IF(IFERROR(INDEX(tsk_Name,GanttView[[#This Row],[_Row]])="",TRUE()),"",INDEX(tsk_FcFinish,GanttView[[#This Row],[_Row]]))</f>
        <v/>
      </c>
      <c r="I175" s="129" t="str">
        <f aca="false">IF(IFERROR(INDEX(tsk_Name,GanttView[[#This Row],[_Row]])="",TRUE()),"",INDEX(tsk_Progress,GanttView[[#This Row],[_Row]]))</f>
        <v/>
      </c>
      <c r="J175" s="127" t="str">
        <f aca="false">IF(IFERROR(INDEX(tsk_Name,GanttView[[#This Row],[_Row]])="",TRUE()),"",INDEX(tsk_ResourceNames,GanttView[[#This Row],[_Row]])&amp;"")</f>
        <v/>
      </c>
      <c r="K175" s="126" t="str">
        <f aca="false">IF(IFERROR(INDEX(tsk_Name,GanttView[[#This Row],[_Row]])="",TRUE()),"",INDEX(tsk_Status,GanttView[[#This Row],[_Row]]))</f>
        <v/>
      </c>
      <c r="L175" s="126" t="str">
        <f aca="false">IF(IFERROR(INDEX(tsk_Name,GanttView[[#This Row],[_Row]])="",TRUE()),"",INDEX(tsk_Show,GanttView[[#This Row],[_Row]])&amp;"")</f>
        <v/>
      </c>
      <c r="M175" s="130" t="n">
        <f aca="false">ROW()-ROW(GanttView[[#Headers],[ID]])</f>
        <v>170</v>
      </c>
      <c r="N175" s="131" t="b">
        <f aca="false">IF(IFERROR(INDEX(tsk_Name,GanttView[[#This Row],[_Row]])="",TRUE()),FALSE(),INDEX(tsk_IsSummary,GanttView[[#This Row],[_Row]]))</f>
        <v>0</v>
      </c>
      <c r="O175" s="131" t="b">
        <f aca="false">IF(IFERROR(INDEX(tsk_Name,GanttView[[#This Row],[_Row]])="",TRUE()),FALSE(),AND(INDEX(tsk_IsLeaf,GanttView[[#This Row],[_Row]])=1,N(INDEX(tsk_Duration,GanttView[[#This Row],[_Row]]))=0))</f>
        <v>0</v>
      </c>
      <c r="P175" s="132" t="n">
        <f aca="false">IF(IFERROR(INDEX(tsk_Name,GanttView[[#This Row],[_Row]])="",TRUE()),0,IF(AND(INDEX(tsk_IsLeaf,GanttView[[#This Row],[_Row]])=1,NOT(GanttView[[#This Row],[_IsMilestone]]),N(GanttView[[#This Row],[%]])&gt;0),GanttView[[#This Row],[Forecast Start]],0))</f>
        <v>0</v>
      </c>
      <c r="Q175" s="132" t="n">
        <f aca="false">IF(GanttView[[#This Row],[_DoneFrom]]=0,0,IF(GanttView[[#This Row],[%]]&gt;=1,GanttView[[#This Row],[Forecast Finish]],MAX(GanttView[[#This Row],[_DoneFrom]],GanttView[[#This Row],[Forecast Start]]+ROUND((GanttView[[#This Row],[Forecast Finish]]-GanttView[[#This Row],[Forecast Start]]+1)*GanttView[[#This Row],[%]],0)-1)))</f>
        <v>0</v>
      </c>
      <c r="R175" s="132" t="n">
        <f aca="false">IF(IFERROR(INDEX(tsk_Name,GanttView[[#This Row],[_Row]])="",TRUE()),0,IF(OR(INDEX(tsk_IsLeaf,GanttView[[#This Row],[_Row]])&lt;&gt;1,GanttView[[#This Row],[_IsMilestone]],N(GanttView[[#This Row],[%]])&gt;=1),0,IF(GanttView[[#This Row],[_DoneTo]]&gt;0,GanttView[[#This Row],[_DoneTo]]+1,GanttView[[#This Row],[Forecast Start]])))</f>
        <v>0</v>
      </c>
      <c r="S175" s="132" t="n">
        <f aca="false">IF(GanttView[[#This Row],[_RemFrom]]=0,0,GanttView[[#This Row],[Forecast Finish]])</f>
        <v>0</v>
      </c>
      <c r="T175" s="131" t="b">
        <f aca="false">IF(IFERROR(INDEX(tsk_Name,GanttView[[#This Row],[_Row]])="",TRUE()),FALSE(),N(INDEX(tsk_Variance,GanttView[[#This Row],[_Row]]))&gt;0)</f>
        <v>0</v>
      </c>
      <c r="U175" s="132" t="n">
        <f aca="false">IF(IFERROR(INDEX(tsk_Name,GanttView[[#This Row],[_Row]])="",TRUE()),0,N(INDEX(tsk_Deadline,GanttView[[#This Row],[_Row]])))</f>
        <v>0</v>
      </c>
      <c r="V175" s="131" t="b">
        <f aca="false">IF(IFERROR(INDEX(tsk_Name,GanttView[[#This Row],[_Row]])="",TRUE()),FALSE(),INDEX(tsk_Critical,GanttView[[#This Row],[_Row]])="Yes")</f>
        <v>0</v>
      </c>
    </row>
    <row r="176" customFormat="false" ht="15" hidden="false" customHeight="false" outlineLevel="0" collapsed="false">
      <c r="A176" s="126" t="str">
        <f aca="false">IF(IFERROR(INDEX(tsk_Name,GanttView[[#This Row],[_Row]])="",TRUE()),"",INDEX(tsk_ID,GanttView[[#This Row],[_Row]]))</f>
        <v/>
      </c>
      <c r="B176" s="126" t="str">
        <f aca="false">IF(IFERROR(INDEX(tsk_Name,GanttView[[#This Row],[_Row]])="",TRUE()),"",INDEX(tsk_WBS,GanttView[[#This Row],[_Row]]))</f>
        <v/>
      </c>
      <c r="C176" s="127" t="str">
        <f aca="false">IF(IFERROR(INDEX(tsk_Name,GanttView[[#This Row],[_Row]])="",TRUE()),"",REPT("    ",INDEX(tsk_Level,GanttView[[#This Row],[_Row]])-1)&amp;INDEX(tsk_Name,GanttView[[#This Row],[_Row]]))</f>
        <v/>
      </c>
      <c r="D176" s="126" t="str">
        <f aca="false">IF(IFERROR(INDEX(tsk_Name,GanttView[[#This Row],[_Row]])="",TRUE()),"",IF(INDEX(tsk_IsSummary,GanttView[[#This Row],[_Row]]),NETWORKDAYS.INTL(INDEX(tsk_FcStart,GanttView[[#This Row],[_Row]]),INDEX(tsk_FcFinish,GanttView[[#This Row],[_Row]]),WorkWeek,Holidays),N(INDEX(tsk_Duration,GanttView[[#This Row],[_Row]]))))</f>
        <v/>
      </c>
      <c r="E176" s="128" t="str">
        <f aca="false">IF(IFERROR(INDEX(tsk_Name,GanttView[[#This Row],[_Row]])="",TRUE()),"",INDEX(tsk_PlanStart,GanttView[[#This Row],[_Row]]))</f>
        <v/>
      </c>
      <c r="F176" s="128" t="str">
        <f aca="false">IF(IFERROR(INDEX(tsk_Name,GanttView[[#This Row],[_Row]])="",TRUE()),"",INDEX(tsk_PlanFinish,GanttView[[#This Row],[_Row]]))</f>
        <v/>
      </c>
      <c r="G176" s="128" t="str">
        <f aca="false">IF(IFERROR(INDEX(tsk_Name,GanttView[[#This Row],[_Row]])="",TRUE()),"",INDEX(tsk_FcStart,GanttView[[#This Row],[_Row]]))</f>
        <v/>
      </c>
      <c r="H176" s="128" t="str">
        <f aca="false">IF(IFERROR(INDEX(tsk_Name,GanttView[[#This Row],[_Row]])="",TRUE()),"",INDEX(tsk_FcFinish,GanttView[[#This Row],[_Row]]))</f>
        <v/>
      </c>
      <c r="I176" s="129" t="str">
        <f aca="false">IF(IFERROR(INDEX(tsk_Name,GanttView[[#This Row],[_Row]])="",TRUE()),"",INDEX(tsk_Progress,GanttView[[#This Row],[_Row]]))</f>
        <v/>
      </c>
      <c r="J176" s="127" t="str">
        <f aca="false">IF(IFERROR(INDEX(tsk_Name,GanttView[[#This Row],[_Row]])="",TRUE()),"",INDEX(tsk_ResourceNames,GanttView[[#This Row],[_Row]])&amp;"")</f>
        <v/>
      </c>
      <c r="K176" s="126" t="str">
        <f aca="false">IF(IFERROR(INDEX(tsk_Name,GanttView[[#This Row],[_Row]])="",TRUE()),"",INDEX(tsk_Status,GanttView[[#This Row],[_Row]]))</f>
        <v/>
      </c>
      <c r="L176" s="126" t="str">
        <f aca="false">IF(IFERROR(INDEX(tsk_Name,GanttView[[#This Row],[_Row]])="",TRUE()),"",INDEX(tsk_Show,GanttView[[#This Row],[_Row]])&amp;"")</f>
        <v/>
      </c>
      <c r="M176" s="130" t="n">
        <f aca="false">ROW()-ROW(GanttView[[#Headers],[ID]])</f>
        <v>171</v>
      </c>
      <c r="N176" s="131" t="b">
        <f aca="false">IF(IFERROR(INDEX(tsk_Name,GanttView[[#This Row],[_Row]])="",TRUE()),FALSE(),INDEX(tsk_IsSummary,GanttView[[#This Row],[_Row]]))</f>
        <v>0</v>
      </c>
      <c r="O176" s="131" t="b">
        <f aca="false">IF(IFERROR(INDEX(tsk_Name,GanttView[[#This Row],[_Row]])="",TRUE()),FALSE(),AND(INDEX(tsk_IsLeaf,GanttView[[#This Row],[_Row]])=1,N(INDEX(tsk_Duration,GanttView[[#This Row],[_Row]]))=0))</f>
        <v>0</v>
      </c>
      <c r="P176" s="132" t="n">
        <f aca="false">IF(IFERROR(INDEX(tsk_Name,GanttView[[#This Row],[_Row]])="",TRUE()),0,IF(AND(INDEX(tsk_IsLeaf,GanttView[[#This Row],[_Row]])=1,NOT(GanttView[[#This Row],[_IsMilestone]]),N(GanttView[[#This Row],[%]])&gt;0),GanttView[[#This Row],[Forecast Start]],0))</f>
        <v>0</v>
      </c>
      <c r="Q176" s="132" t="n">
        <f aca="false">IF(GanttView[[#This Row],[_DoneFrom]]=0,0,IF(GanttView[[#This Row],[%]]&gt;=1,GanttView[[#This Row],[Forecast Finish]],MAX(GanttView[[#This Row],[_DoneFrom]],GanttView[[#This Row],[Forecast Start]]+ROUND((GanttView[[#This Row],[Forecast Finish]]-GanttView[[#This Row],[Forecast Start]]+1)*GanttView[[#This Row],[%]],0)-1)))</f>
        <v>0</v>
      </c>
      <c r="R176" s="132" t="n">
        <f aca="false">IF(IFERROR(INDEX(tsk_Name,GanttView[[#This Row],[_Row]])="",TRUE()),0,IF(OR(INDEX(tsk_IsLeaf,GanttView[[#This Row],[_Row]])&lt;&gt;1,GanttView[[#This Row],[_IsMilestone]],N(GanttView[[#This Row],[%]])&gt;=1),0,IF(GanttView[[#This Row],[_DoneTo]]&gt;0,GanttView[[#This Row],[_DoneTo]]+1,GanttView[[#This Row],[Forecast Start]])))</f>
        <v>0</v>
      </c>
      <c r="S176" s="132" t="n">
        <f aca="false">IF(GanttView[[#This Row],[_RemFrom]]=0,0,GanttView[[#This Row],[Forecast Finish]])</f>
        <v>0</v>
      </c>
      <c r="T176" s="131" t="b">
        <f aca="false">IF(IFERROR(INDEX(tsk_Name,GanttView[[#This Row],[_Row]])="",TRUE()),FALSE(),N(INDEX(tsk_Variance,GanttView[[#This Row],[_Row]]))&gt;0)</f>
        <v>0</v>
      </c>
      <c r="U176" s="132" t="n">
        <f aca="false">IF(IFERROR(INDEX(tsk_Name,GanttView[[#This Row],[_Row]])="",TRUE()),0,N(INDEX(tsk_Deadline,GanttView[[#This Row],[_Row]])))</f>
        <v>0</v>
      </c>
      <c r="V176" s="131" t="b">
        <f aca="false">IF(IFERROR(INDEX(tsk_Name,GanttView[[#This Row],[_Row]])="",TRUE()),FALSE(),INDEX(tsk_Critical,GanttView[[#This Row],[_Row]])="Yes")</f>
        <v>0</v>
      </c>
    </row>
    <row r="177" customFormat="false" ht="15" hidden="false" customHeight="false" outlineLevel="0" collapsed="false">
      <c r="A177" s="126" t="str">
        <f aca="false">IF(IFERROR(INDEX(tsk_Name,GanttView[[#This Row],[_Row]])="",TRUE()),"",INDEX(tsk_ID,GanttView[[#This Row],[_Row]]))</f>
        <v/>
      </c>
      <c r="B177" s="126" t="str">
        <f aca="false">IF(IFERROR(INDEX(tsk_Name,GanttView[[#This Row],[_Row]])="",TRUE()),"",INDEX(tsk_WBS,GanttView[[#This Row],[_Row]]))</f>
        <v/>
      </c>
      <c r="C177" s="127" t="str">
        <f aca="false">IF(IFERROR(INDEX(tsk_Name,GanttView[[#This Row],[_Row]])="",TRUE()),"",REPT("    ",INDEX(tsk_Level,GanttView[[#This Row],[_Row]])-1)&amp;INDEX(tsk_Name,GanttView[[#This Row],[_Row]]))</f>
        <v/>
      </c>
      <c r="D177" s="126" t="str">
        <f aca="false">IF(IFERROR(INDEX(tsk_Name,GanttView[[#This Row],[_Row]])="",TRUE()),"",IF(INDEX(tsk_IsSummary,GanttView[[#This Row],[_Row]]),NETWORKDAYS.INTL(INDEX(tsk_FcStart,GanttView[[#This Row],[_Row]]),INDEX(tsk_FcFinish,GanttView[[#This Row],[_Row]]),WorkWeek,Holidays),N(INDEX(tsk_Duration,GanttView[[#This Row],[_Row]]))))</f>
        <v/>
      </c>
      <c r="E177" s="128" t="str">
        <f aca="false">IF(IFERROR(INDEX(tsk_Name,GanttView[[#This Row],[_Row]])="",TRUE()),"",INDEX(tsk_PlanStart,GanttView[[#This Row],[_Row]]))</f>
        <v/>
      </c>
      <c r="F177" s="128" t="str">
        <f aca="false">IF(IFERROR(INDEX(tsk_Name,GanttView[[#This Row],[_Row]])="",TRUE()),"",INDEX(tsk_PlanFinish,GanttView[[#This Row],[_Row]]))</f>
        <v/>
      </c>
      <c r="G177" s="128" t="str">
        <f aca="false">IF(IFERROR(INDEX(tsk_Name,GanttView[[#This Row],[_Row]])="",TRUE()),"",INDEX(tsk_FcStart,GanttView[[#This Row],[_Row]]))</f>
        <v/>
      </c>
      <c r="H177" s="128" t="str">
        <f aca="false">IF(IFERROR(INDEX(tsk_Name,GanttView[[#This Row],[_Row]])="",TRUE()),"",INDEX(tsk_FcFinish,GanttView[[#This Row],[_Row]]))</f>
        <v/>
      </c>
      <c r="I177" s="129" t="str">
        <f aca="false">IF(IFERROR(INDEX(tsk_Name,GanttView[[#This Row],[_Row]])="",TRUE()),"",INDEX(tsk_Progress,GanttView[[#This Row],[_Row]]))</f>
        <v/>
      </c>
      <c r="J177" s="127" t="str">
        <f aca="false">IF(IFERROR(INDEX(tsk_Name,GanttView[[#This Row],[_Row]])="",TRUE()),"",INDEX(tsk_ResourceNames,GanttView[[#This Row],[_Row]])&amp;"")</f>
        <v/>
      </c>
      <c r="K177" s="126" t="str">
        <f aca="false">IF(IFERROR(INDEX(tsk_Name,GanttView[[#This Row],[_Row]])="",TRUE()),"",INDEX(tsk_Status,GanttView[[#This Row],[_Row]]))</f>
        <v/>
      </c>
      <c r="L177" s="126" t="str">
        <f aca="false">IF(IFERROR(INDEX(tsk_Name,GanttView[[#This Row],[_Row]])="",TRUE()),"",INDEX(tsk_Show,GanttView[[#This Row],[_Row]])&amp;"")</f>
        <v/>
      </c>
      <c r="M177" s="130" t="n">
        <f aca="false">ROW()-ROW(GanttView[[#Headers],[ID]])</f>
        <v>172</v>
      </c>
      <c r="N177" s="131" t="b">
        <f aca="false">IF(IFERROR(INDEX(tsk_Name,GanttView[[#This Row],[_Row]])="",TRUE()),FALSE(),INDEX(tsk_IsSummary,GanttView[[#This Row],[_Row]]))</f>
        <v>0</v>
      </c>
      <c r="O177" s="131" t="b">
        <f aca="false">IF(IFERROR(INDEX(tsk_Name,GanttView[[#This Row],[_Row]])="",TRUE()),FALSE(),AND(INDEX(tsk_IsLeaf,GanttView[[#This Row],[_Row]])=1,N(INDEX(tsk_Duration,GanttView[[#This Row],[_Row]]))=0))</f>
        <v>0</v>
      </c>
      <c r="P177" s="132" t="n">
        <f aca="false">IF(IFERROR(INDEX(tsk_Name,GanttView[[#This Row],[_Row]])="",TRUE()),0,IF(AND(INDEX(tsk_IsLeaf,GanttView[[#This Row],[_Row]])=1,NOT(GanttView[[#This Row],[_IsMilestone]]),N(GanttView[[#This Row],[%]])&gt;0),GanttView[[#This Row],[Forecast Start]],0))</f>
        <v>0</v>
      </c>
      <c r="Q177" s="132" t="n">
        <f aca="false">IF(GanttView[[#This Row],[_DoneFrom]]=0,0,IF(GanttView[[#This Row],[%]]&gt;=1,GanttView[[#This Row],[Forecast Finish]],MAX(GanttView[[#This Row],[_DoneFrom]],GanttView[[#This Row],[Forecast Start]]+ROUND((GanttView[[#This Row],[Forecast Finish]]-GanttView[[#This Row],[Forecast Start]]+1)*GanttView[[#This Row],[%]],0)-1)))</f>
        <v>0</v>
      </c>
      <c r="R177" s="132" t="n">
        <f aca="false">IF(IFERROR(INDEX(tsk_Name,GanttView[[#This Row],[_Row]])="",TRUE()),0,IF(OR(INDEX(tsk_IsLeaf,GanttView[[#This Row],[_Row]])&lt;&gt;1,GanttView[[#This Row],[_IsMilestone]],N(GanttView[[#This Row],[%]])&gt;=1),0,IF(GanttView[[#This Row],[_DoneTo]]&gt;0,GanttView[[#This Row],[_DoneTo]]+1,GanttView[[#This Row],[Forecast Start]])))</f>
        <v>0</v>
      </c>
      <c r="S177" s="132" t="n">
        <f aca="false">IF(GanttView[[#This Row],[_RemFrom]]=0,0,GanttView[[#This Row],[Forecast Finish]])</f>
        <v>0</v>
      </c>
      <c r="T177" s="131" t="b">
        <f aca="false">IF(IFERROR(INDEX(tsk_Name,GanttView[[#This Row],[_Row]])="",TRUE()),FALSE(),N(INDEX(tsk_Variance,GanttView[[#This Row],[_Row]]))&gt;0)</f>
        <v>0</v>
      </c>
      <c r="U177" s="132" t="n">
        <f aca="false">IF(IFERROR(INDEX(tsk_Name,GanttView[[#This Row],[_Row]])="",TRUE()),0,N(INDEX(tsk_Deadline,GanttView[[#This Row],[_Row]])))</f>
        <v>0</v>
      </c>
      <c r="V177" s="131" t="b">
        <f aca="false">IF(IFERROR(INDEX(tsk_Name,GanttView[[#This Row],[_Row]])="",TRUE()),FALSE(),INDEX(tsk_Critical,GanttView[[#This Row],[_Row]])="Yes")</f>
        <v>0</v>
      </c>
    </row>
    <row r="178" customFormat="false" ht="15" hidden="false" customHeight="false" outlineLevel="0" collapsed="false">
      <c r="A178" s="126" t="str">
        <f aca="false">IF(IFERROR(INDEX(tsk_Name,GanttView[[#This Row],[_Row]])="",TRUE()),"",INDEX(tsk_ID,GanttView[[#This Row],[_Row]]))</f>
        <v/>
      </c>
      <c r="B178" s="126" t="str">
        <f aca="false">IF(IFERROR(INDEX(tsk_Name,GanttView[[#This Row],[_Row]])="",TRUE()),"",INDEX(tsk_WBS,GanttView[[#This Row],[_Row]]))</f>
        <v/>
      </c>
      <c r="C178" s="127" t="str">
        <f aca="false">IF(IFERROR(INDEX(tsk_Name,GanttView[[#This Row],[_Row]])="",TRUE()),"",REPT("    ",INDEX(tsk_Level,GanttView[[#This Row],[_Row]])-1)&amp;INDEX(tsk_Name,GanttView[[#This Row],[_Row]]))</f>
        <v/>
      </c>
      <c r="D178" s="126" t="str">
        <f aca="false">IF(IFERROR(INDEX(tsk_Name,GanttView[[#This Row],[_Row]])="",TRUE()),"",IF(INDEX(tsk_IsSummary,GanttView[[#This Row],[_Row]]),NETWORKDAYS.INTL(INDEX(tsk_FcStart,GanttView[[#This Row],[_Row]]),INDEX(tsk_FcFinish,GanttView[[#This Row],[_Row]]),WorkWeek,Holidays),N(INDEX(tsk_Duration,GanttView[[#This Row],[_Row]]))))</f>
        <v/>
      </c>
      <c r="E178" s="128" t="str">
        <f aca="false">IF(IFERROR(INDEX(tsk_Name,GanttView[[#This Row],[_Row]])="",TRUE()),"",INDEX(tsk_PlanStart,GanttView[[#This Row],[_Row]]))</f>
        <v/>
      </c>
      <c r="F178" s="128" t="str">
        <f aca="false">IF(IFERROR(INDEX(tsk_Name,GanttView[[#This Row],[_Row]])="",TRUE()),"",INDEX(tsk_PlanFinish,GanttView[[#This Row],[_Row]]))</f>
        <v/>
      </c>
      <c r="G178" s="128" t="str">
        <f aca="false">IF(IFERROR(INDEX(tsk_Name,GanttView[[#This Row],[_Row]])="",TRUE()),"",INDEX(tsk_FcStart,GanttView[[#This Row],[_Row]]))</f>
        <v/>
      </c>
      <c r="H178" s="128" t="str">
        <f aca="false">IF(IFERROR(INDEX(tsk_Name,GanttView[[#This Row],[_Row]])="",TRUE()),"",INDEX(tsk_FcFinish,GanttView[[#This Row],[_Row]]))</f>
        <v/>
      </c>
      <c r="I178" s="129" t="str">
        <f aca="false">IF(IFERROR(INDEX(tsk_Name,GanttView[[#This Row],[_Row]])="",TRUE()),"",INDEX(tsk_Progress,GanttView[[#This Row],[_Row]]))</f>
        <v/>
      </c>
      <c r="J178" s="127" t="str">
        <f aca="false">IF(IFERROR(INDEX(tsk_Name,GanttView[[#This Row],[_Row]])="",TRUE()),"",INDEX(tsk_ResourceNames,GanttView[[#This Row],[_Row]])&amp;"")</f>
        <v/>
      </c>
      <c r="K178" s="126" t="str">
        <f aca="false">IF(IFERROR(INDEX(tsk_Name,GanttView[[#This Row],[_Row]])="",TRUE()),"",INDEX(tsk_Status,GanttView[[#This Row],[_Row]]))</f>
        <v/>
      </c>
      <c r="L178" s="126" t="str">
        <f aca="false">IF(IFERROR(INDEX(tsk_Name,GanttView[[#This Row],[_Row]])="",TRUE()),"",INDEX(tsk_Show,GanttView[[#This Row],[_Row]])&amp;"")</f>
        <v/>
      </c>
      <c r="M178" s="130" t="n">
        <f aca="false">ROW()-ROW(GanttView[[#Headers],[ID]])</f>
        <v>173</v>
      </c>
      <c r="N178" s="131" t="b">
        <f aca="false">IF(IFERROR(INDEX(tsk_Name,GanttView[[#This Row],[_Row]])="",TRUE()),FALSE(),INDEX(tsk_IsSummary,GanttView[[#This Row],[_Row]]))</f>
        <v>0</v>
      </c>
      <c r="O178" s="131" t="b">
        <f aca="false">IF(IFERROR(INDEX(tsk_Name,GanttView[[#This Row],[_Row]])="",TRUE()),FALSE(),AND(INDEX(tsk_IsLeaf,GanttView[[#This Row],[_Row]])=1,N(INDEX(tsk_Duration,GanttView[[#This Row],[_Row]]))=0))</f>
        <v>0</v>
      </c>
      <c r="P178" s="132" t="n">
        <f aca="false">IF(IFERROR(INDEX(tsk_Name,GanttView[[#This Row],[_Row]])="",TRUE()),0,IF(AND(INDEX(tsk_IsLeaf,GanttView[[#This Row],[_Row]])=1,NOT(GanttView[[#This Row],[_IsMilestone]]),N(GanttView[[#This Row],[%]])&gt;0),GanttView[[#This Row],[Forecast Start]],0))</f>
        <v>0</v>
      </c>
      <c r="Q178" s="132" t="n">
        <f aca="false">IF(GanttView[[#This Row],[_DoneFrom]]=0,0,IF(GanttView[[#This Row],[%]]&gt;=1,GanttView[[#This Row],[Forecast Finish]],MAX(GanttView[[#This Row],[_DoneFrom]],GanttView[[#This Row],[Forecast Start]]+ROUND((GanttView[[#This Row],[Forecast Finish]]-GanttView[[#This Row],[Forecast Start]]+1)*GanttView[[#This Row],[%]],0)-1)))</f>
        <v>0</v>
      </c>
      <c r="R178" s="132" t="n">
        <f aca="false">IF(IFERROR(INDEX(tsk_Name,GanttView[[#This Row],[_Row]])="",TRUE()),0,IF(OR(INDEX(tsk_IsLeaf,GanttView[[#This Row],[_Row]])&lt;&gt;1,GanttView[[#This Row],[_IsMilestone]],N(GanttView[[#This Row],[%]])&gt;=1),0,IF(GanttView[[#This Row],[_DoneTo]]&gt;0,GanttView[[#This Row],[_DoneTo]]+1,GanttView[[#This Row],[Forecast Start]])))</f>
        <v>0</v>
      </c>
      <c r="S178" s="132" t="n">
        <f aca="false">IF(GanttView[[#This Row],[_RemFrom]]=0,0,GanttView[[#This Row],[Forecast Finish]])</f>
        <v>0</v>
      </c>
      <c r="T178" s="131" t="b">
        <f aca="false">IF(IFERROR(INDEX(tsk_Name,GanttView[[#This Row],[_Row]])="",TRUE()),FALSE(),N(INDEX(tsk_Variance,GanttView[[#This Row],[_Row]]))&gt;0)</f>
        <v>0</v>
      </c>
      <c r="U178" s="132" t="n">
        <f aca="false">IF(IFERROR(INDEX(tsk_Name,GanttView[[#This Row],[_Row]])="",TRUE()),0,N(INDEX(tsk_Deadline,GanttView[[#This Row],[_Row]])))</f>
        <v>0</v>
      </c>
      <c r="V178" s="131" t="b">
        <f aca="false">IF(IFERROR(INDEX(tsk_Name,GanttView[[#This Row],[_Row]])="",TRUE()),FALSE(),INDEX(tsk_Critical,GanttView[[#This Row],[_Row]])="Yes")</f>
        <v>0</v>
      </c>
    </row>
    <row r="179" customFormat="false" ht="15" hidden="false" customHeight="false" outlineLevel="0" collapsed="false">
      <c r="A179" s="126" t="str">
        <f aca="false">IF(IFERROR(INDEX(tsk_Name,GanttView[[#This Row],[_Row]])="",TRUE()),"",INDEX(tsk_ID,GanttView[[#This Row],[_Row]]))</f>
        <v/>
      </c>
      <c r="B179" s="126" t="str">
        <f aca="false">IF(IFERROR(INDEX(tsk_Name,GanttView[[#This Row],[_Row]])="",TRUE()),"",INDEX(tsk_WBS,GanttView[[#This Row],[_Row]]))</f>
        <v/>
      </c>
      <c r="C179" s="127" t="str">
        <f aca="false">IF(IFERROR(INDEX(tsk_Name,GanttView[[#This Row],[_Row]])="",TRUE()),"",REPT("    ",INDEX(tsk_Level,GanttView[[#This Row],[_Row]])-1)&amp;INDEX(tsk_Name,GanttView[[#This Row],[_Row]]))</f>
        <v/>
      </c>
      <c r="D179" s="126" t="str">
        <f aca="false">IF(IFERROR(INDEX(tsk_Name,GanttView[[#This Row],[_Row]])="",TRUE()),"",IF(INDEX(tsk_IsSummary,GanttView[[#This Row],[_Row]]),NETWORKDAYS.INTL(INDEX(tsk_FcStart,GanttView[[#This Row],[_Row]]),INDEX(tsk_FcFinish,GanttView[[#This Row],[_Row]]),WorkWeek,Holidays),N(INDEX(tsk_Duration,GanttView[[#This Row],[_Row]]))))</f>
        <v/>
      </c>
      <c r="E179" s="128" t="str">
        <f aca="false">IF(IFERROR(INDEX(tsk_Name,GanttView[[#This Row],[_Row]])="",TRUE()),"",INDEX(tsk_PlanStart,GanttView[[#This Row],[_Row]]))</f>
        <v/>
      </c>
      <c r="F179" s="128" t="str">
        <f aca="false">IF(IFERROR(INDEX(tsk_Name,GanttView[[#This Row],[_Row]])="",TRUE()),"",INDEX(tsk_PlanFinish,GanttView[[#This Row],[_Row]]))</f>
        <v/>
      </c>
      <c r="G179" s="128" t="str">
        <f aca="false">IF(IFERROR(INDEX(tsk_Name,GanttView[[#This Row],[_Row]])="",TRUE()),"",INDEX(tsk_FcStart,GanttView[[#This Row],[_Row]]))</f>
        <v/>
      </c>
      <c r="H179" s="128" t="str">
        <f aca="false">IF(IFERROR(INDEX(tsk_Name,GanttView[[#This Row],[_Row]])="",TRUE()),"",INDEX(tsk_FcFinish,GanttView[[#This Row],[_Row]]))</f>
        <v/>
      </c>
      <c r="I179" s="129" t="str">
        <f aca="false">IF(IFERROR(INDEX(tsk_Name,GanttView[[#This Row],[_Row]])="",TRUE()),"",INDEX(tsk_Progress,GanttView[[#This Row],[_Row]]))</f>
        <v/>
      </c>
      <c r="J179" s="127" t="str">
        <f aca="false">IF(IFERROR(INDEX(tsk_Name,GanttView[[#This Row],[_Row]])="",TRUE()),"",INDEX(tsk_ResourceNames,GanttView[[#This Row],[_Row]])&amp;"")</f>
        <v/>
      </c>
      <c r="K179" s="126" t="str">
        <f aca="false">IF(IFERROR(INDEX(tsk_Name,GanttView[[#This Row],[_Row]])="",TRUE()),"",INDEX(tsk_Status,GanttView[[#This Row],[_Row]]))</f>
        <v/>
      </c>
      <c r="L179" s="126" t="str">
        <f aca="false">IF(IFERROR(INDEX(tsk_Name,GanttView[[#This Row],[_Row]])="",TRUE()),"",INDEX(tsk_Show,GanttView[[#This Row],[_Row]])&amp;"")</f>
        <v/>
      </c>
      <c r="M179" s="130" t="n">
        <f aca="false">ROW()-ROW(GanttView[[#Headers],[ID]])</f>
        <v>174</v>
      </c>
      <c r="N179" s="131" t="b">
        <f aca="false">IF(IFERROR(INDEX(tsk_Name,GanttView[[#This Row],[_Row]])="",TRUE()),FALSE(),INDEX(tsk_IsSummary,GanttView[[#This Row],[_Row]]))</f>
        <v>0</v>
      </c>
      <c r="O179" s="131" t="b">
        <f aca="false">IF(IFERROR(INDEX(tsk_Name,GanttView[[#This Row],[_Row]])="",TRUE()),FALSE(),AND(INDEX(tsk_IsLeaf,GanttView[[#This Row],[_Row]])=1,N(INDEX(tsk_Duration,GanttView[[#This Row],[_Row]]))=0))</f>
        <v>0</v>
      </c>
      <c r="P179" s="132" t="n">
        <f aca="false">IF(IFERROR(INDEX(tsk_Name,GanttView[[#This Row],[_Row]])="",TRUE()),0,IF(AND(INDEX(tsk_IsLeaf,GanttView[[#This Row],[_Row]])=1,NOT(GanttView[[#This Row],[_IsMilestone]]),N(GanttView[[#This Row],[%]])&gt;0),GanttView[[#This Row],[Forecast Start]],0))</f>
        <v>0</v>
      </c>
      <c r="Q179" s="132" t="n">
        <f aca="false">IF(GanttView[[#This Row],[_DoneFrom]]=0,0,IF(GanttView[[#This Row],[%]]&gt;=1,GanttView[[#This Row],[Forecast Finish]],MAX(GanttView[[#This Row],[_DoneFrom]],GanttView[[#This Row],[Forecast Start]]+ROUND((GanttView[[#This Row],[Forecast Finish]]-GanttView[[#This Row],[Forecast Start]]+1)*GanttView[[#This Row],[%]],0)-1)))</f>
        <v>0</v>
      </c>
      <c r="R179" s="132" t="n">
        <f aca="false">IF(IFERROR(INDEX(tsk_Name,GanttView[[#This Row],[_Row]])="",TRUE()),0,IF(OR(INDEX(tsk_IsLeaf,GanttView[[#This Row],[_Row]])&lt;&gt;1,GanttView[[#This Row],[_IsMilestone]],N(GanttView[[#This Row],[%]])&gt;=1),0,IF(GanttView[[#This Row],[_DoneTo]]&gt;0,GanttView[[#This Row],[_DoneTo]]+1,GanttView[[#This Row],[Forecast Start]])))</f>
        <v>0</v>
      </c>
      <c r="S179" s="132" t="n">
        <f aca="false">IF(GanttView[[#This Row],[_RemFrom]]=0,0,GanttView[[#This Row],[Forecast Finish]])</f>
        <v>0</v>
      </c>
      <c r="T179" s="131" t="b">
        <f aca="false">IF(IFERROR(INDEX(tsk_Name,GanttView[[#This Row],[_Row]])="",TRUE()),FALSE(),N(INDEX(tsk_Variance,GanttView[[#This Row],[_Row]]))&gt;0)</f>
        <v>0</v>
      </c>
      <c r="U179" s="132" t="n">
        <f aca="false">IF(IFERROR(INDEX(tsk_Name,GanttView[[#This Row],[_Row]])="",TRUE()),0,N(INDEX(tsk_Deadline,GanttView[[#This Row],[_Row]])))</f>
        <v>0</v>
      </c>
      <c r="V179" s="131" t="b">
        <f aca="false">IF(IFERROR(INDEX(tsk_Name,GanttView[[#This Row],[_Row]])="",TRUE()),FALSE(),INDEX(tsk_Critical,GanttView[[#This Row],[_Row]])="Yes")</f>
        <v>0</v>
      </c>
    </row>
    <row r="180" customFormat="false" ht="15" hidden="false" customHeight="false" outlineLevel="0" collapsed="false">
      <c r="A180" s="126" t="str">
        <f aca="false">IF(IFERROR(INDEX(tsk_Name,GanttView[[#This Row],[_Row]])="",TRUE()),"",INDEX(tsk_ID,GanttView[[#This Row],[_Row]]))</f>
        <v/>
      </c>
      <c r="B180" s="126" t="str">
        <f aca="false">IF(IFERROR(INDEX(tsk_Name,GanttView[[#This Row],[_Row]])="",TRUE()),"",INDEX(tsk_WBS,GanttView[[#This Row],[_Row]]))</f>
        <v/>
      </c>
      <c r="C180" s="127" t="str">
        <f aca="false">IF(IFERROR(INDEX(tsk_Name,GanttView[[#This Row],[_Row]])="",TRUE()),"",REPT("    ",INDEX(tsk_Level,GanttView[[#This Row],[_Row]])-1)&amp;INDEX(tsk_Name,GanttView[[#This Row],[_Row]]))</f>
        <v/>
      </c>
      <c r="D180" s="126" t="str">
        <f aca="false">IF(IFERROR(INDEX(tsk_Name,GanttView[[#This Row],[_Row]])="",TRUE()),"",IF(INDEX(tsk_IsSummary,GanttView[[#This Row],[_Row]]),NETWORKDAYS.INTL(INDEX(tsk_FcStart,GanttView[[#This Row],[_Row]]),INDEX(tsk_FcFinish,GanttView[[#This Row],[_Row]]),WorkWeek,Holidays),N(INDEX(tsk_Duration,GanttView[[#This Row],[_Row]]))))</f>
        <v/>
      </c>
      <c r="E180" s="128" t="str">
        <f aca="false">IF(IFERROR(INDEX(tsk_Name,GanttView[[#This Row],[_Row]])="",TRUE()),"",INDEX(tsk_PlanStart,GanttView[[#This Row],[_Row]]))</f>
        <v/>
      </c>
      <c r="F180" s="128" t="str">
        <f aca="false">IF(IFERROR(INDEX(tsk_Name,GanttView[[#This Row],[_Row]])="",TRUE()),"",INDEX(tsk_PlanFinish,GanttView[[#This Row],[_Row]]))</f>
        <v/>
      </c>
      <c r="G180" s="128" t="str">
        <f aca="false">IF(IFERROR(INDEX(tsk_Name,GanttView[[#This Row],[_Row]])="",TRUE()),"",INDEX(tsk_FcStart,GanttView[[#This Row],[_Row]]))</f>
        <v/>
      </c>
      <c r="H180" s="128" t="str">
        <f aca="false">IF(IFERROR(INDEX(tsk_Name,GanttView[[#This Row],[_Row]])="",TRUE()),"",INDEX(tsk_FcFinish,GanttView[[#This Row],[_Row]]))</f>
        <v/>
      </c>
      <c r="I180" s="129" t="str">
        <f aca="false">IF(IFERROR(INDEX(tsk_Name,GanttView[[#This Row],[_Row]])="",TRUE()),"",INDEX(tsk_Progress,GanttView[[#This Row],[_Row]]))</f>
        <v/>
      </c>
      <c r="J180" s="127" t="str">
        <f aca="false">IF(IFERROR(INDEX(tsk_Name,GanttView[[#This Row],[_Row]])="",TRUE()),"",INDEX(tsk_ResourceNames,GanttView[[#This Row],[_Row]])&amp;"")</f>
        <v/>
      </c>
      <c r="K180" s="126" t="str">
        <f aca="false">IF(IFERROR(INDEX(tsk_Name,GanttView[[#This Row],[_Row]])="",TRUE()),"",INDEX(tsk_Status,GanttView[[#This Row],[_Row]]))</f>
        <v/>
      </c>
      <c r="L180" s="126" t="str">
        <f aca="false">IF(IFERROR(INDEX(tsk_Name,GanttView[[#This Row],[_Row]])="",TRUE()),"",INDEX(tsk_Show,GanttView[[#This Row],[_Row]])&amp;"")</f>
        <v/>
      </c>
      <c r="M180" s="130" t="n">
        <f aca="false">ROW()-ROW(GanttView[[#Headers],[ID]])</f>
        <v>175</v>
      </c>
      <c r="N180" s="131" t="b">
        <f aca="false">IF(IFERROR(INDEX(tsk_Name,GanttView[[#This Row],[_Row]])="",TRUE()),FALSE(),INDEX(tsk_IsSummary,GanttView[[#This Row],[_Row]]))</f>
        <v>0</v>
      </c>
      <c r="O180" s="131" t="b">
        <f aca="false">IF(IFERROR(INDEX(tsk_Name,GanttView[[#This Row],[_Row]])="",TRUE()),FALSE(),AND(INDEX(tsk_IsLeaf,GanttView[[#This Row],[_Row]])=1,N(INDEX(tsk_Duration,GanttView[[#This Row],[_Row]]))=0))</f>
        <v>0</v>
      </c>
      <c r="P180" s="132" t="n">
        <f aca="false">IF(IFERROR(INDEX(tsk_Name,GanttView[[#This Row],[_Row]])="",TRUE()),0,IF(AND(INDEX(tsk_IsLeaf,GanttView[[#This Row],[_Row]])=1,NOT(GanttView[[#This Row],[_IsMilestone]]),N(GanttView[[#This Row],[%]])&gt;0),GanttView[[#This Row],[Forecast Start]],0))</f>
        <v>0</v>
      </c>
      <c r="Q180" s="132" t="n">
        <f aca="false">IF(GanttView[[#This Row],[_DoneFrom]]=0,0,IF(GanttView[[#This Row],[%]]&gt;=1,GanttView[[#This Row],[Forecast Finish]],MAX(GanttView[[#This Row],[_DoneFrom]],GanttView[[#This Row],[Forecast Start]]+ROUND((GanttView[[#This Row],[Forecast Finish]]-GanttView[[#This Row],[Forecast Start]]+1)*GanttView[[#This Row],[%]],0)-1)))</f>
        <v>0</v>
      </c>
      <c r="R180" s="132" t="n">
        <f aca="false">IF(IFERROR(INDEX(tsk_Name,GanttView[[#This Row],[_Row]])="",TRUE()),0,IF(OR(INDEX(tsk_IsLeaf,GanttView[[#This Row],[_Row]])&lt;&gt;1,GanttView[[#This Row],[_IsMilestone]],N(GanttView[[#This Row],[%]])&gt;=1),0,IF(GanttView[[#This Row],[_DoneTo]]&gt;0,GanttView[[#This Row],[_DoneTo]]+1,GanttView[[#This Row],[Forecast Start]])))</f>
        <v>0</v>
      </c>
      <c r="S180" s="132" t="n">
        <f aca="false">IF(GanttView[[#This Row],[_RemFrom]]=0,0,GanttView[[#This Row],[Forecast Finish]])</f>
        <v>0</v>
      </c>
      <c r="T180" s="131" t="b">
        <f aca="false">IF(IFERROR(INDEX(tsk_Name,GanttView[[#This Row],[_Row]])="",TRUE()),FALSE(),N(INDEX(tsk_Variance,GanttView[[#This Row],[_Row]]))&gt;0)</f>
        <v>0</v>
      </c>
      <c r="U180" s="132" t="n">
        <f aca="false">IF(IFERROR(INDEX(tsk_Name,GanttView[[#This Row],[_Row]])="",TRUE()),0,N(INDEX(tsk_Deadline,GanttView[[#This Row],[_Row]])))</f>
        <v>0</v>
      </c>
      <c r="V180" s="131" t="b">
        <f aca="false">IF(IFERROR(INDEX(tsk_Name,GanttView[[#This Row],[_Row]])="",TRUE()),FALSE(),INDEX(tsk_Critical,GanttView[[#This Row],[_Row]])="Yes")</f>
        <v>0</v>
      </c>
    </row>
    <row r="181" customFormat="false" ht="15" hidden="false" customHeight="false" outlineLevel="0" collapsed="false">
      <c r="A181" s="126" t="str">
        <f aca="false">IF(IFERROR(INDEX(tsk_Name,GanttView[[#This Row],[_Row]])="",TRUE()),"",INDEX(tsk_ID,GanttView[[#This Row],[_Row]]))</f>
        <v/>
      </c>
      <c r="B181" s="126" t="str">
        <f aca="false">IF(IFERROR(INDEX(tsk_Name,GanttView[[#This Row],[_Row]])="",TRUE()),"",INDEX(tsk_WBS,GanttView[[#This Row],[_Row]]))</f>
        <v/>
      </c>
      <c r="C181" s="127" t="str">
        <f aca="false">IF(IFERROR(INDEX(tsk_Name,GanttView[[#This Row],[_Row]])="",TRUE()),"",REPT("    ",INDEX(tsk_Level,GanttView[[#This Row],[_Row]])-1)&amp;INDEX(tsk_Name,GanttView[[#This Row],[_Row]]))</f>
        <v/>
      </c>
      <c r="D181" s="126" t="str">
        <f aca="false">IF(IFERROR(INDEX(tsk_Name,GanttView[[#This Row],[_Row]])="",TRUE()),"",IF(INDEX(tsk_IsSummary,GanttView[[#This Row],[_Row]]),NETWORKDAYS.INTL(INDEX(tsk_FcStart,GanttView[[#This Row],[_Row]]),INDEX(tsk_FcFinish,GanttView[[#This Row],[_Row]]),WorkWeek,Holidays),N(INDEX(tsk_Duration,GanttView[[#This Row],[_Row]]))))</f>
        <v/>
      </c>
      <c r="E181" s="128" t="str">
        <f aca="false">IF(IFERROR(INDEX(tsk_Name,GanttView[[#This Row],[_Row]])="",TRUE()),"",INDEX(tsk_PlanStart,GanttView[[#This Row],[_Row]]))</f>
        <v/>
      </c>
      <c r="F181" s="128" t="str">
        <f aca="false">IF(IFERROR(INDEX(tsk_Name,GanttView[[#This Row],[_Row]])="",TRUE()),"",INDEX(tsk_PlanFinish,GanttView[[#This Row],[_Row]]))</f>
        <v/>
      </c>
      <c r="G181" s="128" t="str">
        <f aca="false">IF(IFERROR(INDEX(tsk_Name,GanttView[[#This Row],[_Row]])="",TRUE()),"",INDEX(tsk_FcStart,GanttView[[#This Row],[_Row]]))</f>
        <v/>
      </c>
      <c r="H181" s="128" t="str">
        <f aca="false">IF(IFERROR(INDEX(tsk_Name,GanttView[[#This Row],[_Row]])="",TRUE()),"",INDEX(tsk_FcFinish,GanttView[[#This Row],[_Row]]))</f>
        <v/>
      </c>
      <c r="I181" s="129" t="str">
        <f aca="false">IF(IFERROR(INDEX(tsk_Name,GanttView[[#This Row],[_Row]])="",TRUE()),"",INDEX(tsk_Progress,GanttView[[#This Row],[_Row]]))</f>
        <v/>
      </c>
      <c r="J181" s="127" t="str">
        <f aca="false">IF(IFERROR(INDEX(tsk_Name,GanttView[[#This Row],[_Row]])="",TRUE()),"",INDEX(tsk_ResourceNames,GanttView[[#This Row],[_Row]])&amp;"")</f>
        <v/>
      </c>
      <c r="K181" s="126" t="str">
        <f aca="false">IF(IFERROR(INDEX(tsk_Name,GanttView[[#This Row],[_Row]])="",TRUE()),"",INDEX(tsk_Status,GanttView[[#This Row],[_Row]]))</f>
        <v/>
      </c>
      <c r="L181" s="126" t="str">
        <f aca="false">IF(IFERROR(INDEX(tsk_Name,GanttView[[#This Row],[_Row]])="",TRUE()),"",INDEX(tsk_Show,GanttView[[#This Row],[_Row]])&amp;"")</f>
        <v/>
      </c>
      <c r="M181" s="130" t="n">
        <f aca="false">ROW()-ROW(GanttView[[#Headers],[ID]])</f>
        <v>176</v>
      </c>
      <c r="N181" s="131" t="b">
        <f aca="false">IF(IFERROR(INDEX(tsk_Name,GanttView[[#This Row],[_Row]])="",TRUE()),FALSE(),INDEX(tsk_IsSummary,GanttView[[#This Row],[_Row]]))</f>
        <v>0</v>
      </c>
      <c r="O181" s="131" t="b">
        <f aca="false">IF(IFERROR(INDEX(tsk_Name,GanttView[[#This Row],[_Row]])="",TRUE()),FALSE(),AND(INDEX(tsk_IsLeaf,GanttView[[#This Row],[_Row]])=1,N(INDEX(tsk_Duration,GanttView[[#This Row],[_Row]]))=0))</f>
        <v>0</v>
      </c>
      <c r="P181" s="132" t="n">
        <f aca="false">IF(IFERROR(INDEX(tsk_Name,GanttView[[#This Row],[_Row]])="",TRUE()),0,IF(AND(INDEX(tsk_IsLeaf,GanttView[[#This Row],[_Row]])=1,NOT(GanttView[[#This Row],[_IsMilestone]]),N(GanttView[[#This Row],[%]])&gt;0),GanttView[[#This Row],[Forecast Start]],0))</f>
        <v>0</v>
      </c>
      <c r="Q181" s="132" t="n">
        <f aca="false">IF(GanttView[[#This Row],[_DoneFrom]]=0,0,IF(GanttView[[#This Row],[%]]&gt;=1,GanttView[[#This Row],[Forecast Finish]],MAX(GanttView[[#This Row],[_DoneFrom]],GanttView[[#This Row],[Forecast Start]]+ROUND((GanttView[[#This Row],[Forecast Finish]]-GanttView[[#This Row],[Forecast Start]]+1)*GanttView[[#This Row],[%]],0)-1)))</f>
        <v>0</v>
      </c>
      <c r="R181" s="132" t="n">
        <f aca="false">IF(IFERROR(INDEX(tsk_Name,GanttView[[#This Row],[_Row]])="",TRUE()),0,IF(OR(INDEX(tsk_IsLeaf,GanttView[[#This Row],[_Row]])&lt;&gt;1,GanttView[[#This Row],[_IsMilestone]],N(GanttView[[#This Row],[%]])&gt;=1),0,IF(GanttView[[#This Row],[_DoneTo]]&gt;0,GanttView[[#This Row],[_DoneTo]]+1,GanttView[[#This Row],[Forecast Start]])))</f>
        <v>0</v>
      </c>
      <c r="S181" s="132" t="n">
        <f aca="false">IF(GanttView[[#This Row],[_RemFrom]]=0,0,GanttView[[#This Row],[Forecast Finish]])</f>
        <v>0</v>
      </c>
      <c r="T181" s="131" t="b">
        <f aca="false">IF(IFERROR(INDEX(tsk_Name,GanttView[[#This Row],[_Row]])="",TRUE()),FALSE(),N(INDEX(tsk_Variance,GanttView[[#This Row],[_Row]]))&gt;0)</f>
        <v>0</v>
      </c>
      <c r="U181" s="132" t="n">
        <f aca="false">IF(IFERROR(INDEX(tsk_Name,GanttView[[#This Row],[_Row]])="",TRUE()),0,N(INDEX(tsk_Deadline,GanttView[[#This Row],[_Row]])))</f>
        <v>0</v>
      </c>
      <c r="V181" s="131" t="b">
        <f aca="false">IF(IFERROR(INDEX(tsk_Name,GanttView[[#This Row],[_Row]])="",TRUE()),FALSE(),INDEX(tsk_Critical,GanttView[[#This Row],[_Row]])="Yes")</f>
        <v>0</v>
      </c>
    </row>
    <row r="182" customFormat="false" ht="15" hidden="false" customHeight="false" outlineLevel="0" collapsed="false">
      <c r="A182" s="126" t="str">
        <f aca="false">IF(IFERROR(INDEX(tsk_Name,GanttView[[#This Row],[_Row]])="",TRUE()),"",INDEX(tsk_ID,GanttView[[#This Row],[_Row]]))</f>
        <v/>
      </c>
      <c r="B182" s="126" t="str">
        <f aca="false">IF(IFERROR(INDEX(tsk_Name,GanttView[[#This Row],[_Row]])="",TRUE()),"",INDEX(tsk_WBS,GanttView[[#This Row],[_Row]]))</f>
        <v/>
      </c>
      <c r="C182" s="127" t="str">
        <f aca="false">IF(IFERROR(INDEX(tsk_Name,GanttView[[#This Row],[_Row]])="",TRUE()),"",REPT("    ",INDEX(tsk_Level,GanttView[[#This Row],[_Row]])-1)&amp;INDEX(tsk_Name,GanttView[[#This Row],[_Row]]))</f>
        <v/>
      </c>
      <c r="D182" s="126" t="str">
        <f aca="false">IF(IFERROR(INDEX(tsk_Name,GanttView[[#This Row],[_Row]])="",TRUE()),"",IF(INDEX(tsk_IsSummary,GanttView[[#This Row],[_Row]]),NETWORKDAYS.INTL(INDEX(tsk_FcStart,GanttView[[#This Row],[_Row]]),INDEX(tsk_FcFinish,GanttView[[#This Row],[_Row]]),WorkWeek,Holidays),N(INDEX(tsk_Duration,GanttView[[#This Row],[_Row]]))))</f>
        <v/>
      </c>
      <c r="E182" s="128" t="str">
        <f aca="false">IF(IFERROR(INDEX(tsk_Name,GanttView[[#This Row],[_Row]])="",TRUE()),"",INDEX(tsk_PlanStart,GanttView[[#This Row],[_Row]]))</f>
        <v/>
      </c>
      <c r="F182" s="128" t="str">
        <f aca="false">IF(IFERROR(INDEX(tsk_Name,GanttView[[#This Row],[_Row]])="",TRUE()),"",INDEX(tsk_PlanFinish,GanttView[[#This Row],[_Row]]))</f>
        <v/>
      </c>
      <c r="G182" s="128" t="str">
        <f aca="false">IF(IFERROR(INDEX(tsk_Name,GanttView[[#This Row],[_Row]])="",TRUE()),"",INDEX(tsk_FcStart,GanttView[[#This Row],[_Row]]))</f>
        <v/>
      </c>
      <c r="H182" s="128" t="str">
        <f aca="false">IF(IFERROR(INDEX(tsk_Name,GanttView[[#This Row],[_Row]])="",TRUE()),"",INDEX(tsk_FcFinish,GanttView[[#This Row],[_Row]]))</f>
        <v/>
      </c>
      <c r="I182" s="129" t="str">
        <f aca="false">IF(IFERROR(INDEX(tsk_Name,GanttView[[#This Row],[_Row]])="",TRUE()),"",INDEX(tsk_Progress,GanttView[[#This Row],[_Row]]))</f>
        <v/>
      </c>
      <c r="J182" s="127" t="str">
        <f aca="false">IF(IFERROR(INDEX(tsk_Name,GanttView[[#This Row],[_Row]])="",TRUE()),"",INDEX(tsk_ResourceNames,GanttView[[#This Row],[_Row]])&amp;"")</f>
        <v/>
      </c>
      <c r="K182" s="126" t="str">
        <f aca="false">IF(IFERROR(INDEX(tsk_Name,GanttView[[#This Row],[_Row]])="",TRUE()),"",INDEX(tsk_Status,GanttView[[#This Row],[_Row]]))</f>
        <v/>
      </c>
      <c r="L182" s="126" t="str">
        <f aca="false">IF(IFERROR(INDEX(tsk_Name,GanttView[[#This Row],[_Row]])="",TRUE()),"",INDEX(tsk_Show,GanttView[[#This Row],[_Row]])&amp;"")</f>
        <v/>
      </c>
      <c r="M182" s="130" t="n">
        <f aca="false">ROW()-ROW(GanttView[[#Headers],[ID]])</f>
        <v>177</v>
      </c>
      <c r="N182" s="131" t="b">
        <f aca="false">IF(IFERROR(INDEX(tsk_Name,GanttView[[#This Row],[_Row]])="",TRUE()),FALSE(),INDEX(tsk_IsSummary,GanttView[[#This Row],[_Row]]))</f>
        <v>0</v>
      </c>
      <c r="O182" s="131" t="b">
        <f aca="false">IF(IFERROR(INDEX(tsk_Name,GanttView[[#This Row],[_Row]])="",TRUE()),FALSE(),AND(INDEX(tsk_IsLeaf,GanttView[[#This Row],[_Row]])=1,N(INDEX(tsk_Duration,GanttView[[#This Row],[_Row]]))=0))</f>
        <v>0</v>
      </c>
      <c r="P182" s="132" t="n">
        <f aca="false">IF(IFERROR(INDEX(tsk_Name,GanttView[[#This Row],[_Row]])="",TRUE()),0,IF(AND(INDEX(tsk_IsLeaf,GanttView[[#This Row],[_Row]])=1,NOT(GanttView[[#This Row],[_IsMilestone]]),N(GanttView[[#This Row],[%]])&gt;0),GanttView[[#This Row],[Forecast Start]],0))</f>
        <v>0</v>
      </c>
      <c r="Q182" s="132" t="n">
        <f aca="false">IF(GanttView[[#This Row],[_DoneFrom]]=0,0,IF(GanttView[[#This Row],[%]]&gt;=1,GanttView[[#This Row],[Forecast Finish]],MAX(GanttView[[#This Row],[_DoneFrom]],GanttView[[#This Row],[Forecast Start]]+ROUND((GanttView[[#This Row],[Forecast Finish]]-GanttView[[#This Row],[Forecast Start]]+1)*GanttView[[#This Row],[%]],0)-1)))</f>
        <v>0</v>
      </c>
      <c r="R182" s="132" t="n">
        <f aca="false">IF(IFERROR(INDEX(tsk_Name,GanttView[[#This Row],[_Row]])="",TRUE()),0,IF(OR(INDEX(tsk_IsLeaf,GanttView[[#This Row],[_Row]])&lt;&gt;1,GanttView[[#This Row],[_IsMilestone]],N(GanttView[[#This Row],[%]])&gt;=1),0,IF(GanttView[[#This Row],[_DoneTo]]&gt;0,GanttView[[#This Row],[_DoneTo]]+1,GanttView[[#This Row],[Forecast Start]])))</f>
        <v>0</v>
      </c>
      <c r="S182" s="132" t="n">
        <f aca="false">IF(GanttView[[#This Row],[_RemFrom]]=0,0,GanttView[[#This Row],[Forecast Finish]])</f>
        <v>0</v>
      </c>
      <c r="T182" s="131" t="b">
        <f aca="false">IF(IFERROR(INDEX(tsk_Name,GanttView[[#This Row],[_Row]])="",TRUE()),FALSE(),N(INDEX(tsk_Variance,GanttView[[#This Row],[_Row]]))&gt;0)</f>
        <v>0</v>
      </c>
      <c r="U182" s="132" t="n">
        <f aca="false">IF(IFERROR(INDEX(tsk_Name,GanttView[[#This Row],[_Row]])="",TRUE()),0,N(INDEX(tsk_Deadline,GanttView[[#This Row],[_Row]])))</f>
        <v>0</v>
      </c>
      <c r="V182" s="131" t="b">
        <f aca="false">IF(IFERROR(INDEX(tsk_Name,GanttView[[#This Row],[_Row]])="",TRUE()),FALSE(),INDEX(tsk_Critical,GanttView[[#This Row],[_Row]])="Yes")</f>
        <v>0</v>
      </c>
    </row>
    <row r="183" customFormat="false" ht="15" hidden="false" customHeight="false" outlineLevel="0" collapsed="false">
      <c r="A183" s="126" t="str">
        <f aca="false">IF(IFERROR(INDEX(tsk_Name,GanttView[[#This Row],[_Row]])="",TRUE()),"",INDEX(tsk_ID,GanttView[[#This Row],[_Row]]))</f>
        <v/>
      </c>
      <c r="B183" s="126" t="str">
        <f aca="false">IF(IFERROR(INDEX(tsk_Name,GanttView[[#This Row],[_Row]])="",TRUE()),"",INDEX(tsk_WBS,GanttView[[#This Row],[_Row]]))</f>
        <v/>
      </c>
      <c r="C183" s="127" t="str">
        <f aca="false">IF(IFERROR(INDEX(tsk_Name,GanttView[[#This Row],[_Row]])="",TRUE()),"",REPT("    ",INDEX(tsk_Level,GanttView[[#This Row],[_Row]])-1)&amp;INDEX(tsk_Name,GanttView[[#This Row],[_Row]]))</f>
        <v/>
      </c>
      <c r="D183" s="126" t="str">
        <f aca="false">IF(IFERROR(INDEX(tsk_Name,GanttView[[#This Row],[_Row]])="",TRUE()),"",IF(INDEX(tsk_IsSummary,GanttView[[#This Row],[_Row]]),NETWORKDAYS.INTL(INDEX(tsk_FcStart,GanttView[[#This Row],[_Row]]),INDEX(tsk_FcFinish,GanttView[[#This Row],[_Row]]),WorkWeek,Holidays),N(INDEX(tsk_Duration,GanttView[[#This Row],[_Row]]))))</f>
        <v/>
      </c>
      <c r="E183" s="128" t="str">
        <f aca="false">IF(IFERROR(INDEX(tsk_Name,GanttView[[#This Row],[_Row]])="",TRUE()),"",INDEX(tsk_PlanStart,GanttView[[#This Row],[_Row]]))</f>
        <v/>
      </c>
      <c r="F183" s="128" t="str">
        <f aca="false">IF(IFERROR(INDEX(tsk_Name,GanttView[[#This Row],[_Row]])="",TRUE()),"",INDEX(tsk_PlanFinish,GanttView[[#This Row],[_Row]]))</f>
        <v/>
      </c>
      <c r="G183" s="128" t="str">
        <f aca="false">IF(IFERROR(INDEX(tsk_Name,GanttView[[#This Row],[_Row]])="",TRUE()),"",INDEX(tsk_FcStart,GanttView[[#This Row],[_Row]]))</f>
        <v/>
      </c>
      <c r="H183" s="128" t="str">
        <f aca="false">IF(IFERROR(INDEX(tsk_Name,GanttView[[#This Row],[_Row]])="",TRUE()),"",INDEX(tsk_FcFinish,GanttView[[#This Row],[_Row]]))</f>
        <v/>
      </c>
      <c r="I183" s="129" t="str">
        <f aca="false">IF(IFERROR(INDEX(tsk_Name,GanttView[[#This Row],[_Row]])="",TRUE()),"",INDEX(tsk_Progress,GanttView[[#This Row],[_Row]]))</f>
        <v/>
      </c>
      <c r="J183" s="127" t="str">
        <f aca="false">IF(IFERROR(INDEX(tsk_Name,GanttView[[#This Row],[_Row]])="",TRUE()),"",INDEX(tsk_ResourceNames,GanttView[[#This Row],[_Row]])&amp;"")</f>
        <v/>
      </c>
      <c r="K183" s="126" t="str">
        <f aca="false">IF(IFERROR(INDEX(tsk_Name,GanttView[[#This Row],[_Row]])="",TRUE()),"",INDEX(tsk_Status,GanttView[[#This Row],[_Row]]))</f>
        <v/>
      </c>
      <c r="L183" s="126" t="str">
        <f aca="false">IF(IFERROR(INDEX(tsk_Name,GanttView[[#This Row],[_Row]])="",TRUE()),"",INDEX(tsk_Show,GanttView[[#This Row],[_Row]])&amp;"")</f>
        <v/>
      </c>
      <c r="M183" s="130" t="n">
        <f aca="false">ROW()-ROW(GanttView[[#Headers],[ID]])</f>
        <v>178</v>
      </c>
      <c r="N183" s="131" t="b">
        <f aca="false">IF(IFERROR(INDEX(tsk_Name,GanttView[[#This Row],[_Row]])="",TRUE()),FALSE(),INDEX(tsk_IsSummary,GanttView[[#This Row],[_Row]]))</f>
        <v>0</v>
      </c>
      <c r="O183" s="131" t="b">
        <f aca="false">IF(IFERROR(INDEX(tsk_Name,GanttView[[#This Row],[_Row]])="",TRUE()),FALSE(),AND(INDEX(tsk_IsLeaf,GanttView[[#This Row],[_Row]])=1,N(INDEX(tsk_Duration,GanttView[[#This Row],[_Row]]))=0))</f>
        <v>0</v>
      </c>
      <c r="P183" s="132" t="n">
        <f aca="false">IF(IFERROR(INDEX(tsk_Name,GanttView[[#This Row],[_Row]])="",TRUE()),0,IF(AND(INDEX(tsk_IsLeaf,GanttView[[#This Row],[_Row]])=1,NOT(GanttView[[#This Row],[_IsMilestone]]),N(GanttView[[#This Row],[%]])&gt;0),GanttView[[#This Row],[Forecast Start]],0))</f>
        <v>0</v>
      </c>
      <c r="Q183" s="132" t="n">
        <f aca="false">IF(GanttView[[#This Row],[_DoneFrom]]=0,0,IF(GanttView[[#This Row],[%]]&gt;=1,GanttView[[#This Row],[Forecast Finish]],MAX(GanttView[[#This Row],[_DoneFrom]],GanttView[[#This Row],[Forecast Start]]+ROUND((GanttView[[#This Row],[Forecast Finish]]-GanttView[[#This Row],[Forecast Start]]+1)*GanttView[[#This Row],[%]],0)-1)))</f>
        <v>0</v>
      </c>
      <c r="R183" s="132" t="n">
        <f aca="false">IF(IFERROR(INDEX(tsk_Name,GanttView[[#This Row],[_Row]])="",TRUE()),0,IF(OR(INDEX(tsk_IsLeaf,GanttView[[#This Row],[_Row]])&lt;&gt;1,GanttView[[#This Row],[_IsMilestone]],N(GanttView[[#This Row],[%]])&gt;=1),0,IF(GanttView[[#This Row],[_DoneTo]]&gt;0,GanttView[[#This Row],[_DoneTo]]+1,GanttView[[#This Row],[Forecast Start]])))</f>
        <v>0</v>
      </c>
      <c r="S183" s="132" t="n">
        <f aca="false">IF(GanttView[[#This Row],[_RemFrom]]=0,0,GanttView[[#This Row],[Forecast Finish]])</f>
        <v>0</v>
      </c>
      <c r="T183" s="131" t="b">
        <f aca="false">IF(IFERROR(INDEX(tsk_Name,GanttView[[#This Row],[_Row]])="",TRUE()),FALSE(),N(INDEX(tsk_Variance,GanttView[[#This Row],[_Row]]))&gt;0)</f>
        <v>0</v>
      </c>
      <c r="U183" s="132" t="n">
        <f aca="false">IF(IFERROR(INDEX(tsk_Name,GanttView[[#This Row],[_Row]])="",TRUE()),0,N(INDEX(tsk_Deadline,GanttView[[#This Row],[_Row]])))</f>
        <v>0</v>
      </c>
      <c r="V183" s="131" t="b">
        <f aca="false">IF(IFERROR(INDEX(tsk_Name,GanttView[[#This Row],[_Row]])="",TRUE()),FALSE(),INDEX(tsk_Critical,GanttView[[#This Row],[_Row]])="Yes")</f>
        <v>0</v>
      </c>
    </row>
    <row r="184" customFormat="false" ht="15" hidden="false" customHeight="false" outlineLevel="0" collapsed="false">
      <c r="A184" s="126" t="str">
        <f aca="false">IF(IFERROR(INDEX(tsk_Name,GanttView[[#This Row],[_Row]])="",TRUE()),"",INDEX(tsk_ID,GanttView[[#This Row],[_Row]]))</f>
        <v/>
      </c>
      <c r="B184" s="126" t="str">
        <f aca="false">IF(IFERROR(INDEX(tsk_Name,GanttView[[#This Row],[_Row]])="",TRUE()),"",INDEX(tsk_WBS,GanttView[[#This Row],[_Row]]))</f>
        <v/>
      </c>
      <c r="C184" s="127" t="str">
        <f aca="false">IF(IFERROR(INDEX(tsk_Name,GanttView[[#This Row],[_Row]])="",TRUE()),"",REPT("    ",INDEX(tsk_Level,GanttView[[#This Row],[_Row]])-1)&amp;INDEX(tsk_Name,GanttView[[#This Row],[_Row]]))</f>
        <v/>
      </c>
      <c r="D184" s="126" t="str">
        <f aca="false">IF(IFERROR(INDEX(tsk_Name,GanttView[[#This Row],[_Row]])="",TRUE()),"",IF(INDEX(tsk_IsSummary,GanttView[[#This Row],[_Row]]),NETWORKDAYS.INTL(INDEX(tsk_FcStart,GanttView[[#This Row],[_Row]]),INDEX(tsk_FcFinish,GanttView[[#This Row],[_Row]]),WorkWeek,Holidays),N(INDEX(tsk_Duration,GanttView[[#This Row],[_Row]]))))</f>
        <v/>
      </c>
      <c r="E184" s="128" t="str">
        <f aca="false">IF(IFERROR(INDEX(tsk_Name,GanttView[[#This Row],[_Row]])="",TRUE()),"",INDEX(tsk_PlanStart,GanttView[[#This Row],[_Row]]))</f>
        <v/>
      </c>
      <c r="F184" s="128" t="str">
        <f aca="false">IF(IFERROR(INDEX(tsk_Name,GanttView[[#This Row],[_Row]])="",TRUE()),"",INDEX(tsk_PlanFinish,GanttView[[#This Row],[_Row]]))</f>
        <v/>
      </c>
      <c r="G184" s="128" t="str">
        <f aca="false">IF(IFERROR(INDEX(tsk_Name,GanttView[[#This Row],[_Row]])="",TRUE()),"",INDEX(tsk_FcStart,GanttView[[#This Row],[_Row]]))</f>
        <v/>
      </c>
      <c r="H184" s="128" t="str">
        <f aca="false">IF(IFERROR(INDEX(tsk_Name,GanttView[[#This Row],[_Row]])="",TRUE()),"",INDEX(tsk_FcFinish,GanttView[[#This Row],[_Row]]))</f>
        <v/>
      </c>
      <c r="I184" s="129" t="str">
        <f aca="false">IF(IFERROR(INDEX(tsk_Name,GanttView[[#This Row],[_Row]])="",TRUE()),"",INDEX(tsk_Progress,GanttView[[#This Row],[_Row]]))</f>
        <v/>
      </c>
      <c r="J184" s="127" t="str">
        <f aca="false">IF(IFERROR(INDEX(tsk_Name,GanttView[[#This Row],[_Row]])="",TRUE()),"",INDEX(tsk_ResourceNames,GanttView[[#This Row],[_Row]])&amp;"")</f>
        <v/>
      </c>
      <c r="K184" s="126" t="str">
        <f aca="false">IF(IFERROR(INDEX(tsk_Name,GanttView[[#This Row],[_Row]])="",TRUE()),"",INDEX(tsk_Status,GanttView[[#This Row],[_Row]]))</f>
        <v/>
      </c>
      <c r="L184" s="126" t="str">
        <f aca="false">IF(IFERROR(INDEX(tsk_Name,GanttView[[#This Row],[_Row]])="",TRUE()),"",INDEX(tsk_Show,GanttView[[#This Row],[_Row]])&amp;"")</f>
        <v/>
      </c>
      <c r="M184" s="130" t="n">
        <f aca="false">ROW()-ROW(GanttView[[#Headers],[ID]])</f>
        <v>179</v>
      </c>
      <c r="N184" s="131" t="b">
        <f aca="false">IF(IFERROR(INDEX(tsk_Name,GanttView[[#This Row],[_Row]])="",TRUE()),FALSE(),INDEX(tsk_IsSummary,GanttView[[#This Row],[_Row]]))</f>
        <v>0</v>
      </c>
      <c r="O184" s="131" t="b">
        <f aca="false">IF(IFERROR(INDEX(tsk_Name,GanttView[[#This Row],[_Row]])="",TRUE()),FALSE(),AND(INDEX(tsk_IsLeaf,GanttView[[#This Row],[_Row]])=1,N(INDEX(tsk_Duration,GanttView[[#This Row],[_Row]]))=0))</f>
        <v>0</v>
      </c>
      <c r="P184" s="132" t="n">
        <f aca="false">IF(IFERROR(INDEX(tsk_Name,GanttView[[#This Row],[_Row]])="",TRUE()),0,IF(AND(INDEX(tsk_IsLeaf,GanttView[[#This Row],[_Row]])=1,NOT(GanttView[[#This Row],[_IsMilestone]]),N(GanttView[[#This Row],[%]])&gt;0),GanttView[[#This Row],[Forecast Start]],0))</f>
        <v>0</v>
      </c>
      <c r="Q184" s="132" t="n">
        <f aca="false">IF(GanttView[[#This Row],[_DoneFrom]]=0,0,IF(GanttView[[#This Row],[%]]&gt;=1,GanttView[[#This Row],[Forecast Finish]],MAX(GanttView[[#This Row],[_DoneFrom]],GanttView[[#This Row],[Forecast Start]]+ROUND((GanttView[[#This Row],[Forecast Finish]]-GanttView[[#This Row],[Forecast Start]]+1)*GanttView[[#This Row],[%]],0)-1)))</f>
        <v>0</v>
      </c>
      <c r="R184" s="132" t="n">
        <f aca="false">IF(IFERROR(INDEX(tsk_Name,GanttView[[#This Row],[_Row]])="",TRUE()),0,IF(OR(INDEX(tsk_IsLeaf,GanttView[[#This Row],[_Row]])&lt;&gt;1,GanttView[[#This Row],[_IsMilestone]],N(GanttView[[#This Row],[%]])&gt;=1),0,IF(GanttView[[#This Row],[_DoneTo]]&gt;0,GanttView[[#This Row],[_DoneTo]]+1,GanttView[[#This Row],[Forecast Start]])))</f>
        <v>0</v>
      </c>
      <c r="S184" s="132" t="n">
        <f aca="false">IF(GanttView[[#This Row],[_RemFrom]]=0,0,GanttView[[#This Row],[Forecast Finish]])</f>
        <v>0</v>
      </c>
      <c r="T184" s="131" t="b">
        <f aca="false">IF(IFERROR(INDEX(tsk_Name,GanttView[[#This Row],[_Row]])="",TRUE()),FALSE(),N(INDEX(tsk_Variance,GanttView[[#This Row],[_Row]]))&gt;0)</f>
        <v>0</v>
      </c>
      <c r="U184" s="132" t="n">
        <f aca="false">IF(IFERROR(INDEX(tsk_Name,GanttView[[#This Row],[_Row]])="",TRUE()),0,N(INDEX(tsk_Deadline,GanttView[[#This Row],[_Row]])))</f>
        <v>0</v>
      </c>
      <c r="V184" s="131" t="b">
        <f aca="false">IF(IFERROR(INDEX(tsk_Name,GanttView[[#This Row],[_Row]])="",TRUE()),FALSE(),INDEX(tsk_Critical,GanttView[[#This Row],[_Row]])="Yes")</f>
        <v>0</v>
      </c>
    </row>
    <row r="185" customFormat="false" ht="15" hidden="false" customHeight="false" outlineLevel="0" collapsed="false">
      <c r="A185" s="126" t="str">
        <f aca="false">IF(IFERROR(INDEX(tsk_Name,GanttView[[#This Row],[_Row]])="",TRUE()),"",INDEX(tsk_ID,GanttView[[#This Row],[_Row]]))</f>
        <v/>
      </c>
      <c r="B185" s="126" t="str">
        <f aca="false">IF(IFERROR(INDEX(tsk_Name,GanttView[[#This Row],[_Row]])="",TRUE()),"",INDEX(tsk_WBS,GanttView[[#This Row],[_Row]]))</f>
        <v/>
      </c>
      <c r="C185" s="127" t="str">
        <f aca="false">IF(IFERROR(INDEX(tsk_Name,GanttView[[#This Row],[_Row]])="",TRUE()),"",REPT("    ",INDEX(tsk_Level,GanttView[[#This Row],[_Row]])-1)&amp;INDEX(tsk_Name,GanttView[[#This Row],[_Row]]))</f>
        <v/>
      </c>
      <c r="D185" s="126" t="str">
        <f aca="false">IF(IFERROR(INDEX(tsk_Name,GanttView[[#This Row],[_Row]])="",TRUE()),"",IF(INDEX(tsk_IsSummary,GanttView[[#This Row],[_Row]]),NETWORKDAYS.INTL(INDEX(tsk_FcStart,GanttView[[#This Row],[_Row]]),INDEX(tsk_FcFinish,GanttView[[#This Row],[_Row]]),WorkWeek,Holidays),N(INDEX(tsk_Duration,GanttView[[#This Row],[_Row]]))))</f>
        <v/>
      </c>
      <c r="E185" s="128" t="str">
        <f aca="false">IF(IFERROR(INDEX(tsk_Name,GanttView[[#This Row],[_Row]])="",TRUE()),"",INDEX(tsk_PlanStart,GanttView[[#This Row],[_Row]]))</f>
        <v/>
      </c>
      <c r="F185" s="128" t="str">
        <f aca="false">IF(IFERROR(INDEX(tsk_Name,GanttView[[#This Row],[_Row]])="",TRUE()),"",INDEX(tsk_PlanFinish,GanttView[[#This Row],[_Row]]))</f>
        <v/>
      </c>
      <c r="G185" s="128" t="str">
        <f aca="false">IF(IFERROR(INDEX(tsk_Name,GanttView[[#This Row],[_Row]])="",TRUE()),"",INDEX(tsk_FcStart,GanttView[[#This Row],[_Row]]))</f>
        <v/>
      </c>
      <c r="H185" s="128" t="str">
        <f aca="false">IF(IFERROR(INDEX(tsk_Name,GanttView[[#This Row],[_Row]])="",TRUE()),"",INDEX(tsk_FcFinish,GanttView[[#This Row],[_Row]]))</f>
        <v/>
      </c>
      <c r="I185" s="129" t="str">
        <f aca="false">IF(IFERROR(INDEX(tsk_Name,GanttView[[#This Row],[_Row]])="",TRUE()),"",INDEX(tsk_Progress,GanttView[[#This Row],[_Row]]))</f>
        <v/>
      </c>
      <c r="J185" s="127" t="str">
        <f aca="false">IF(IFERROR(INDEX(tsk_Name,GanttView[[#This Row],[_Row]])="",TRUE()),"",INDEX(tsk_ResourceNames,GanttView[[#This Row],[_Row]])&amp;"")</f>
        <v/>
      </c>
      <c r="K185" s="126" t="str">
        <f aca="false">IF(IFERROR(INDEX(tsk_Name,GanttView[[#This Row],[_Row]])="",TRUE()),"",INDEX(tsk_Status,GanttView[[#This Row],[_Row]]))</f>
        <v/>
      </c>
      <c r="L185" s="126" t="str">
        <f aca="false">IF(IFERROR(INDEX(tsk_Name,GanttView[[#This Row],[_Row]])="",TRUE()),"",INDEX(tsk_Show,GanttView[[#This Row],[_Row]])&amp;"")</f>
        <v/>
      </c>
      <c r="M185" s="130" t="n">
        <f aca="false">ROW()-ROW(GanttView[[#Headers],[ID]])</f>
        <v>180</v>
      </c>
      <c r="N185" s="131" t="b">
        <f aca="false">IF(IFERROR(INDEX(tsk_Name,GanttView[[#This Row],[_Row]])="",TRUE()),FALSE(),INDEX(tsk_IsSummary,GanttView[[#This Row],[_Row]]))</f>
        <v>0</v>
      </c>
      <c r="O185" s="131" t="b">
        <f aca="false">IF(IFERROR(INDEX(tsk_Name,GanttView[[#This Row],[_Row]])="",TRUE()),FALSE(),AND(INDEX(tsk_IsLeaf,GanttView[[#This Row],[_Row]])=1,N(INDEX(tsk_Duration,GanttView[[#This Row],[_Row]]))=0))</f>
        <v>0</v>
      </c>
      <c r="P185" s="132" t="n">
        <f aca="false">IF(IFERROR(INDEX(tsk_Name,GanttView[[#This Row],[_Row]])="",TRUE()),0,IF(AND(INDEX(tsk_IsLeaf,GanttView[[#This Row],[_Row]])=1,NOT(GanttView[[#This Row],[_IsMilestone]]),N(GanttView[[#This Row],[%]])&gt;0),GanttView[[#This Row],[Forecast Start]],0))</f>
        <v>0</v>
      </c>
      <c r="Q185" s="132" t="n">
        <f aca="false">IF(GanttView[[#This Row],[_DoneFrom]]=0,0,IF(GanttView[[#This Row],[%]]&gt;=1,GanttView[[#This Row],[Forecast Finish]],MAX(GanttView[[#This Row],[_DoneFrom]],GanttView[[#This Row],[Forecast Start]]+ROUND((GanttView[[#This Row],[Forecast Finish]]-GanttView[[#This Row],[Forecast Start]]+1)*GanttView[[#This Row],[%]],0)-1)))</f>
        <v>0</v>
      </c>
      <c r="R185" s="132" t="n">
        <f aca="false">IF(IFERROR(INDEX(tsk_Name,GanttView[[#This Row],[_Row]])="",TRUE()),0,IF(OR(INDEX(tsk_IsLeaf,GanttView[[#This Row],[_Row]])&lt;&gt;1,GanttView[[#This Row],[_IsMilestone]],N(GanttView[[#This Row],[%]])&gt;=1),0,IF(GanttView[[#This Row],[_DoneTo]]&gt;0,GanttView[[#This Row],[_DoneTo]]+1,GanttView[[#This Row],[Forecast Start]])))</f>
        <v>0</v>
      </c>
      <c r="S185" s="132" t="n">
        <f aca="false">IF(GanttView[[#This Row],[_RemFrom]]=0,0,GanttView[[#This Row],[Forecast Finish]])</f>
        <v>0</v>
      </c>
      <c r="T185" s="131" t="b">
        <f aca="false">IF(IFERROR(INDEX(tsk_Name,GanttView[[#This Row],[_Row]])="",TRUE()),FALSE(),N(INDEX(tsk_Variance,GanttView[[#This Row],[_Row]]))&gt;0)</f>
        <v>0</v>
      </c>
      <c r="U185" s="132" t="n">
        <f aca="false">IF(IFERROR(INDEX(tsk_Name,GanttView[[#This Row],[_Row]])="",TRUE()),0,N(INDEX(tsk_Deadline,GanttView[[#This Row],[_Row]])))</f>
        <v>0</v>
      </c>
      <c r="V185" s="131" t="b">
        <f aca="false">IF(IFERROR(INDEX(tsk_Name,GanttView[[#This Row],[_Row]])="",TRUE()),FALSE(),INDEX(tsk_Critical,GanttView[[#This Row],[_Row]])="Yes")</f>
        <v>0</v>
      </c>
    </row>
    <row r="186" customFormat="false" ht="15" hidden="false" customHeight="false" outlineLevel="0" collapsed="false">
      <c r="A186" s="126" t="str">
        <f aca="false">IF(IFERROR(INDEX(tsk_Name,GanttView[[#This Row],[_Row]])="",TRUE()),"",INDEX(tsk_ID,GanttView[[#This Row],[_Row]]))</f>
        <v/>
      </c>
      <c r="B186" s="126" t="str">
        <f aca="false">IF(IFERROR(INDEX(tsk_Name,GanttView[[#This Row],[_Row]])="",TRUE()),"",INDEX(tsk_WBS,GanttView[[#This Row],[_Row]]))</f>
        <v/>
      </c>
      <c r="C186" s="127" t="str">
        <f aca="false">IF(IFERROR(INDEX(tsk_Name,GanttView[[#This Row],[_Row]])="",TRUE()),"",REPT("    ",INDEX(tsk_Level,GanttView[[#This Row],[_Row]])-1)&amp;INDEX(tsk_Name,GanttView[[#This Row],[_Row]]))</f>
        <v/>
      </c>
      <c r="D186" s="126" t="str">
        <f aca="false">IF(IFERROR(INDEX(tsk_Name,GanttView[[#This Row],[_Row]])="",TRUE()),"",IF(INDEX(tsk_IsSummary,GanttView[[#This Row],[_Row]]),NETWORKDAYS.INTL(INDEX(tsk_FcStart,GanttView[[#This Row],[_Row]]),INDEX(tsk_FcFinish,GanttView[[#This Row],[_Row]]),WorkWeek,Holidays),N(INDEX(tsk_Duration,GanttView[[#This Row],[_Row]]))))</f>
        <v/>
      </c>
      <c r="E186" s="128" t="str">
        <f aca="false">IF(IFERROR(INDEX(tsk_Name,GanttView[[#This Row],[_Row]])="",TRUE()),"",INDEX(tsk_PlanStart,GanttView[[#This Row],[_Row]]))</f>
        <v/>
      </c>
      <c r="F186" s="128" t="str">
        <f aca="false">IF(IFERROR(INDEX(tsk_Name,GanttView[[#This Row],[_Row]])="",TRUE()),"",INDEX(tsk_PlanFinish,GanttView[[#This Row],[_Row]]))</f>
        <v/>
      </c>
      <c r="G186" s="128" t="str">
        <f aca="false">IF(IFERROR(INDEX(tsk_Name,GanttView[[#This Row],[_Row]])="",TRUE()),"",INDEX(tsk_FcStart,GanttView[[#This Row],[_Row]]))</f>
        <v/>
      </c>
      <c r="H186" s="128" t="str">
        <f aca="false">IF(IFERROR(INDEX(tsk_Name,GanttView[[#This Row],[_Row]])="",TRUE()),"",INDEX(tsk_FcFinish,GanttView[[#This Row],[_Row]]))</f>
        <v/>
      </c>
      <c r="I186" s="129" t="str">
        <f aca="false">IF(IFERROR(INDEX(tsk_Name,GanttView[[#This Row],[_Row]])="",TRUE()),"",INDEX(tsk_Progress,GanttView[[#This Row],[_Row]]))</f>
        <v/>
      </c>
      <c r="J186" s="127" t="str">
        <f aca="false">IF(IFERROR(INDEX(tsk_Name,GanttView[[#This Row],[_Row]])="",TRUE()),"",INDEX(tsk_ResourceNames,GanttView[[#This Row],[_Row]])&amp;"")</f>
        <v/>
      </c>
      <c r="K186" s="126" t="str">
        <f aca="false">IF(IFERROR(INDEX(tsk_Name,GanttView[[#This Row],[_Row]])="",TRUE()),"",INDEX(tsk_Status,GanttView[[#This Row],[_Row]]))</f>
        <v/>
      </c>
      <c r="L186" s="126" t="str">
        <f aca="false">IF(IFERROR(INDEX(tsk_Name,GanttView[[#This Row],[_Row]])="",TRUE()),"",INDEX(tsk_Show,GanttView[[#This Row],[_Row]])&amp;"")</f>
        <v/>
      </c>
      <c r="M186" s="130" t="n">
        <f aca="false">ROW()-ROW(GanttView[[#Headers],[ID]])</f>
        <v>181</v>
      </c>
      <c r="N186" s="131" t="b">
        <f aca="false">IF(IFERROR(INDEX(tsk_Name,GanttView[[#This Row],[_Row]])="",TRUE()),FALSE(),INDEX(tsk_IsSummary,GanttView[[#This Row],[_Row]]))</f>
        <v>0</v>
      </c>
      <c r="O186" s="131" t="b">
        <f aca="false">IF(IFERROR(INDEX(tsk_Name,GanttView[[#This Row],[_Row]])="",TRUE()),FALSE(),AND(INDEX(tsk_IsLeaf,GanttView[[#This Row],[_Row]])=1,N(INDEX(tsk_Duration,GanttView[[#This Row],[_Row]]))=0))</f>
        <v>0</v>
      </c>
      <c r="P186" s="132" t="n">
        <f aca="false">IF(IFERROR(INDEX(tsk_Name,GanttView[[#This Row],[_Row]])="",TRUE()),0,IF(AND(INDEX(tsk_IsLeaf,GanttView[[#This Row],[_Row]])=1,NOT(GanttView[[#This Row],[_IsMilestone]]),N(GanttView[[#This Row],[%]])&gt;0),GanttView[[#This Row],[Forecast Start]],0))</f>
        <v>0</v>
      </c>
      <c r="Q186" s="132" t="n">
        <f aca="false">IF(GanttView[[#This Row],[_DoneFrom]]=0,0,IF(GanttView[[#This Row],[%]]&gt;=1,GanttView[[#This Row],[Forecast Finish]],MAX(GanttView[[#This Row],[_DoneFrom]],GanttView[[#This Row],[Forecast Start]]+ROUND((GanttView[[#This Row],[Forecast Finish]]-GanttView[[#This Row],[Forecast Start]]+1)*GanttView[[#This Row],[%]],0)-1)))</f>
        <v>0</v>
      </c>
      <c r="R186" s="132" t="n">
        <f aca="false">IF(IFERROR(INDEX(tsk_Name,GanttView[[#This Row],[_Row]])="",TRUE()),0,IF(OR(INDEX(tsk_IsLeaf,GanttView[[#This Row],[_Row]])&lt;&gt;1,GanttView[[#This Row],[_IsMilestone]],N(GanttView[[#This Row],[%]])&gt;=1),0,IF(GanttView[[#This Row],[_DoneTo]]&gt;0,GanttView[[#This Row],[_DoneTo]]+1,GanttView[[#This Row],[Forecast Start]])))</f>
        <v>0</v>
      </c>
      <c r="S186" s="132" t="n">
        <f aca="false">IF(GanttView[[#This Row],[_RemFrom]]=0,0,GanttView[[#This Row],[Forecast Finish]])</f>
        <v>0</v>
      </c>
      <c r="T186" s="131" t="b">
        <f aca="false">IF(IFERROR(INDEX(tsk_Name,GanttView[[#This Row],[_Row]])="",TRUE()),FALSE(),N(INDEX(tsk_Variance,GanttView[[#This Row],[_Row]]))&gt;0)</f>
        <v>0</v>
      </c>
      <c r="U186" s="132" t="n">
        <f aca="false">IF(IFERROR(INDEX(tsk_Name,GanttView[[#This Row],[_Row]])="",TRUE()),0,N(INDEX(tsk_Deadline,GanttView[[#This Row],[_Row]])))</f>
        <v>0</v>
      </c>
      <c r="V186" s="131" t="b">
        <f aca="false">IF(IFERROR(INDEX(tsk_Name,GanttView[[#This Row],[_Row]])="",TRUE()),FALSE(),INDEX(tsk_Critical,GanttView[[#This Row],[_Row]])="Yes")</f>
        <v>0</v>
      </c>
    </row>
    <row r="187" customFormat="false" ht="15" hidden="false" customHeight="false" outlineLevel="0" collapsed="false">
      <c r="A187" s="126" t="str">
        <f aca="false">IF(IFERROR(INDEX(tsk_Name,GanttView[[#This Row],[_Row]])="",TRUE()),"",INDEX(tsk_ID,GanttView[[#This Row],[_Row]]))</f>
        <v/>
      </c>
      <c r="B187" s="126" t="str">
        <f aca="false">IF(IFERROR(INDEX(tsk_Name,GanttView[[#This Row],[_Row]])="",TRUE()),"",INDEX(tsk_WBS,GanttView[[#This Row],[_Row]]))</f>
        <v/>
      </c>
      <c r="C187" s="127" t="str">
        <f aca="false">IF(IFERROR(INDEX(tsk_Name,GanttView[[#This Row],[_Row]])="",TRUE()),"",REPT("    ",INDEX(tsk_Level,GanttView[[#This Row],[_Row]])-1)&amp;INDEX(tsk_Name,GanttView[[#This Row],[_Row]]))</f>
        <v/>
      </c>
      <c r="D187" s="126" t="str">
        <f aca="false">IF(IFERROR(INDEX(tsk_Name,GanttView[[#This Row],[_Row]])="",TRUE()),"",IF(INDEX(tsk_IsSummary,GanttView[[#This Row],[_Row]]),NETWORKDAYS.INTL(INDEX(tsk_FcStart,GanttView[[#This Row],[_Row]]),INDEX(tsk_FcFinish,GanttView[[#This Row],[_Row]]),WorkWeek,Holidays),N(INDEX(tsk_Duration,GanttView[[#This Row],[_Row]]))))</f>
        <v/>
      </c>
      <c r="E187" s="128" t="str">
        <f aca="false">IF(IFERROR(INDEX(tsk_Name,GanttView[[#This Row],[_Row]])="",TRUE()),"",INDEX(tsk_PlanStart,GanttView[[#This Row],[_Row]]))</f>
        <v/>
      </c>
      <c r="F187" s="128" t="str">
        <f aca="false">IF(IFERROR(INDEX(tsk_Name,GanttView[[#This Row],[_Row]])="",TRUE()),"",INDEX(tsk_PlanFinish,GanttView[[#This Row],[_Row]]))</f>
        <v/>
      </c>
      <c r="G187" s="128" t="str">
        <f aca="false">IF(IFERROR(INDEX(tsk_Name,GanttView[[#This Row],[_Row]])="",TRUE()),"",INDEX(tsk_FcStart,GanttView[[#This Row],[_Row]]))</f>
        <v/>
      </c>
      <c r="H187" s="128" t="str">
        <f aca="false">IF(IFERROR(INDEX(tsk_Name,GanttView[[#This Row],[_Row]])="",TRUE()),"",INDEX(tsk_FcFinish,GanttView[[#This Row],[_Row]]))</f>
        <v/>
      </c>
      <c r="I187" s="129" t="str">
        <f aca="false">IF(IFERROR(INDEX(tsk_Name,GanttView[[#This Row],[_Row]])="",TRUE()),"",INDEX(tsk_Progress,GanttView[[#This Row],[_Row]]))</f>
        <v/>
      </c>
      <c r="J187" s="127" t="str">
        <f aca="false">IF(IFERROR(INDEX(tsk_Name,GanttView[[#This Row],[_Row]])="",TRUE()),"",INDEX(tsk_ResourceNames,GanttView[[#This Row],[_Row]])&amp;"")</f>
        <v/>
      </c>
      <c r="K187" s="126" t="str">
        <f aca="false">IF(IFERROR(INDEX(tsk_Name,GanttView[[#This Row],[_Row]])="",TRUE()),"",INDEX(tsk_Status,GanttView[[#This Row],[_Row]]))</f>
        <v/>
      </c>
      <c r="L187" s="126" t="str">
        <f aca="false">IF(IFERROR(INDEX(tsk_Name,GanttView[[#This Row],[_Row]])="",TRUE()),"",INDEX(tsk_Show,GanttView[[#This Row],[_Row]])&amp;"")</f>
        <v/>
      </c>
      <c r="M187" s="130" t="n">
        <f aca="false">ROW()-ROW(GanttView[[#Headers],[ID]])</f>
        <v>182</v>
      </c>
      <c r="N187" s="131" t="b">
        <f aca="false">IF(IFERROR(INDEX(tsk_Name,GanttView[[#This Row],[_Row]])="",TRUE()),FALSE(),INDEX(tsk_IsSummary,GanttView[[#This Row],[_Row]]))</f>
        <v>0</v>
      </c>
      <c r="O187" s="131" t="b">
        <f aca="false">IF(IFERROR(INDEX(tsk_Name,GanttView[[#This Row],[_Row]])="",TRUE()),FALSE(),AND(INDEX(tsk_IsLeaf,GanttView[[#This Row],[_Row]])=1,N(INDEX(tsk_Duration,GanttView[[#This Row],[_Row]]))=0))</f>
        <v>0</v>
      </c>
      <c r="P187" s="132" t="n">
        <f aca="false">IF(IFERROR(INDEX(tsk_Name,GanttView[[#This Row],[_Row]])="",TRUE()),0,IF(AND(INDEX(tsk_IsLeaf,GanttView[[#This Row],[_Row]])=1,NOT(GanttView[[#This Row],[_IsMilestone]]),N(GanttView[[#This Row],[%]])&gt;0),GanttView[[#This Row],[Forecast Start]],0))</f>
        <v>0</v>
      </c>
      <c r="Q187" s="132" t="n">
        <f aca="false">IF(GanttView[[#This Row],[_DoneFrom]]=0,0,IF(GanttView[[#This Row],[%]]&gt;=1,GanttView[[#This Row],[Forecast Finish]],MAX(GanttView[[#This Row],[_DoneFrom]],GanttView[[#This Row],[Forecast Start]]+ROUND((GanttView[[#This Row],[Forecast Finish]]-GanttView[[#This Row],[Forecast Start]]+1)*GanttView[[#This Row],[%]],0)-1)))</f>
        <v>0</v>
      </c>
      <c r="R187" s="132" t="n">
        <f aca="false">IF(IFERROR(INDEX(tsk_Name,GanttView[[#This Row],[_Row]])="",TRUE()),0,IF(OR(INDEX(tsk_IsLeaf,GanttView[[#This Row],[_Row]])&lt;&gt;1,GanttView[[#This Row],[_IsMilestone]],N(GanttView[[#This Row],[%]])&gt;=1),0,IF(GanttView[[#This Row],[_DoneTo]]&gt;0,GanttView[[#This Row],[_DoneTo]]+1,GanttView[[#This Row],[Forecast Start]])))</f>
        <v>0</v>
      </c>
      <c r="S187" s="132" t="n">
        <f aca="false">IF(GanttView[[#This Row],[_RemFrom]]=0,0,GanttView[[#This Row],[Forecast Finish]])</f>
        <v>0</v>
      </c>
      <c r="T187" s="131" t="b">
        <f aca="false">IF(IFERROR(INDEX(tsk_Name,GanttView[[#This Row],[_Row]])="",TRUE()),FALSE(),N(INDEX(tsk_Variance,GanttView[[#This Row],[_Row]]))&gt;0)</f>
        <v>0</v>
      </c>
      <c r="U187" s="132" t="n">
        <f aca="false">IF(IFERROR(INDEX(tsk_Name,GanttView[[#This Row],[_Row]])="",TRUE()),0,N(INDEX(tsk_Deadline,GanttView[[#This Row],[_Row]])))</f>
        <v>0</v>
      </c>
      <c r="V187" s="131" t="b">
        <f aca="false">IF(IFERROR(INDEX(tsk_Name,GanttView[[#This Row],[_Row]])="",TRUE()),FALSE(),INDEX(tsk_Critical,GanttView[[#This Row],[_Row]])="Yes")</f>
        <v>0</v>
      </c>
    </row>
    <row r="188" customFormat="false" ht="15" hidden="false" customHeight="false" outlineLevel="0" collapsed="false">
      <c r="A188" s="126" t="str">
        <f aca="false">IF(IFERROR(INDEX(tsk_Name,GanttView[[#This Row],[_Row]])="",TRUE()),"",INDEX(tsk_ID,GanttView[[#This Row],[_Row]]))</f>
        <v/>
      </c>
      <c r="B188" s="126" t="str">
        <f aca="false">IF(IFERROR(INDEX(tsk_Name,GanttView[[#This Row],[_Row]])="",TRUE()),"",INDEX(tsk_WBS,GanttView[[#This Row],[_Row]]))</f>
        <v/>
      </c>
      <c r="C188" s="127" t="str">
        <f aca="false">IF(IFERROR(INDEX(tsk_Name,GanttView[[#This Row],[_Row]])="",TRUE()),"",REPT("    ",INDEX(tsk_Level,GanttView[[#This Row],[_Row]])-1)&amp;INDEX(tsk_Name,GanttView[[#This Row],[_Row]]))</f>
        <v/>
      </c>
      <c r="D188" s="126" t="str">
        <f aca="false">IF(IFERROR(INDEX(tsk_Name,GanttView[[#This Row],[_Row]])="",TRUE()),"",IF(INDEX(tsk_IsSummary,GanttView[[#This Row],[_Row]]),NETWORKDAYS.INTL(INDEX(tsk_FcStart,GanttView[[#This Row],[_Row]]),INDEX(tsk_FcFinish,GanttView[[#This Row],[_Row]]),WorkWeek,Holidays),N(INDEX(tsk_Duration,GanttView[[#This Row],[_Row]]))))</f>
        <v/>
      </c>
      <c r="E188" s="128" t="str">
        <f aca="false">IF(IFERROR(INDEX(tsk_Name,GanttView[[#This Row],[_Row]])="",TRUE()),"",INDEX(tsk_PlanStart,GanttView[[#This Row],[_Row]]))</f>
        <v/>
      </c>
      <c r="F188" s="128" t="str">
        <f aca="false">IF(IFERROR(INDEX(tsk_Name,GanttView[[#This Row],[_Row]])="",TRUE()),"",INDEX(tsk_PlanFinish,GanttView[[#This Row],[_Row]]))</f>
        <v/>
      </c>
      <c r="G188" s="128" t="str">
        <f aca="false">IF(IFERROR(INDEX(tsk_Name,GanttView[[#This Row],[_Row]])="",TRUE()),"",INDEX(tsk_FcStart,GanttView[[#This Row],[_Row]]))</f>
        <v/>
      </c>
      <c r="H188" s="128" t="str">
        <f aca="false">IF(IFERROR(INDEX(tsk_Name,GanttView[[#This Row],[_Row]])="",TRUE()),"",INDEX(tsk_FcFinish,GanttView[[#This Row],[_Row]]))</f>
        <v/>
      </c>
      <c r="I188" s="129" t="str">
        <f aca="false">IF(IFERROR(INDEX(tsk_Name,GanttView[[#This Row],[_Row]])="",TRUE()),"",INDEX(tsk_Progress,GanttView[[#This Row],[_Row]]))</f>
        <v/>
      </c>
      <c r="J188" s="127" t="str">
        <f aca="false">IF(IFERROR(INDEX(tsk_Name,GanttView[[#This Row],[_Row]])="",TRUE()),"",INDEX(tsk_ResourceNames,GanttView[[#This Row],[_Row]])&amp;"")</f>
        <v/>
      </c>
      <c r="K188" s="126" t="str">
        <f aca="false">IF(IFERROR(INDEX(tsk_Name,GanttView[[#This Row],[_Row]])="",TRUE()),"",INDEX(tsk_Status,GanttView[[#This Row],[_Row]]))</f>
        <v/>
      </c>
      <c r="L188" s="126" t="str">
        <f aca="false">IF(IFERROR(INDEX(tsk_Name,GanttView[[#This Row],[_Row]])="",TRUE()),"",INDEX(tsk_Show,GanttView[[#This Row],[_Row]])&amp;"")</f>
        <v/>
      </c>
      <c r="M188" s="130" t="n">
        <f aca="false">ROW()-ROW(GanttView[[#Headers],[ID]])</f>
        <v>183</v>
      </c>
      <c r="N188" s="131" t="b">
        <f aca="false">IF(IFERROR(INDEX(tsk_Name,GanttView[[#This Row],[_Row]])="",TRUE()),FALSE(),INDEX(tsk_IsSummary,GanttView[[#This Row],[_Row]]))</f>
        <v>0</v>
      </c>
      <c r="O188" s="131" t="b">
        <f aca="false">IF(IFERROR(INDEX(tsk_Name,GanttView[[#This Row],[_Row]])="",TRUE()),FALSE(),AND(INDEX(tsk_IsLeaf,GanttView[[#This Row],[_Row]])=1,N(INDEX(tsk_Duration,GanttView[[#This Row],[_Row]]))=0))</f>
        <v>0</v>
      </c>
      <c r="P188" s="132" t="n">
        <f aca="false">IF(IFERROR(INDEX(tsk_Name,GanttView[[#This Row],[_Row]])="",TRUE()),0,IF(AND(INDEX(tsk_IsLeaf,GanttView[[#This Row],[_Row]])=1,NOT(GanttView[[#This Row],[_IsMilestone]]),N(GanttView[[#This Row],[%]])&gt;0),GanttView[[#This Row],[Forecast Start]],0))</f>
        <v>0</v>
      </c>
      <c r="Q188" s="132" t="n">
        <f aca="false">IF(GanttView[[#This Row],[_DoneFrom]]=0,0,IF(GanttView[[#This Row],[%]]&gt;=1,GanttView[[#This Row],[Forecast Finish]],MAX(GanttView[[#This Row],[_DoneFrom]],GanttView[[#This Row],[Forecast Start]]+ROUND((GanttView[[#This Row],[Forecast Finish]]-GanttView[[#This Row],[Forecast Start]]+1)*GanttView[[#This Row],[%]],0)-1)))</f>
        <v>0</v>
      </c>
      <c r="R188" s="132" t="n">
        <f aca="false">IF(IFERROR(INDEX(tsk_Name,GanttView[[#This Row],[_Row]])="",TRUE()),0,IF(OR(INDEX(tsk_IsLeaf,GanttView[[#This Row],[_Row]])&lt;&gt;1,GanttView[[#This Row],[_IsMilestone]],N(GanttView[[#This Row],[%]])&gt;=1),0,IF(GanttView[[#This Row],[_DoneTo]]&gt;0,GanttView[[#This Row],[_DoneTo]]+1,GanttView[[#This Row],[Forecast Start]])))</f>
        <v>0</v>
      </c>
      <c r="S188" s="132" t="n">
        <f aca="false">IF(GanttView[[#This Row],[_RemFrom]]=0,0,GanttView[[#This Row],[Forecast Finish]])</f>
        <v>0</v>
      </c>
      <c r="T188" s="131" t="b">
        <f aca="false">IF(IFERROR(INDEX(tsk_Name,GanttView[[#This Row],[_Row]])="",TRUE()),FALSE(),N(INDEX(tsk_Variance,GanttView[[#This Row],[_Row]]))&gt;0)</f>
        <v>0</v>
      </c>
      <c r="U188" s="132" t="n">
        <f aca="false">IF(IFERROR(INDEX(tsk_Name,GanttView[[#This Row],[_Row]])="",TRUE()),0,N(INDEX(tsk_Deadline,GanttView[[#This Row],[_Row]])))</f>
        <v>0</v>
      </c>
      <c r="V188" s="131" t="b">
        <f aca="false">IF(IFERROR(INDEX(tsk_Name,GanttView[[#This Row],[_Row]])="",TRUE()),FALSE(),INDEX(tsk_Critical,GanttView[[#This Row],[_Row]])="Yes")</f>
        <v>0</v>
      </c>
    </row>
    <row r="189" customFormat="false" ht="15" hidden="false" customHeight="false" outlineLevel="0" collapsed="false">
      <c r="A189" s="126" t="str">
        <f aca="false">IF(IFERROR(INDEX(tsk_Name,GanttView[[#This Row],[_Row]])="",TRUE()),"",INDEX(tsk_ID,GanttView[[#This Row],[_Row]]))</f>
        <v/>
      </c>
      <c r="B189" s="126" t="str">
        <f aca="false">IF(IFERROR(INDEX(tsk_Name,GanttView[[#This Row],[_Row]])="",TRUE()),"",INDEX(tsk_WBS,GanttView[[#This Row],[_Row]]))</f>
        <v/>
      </c>
      <c r="C189" s="127" t="str">
        <f aca="false">IF(IFERROR(INDEX(tsk_Name,GanttView[[#This Row],[_Row]])="",TRUE()),"",REPT("    ",INDEX(tsk_Level,GanttView[[#This Row],[_Row]])-1)&amp;INDEX(tsk_Name,GanttView[[#This Row],[_Row]]))</f>
        <v/>
      </c>
      <c r="D189" s="126" t="str">
        <f aca="false">IF(IFERROR(INDEX(tsk_Name,GanttView[[#This Row],[_Row]])="",TRUE()),"",IF(INDEX(tsk_IsSummary,GanttView[[#This Row],[_Row]]),NETWORKDAYS.INTL(INDEX(tsk_FcStart,GanttView[[#This Row],[_Row]]),INDEX(tsk_FcFinish,GanttView[[#This Row],[_Row]]),WorkWeek,Holidays),N(INDEX(tsk_Duration,GanttView[[#This Row],[_Row]]))))</f>
        <v/>
      </c>
      <c r="E189" s="128" t="str">
        <f aca="false">IF(IFERROR(INDEX(tsk_Name,GanttView[[#This Row],[_Row]])="",TRUE()),"",INDEX(tsk_PlanStart,GanttView[[#This Row],[_Row]]))</f>
        <v/>
      </c>
      <c r="F189" s="128" t="str">
        <f aca="false">IF(IFERROR(INDEX(tsk_Name,GanttView[[#This Row],[_Row]])="",TRUE()),"",INDEX(tsk_PlanFinish,GanttView[[#This Row],[_Row]]))</f>
        <v/>
      </c>
      <c r="G189" s="128" t="str">
        <f aca="false">IF(IFERROR(INDEX(tsk_Name,GanttView[[#This Row],[_Row]])="",TRUE()),"",INDEX(tsk_FcStart,GanttView[[#This Row],[_Row]]))</f>
        <v/>
      </c>
      <c r="H189" s="128" t="str">
        <f aca="false">IF(IFERROR(INDEX(tsk_Name,GanttView[[#This Row],[_Row]])="",TRUE()),"",INDEX(tsk_FcFinish,GanttView[[#This Row],[_Row]]))</f>
        <v/>
      </c>
      <c r="I189" s="129" t="str">
        <f aca="false">IF(IFERROR(INDEX(tsk_Name,GanttView[[#This Row],[_Row]])="",TRUE()),"",INDEX(tsk_Progress,GanttView[[#This Row],[_Row]]))</f>
        <v/>
      </c>
      <c r="J189" s="127" t="str">
        <f aca="false">IF(IFERROR(INDEX(tsk_Name,GanttView[[#This Row],[_Row]])="",TRUE()),"",INDEX(tsk_ResourceNames,GanttView[[#This Row],[_Row]])&amp;"")</f>
        <v/>
      </c>
      <c r="K189" s="126" t="str">
        <f aca="false">IF(IFERROR(INDEX(tsk_Name,GanttView[[#This Row],[_Row]])="",TRUE()),"",INDEX(tsk_Status,GanttView[[#This Row],[_Row]]))</f>
        <v/>
      </c>
      <c r="L189" s="126" t="str">
        <f aca="false">IF(IFERROR(INDEX(tsk_Name,GanttView[[#This Row],[_Row]])="",TRUE()),"",INDEX(tsk_Show,GanttView[[#This Row],[_Row]])&amp;"")</f>
        <v/>
      </c>
      <c r="M189" s="130" t="n">
        <f aca="false">ROW()-ROW(GanttView[[#Headers],[ID]])</f>
        <v>184</v>
      </c>
      <c r="N189" s="131" t="b">
        <f aca="false">IF(IFERROR(INDEX(tsk_Name,GanttView[[#This Row],[_Row]])="",TRUE()),FALSE(),INDEX(tsk_IsSummary,GanttView[[#This Row],[_Row]]))</f>
        <v>0</v>
      </c>
      <c r="O189" s="131" t="b">
        <f aca="false">IF(IFERROR(INDEX(tsk_Name,GanttView[[#This Row],[_Row]])="",TRUE()),FALSE(),AND(INDEX(tsk_IsLeaf,GanttView[[#This Row],[_Row]])=1,N(INDEX(tsk_Duration,GanttView[[#This Row],[_Row]]))=0))</f>
        <v>0</v>
      </c>
      <c r="P189" s="132" t="n">
        <f aca="false">IF(IFERROR(INDEX(tsk_Name,GanttView[[#This Row],[_Row]])="",TRUE()),0,IF(AND(INDEX(tsk_IsLeaf,GanttView[[#This Row],[_Row]])=1,NOT(GanttView[[#This Row],[_IsMilestone]]),N(GanttView[[#This Row],[%]])&gt;0),GanttView[[#This Row],[Forecast Start]],0))</f>
        <v>0</v>
      </c>
      <c r="Q189" s="132" t="n">
        <f aca="false">IF(GanttView[[#This Row],[_DoneFrom]]=0,0,IF(GanttView[[#This Row],[%]]&gt;=1,GanttView[[#This Row],[Forecast Finish]],MAX(GanttView[[#This Row],[_DoneFrom]],GanttView[[#This Row],[Forecast Start]]+ROUND((GanttView[[#This Row],[Forecast Finish]]-GanttView[[#This Row],[Forecast Start]]+1)*GanttView[[#This Row],[%]],0)-1)))</f>
        <v>0</v>
      </c>
      <c r="R189" s="132" t="n">
        <f aca="false">IF(IFERROR(INDEX(tsk_Name,GanttView[[#This Row],[_Row]])="",TRUE()),0,IF(OR(INDEX(tsk_IsLeaf,GanttView[[#This Row],[_Row]])&lt;&gt;1,GanttView[[#This Row],[_IsMilestone]],N(GanttView[[#This Row],[%]])&gt;=1),0,IF(GanttView[[#This Row],[_DoneTo]]&gt;0,GanttView[[#This Row],[_DoneTo]]+1,GanttView[[#This Row],[Forecast Start]])))</f>
        <v>0</v>
      </c>
      <c r="S189" s="132" t="n">
        <f aca="false">IF(GanttView[[#This Row],[_RemFrom]]=0,0,GanttView[[#This Row],[Forecast Finish]])</f>
        <v>0</v>
      </c>
      <c r="T189" s="131" t="b">
        <f aca="false">IF(IFERROR(INDEX(tsk_Name,GanttView[[#This Row],[_Row]])="",TRUE()),FALSE(),N(INDEX(tsk_Variance,GanttView[[#This Row],[_Row]]))&gt;0)</f>
        <v>0</v>
      </c>
      <c r="U189" s="132" t="n">
        <f aca="false">IF(IFERROR(INDEX(tsk_Name,GanttView[[#This Row],[_Row]])="",TRUE()),0,N(INDEX(tsk_Deadline,GanttView[[#This Row],[_Row]])))</f>
        <v>0</v>
      </c>
      <c r="V189" s="131" t="b">
        <f aca="false">IF(IFERROR(INDEX(tsk_Name,GanttView[[#This Row],[_Row]])="",TRUE()),FALSE(),INDEX(tsk_Critical,GanttView[[#This Row],[_Row]])="Yes")</f>
        <v>0</v>
      </c>
    </row>
    <row r="190" customFormat="false" ht="15" hidden="false" customHeight="false" outlineLevel="0" collapsed="false">
      <c r="A190" s="126" t="str">
        <f aca="false">IF(IFERROR(INDEX(tsk_Name,GanttView[[#This Row],[_Row]])="",TRUE()),"",INDEX(tsk_ID,GanttView[[#This Row],[_Row]]))</f>
        <v/>
      </c>
      <c r="B190" s="126" t="str">
        <f aca="false">IF(IFERROR(INDEX(tsk_Name,GanttView[[#This Row],[_Row]])="",TRUE()),"",INDEX(tsk_WBS,GanttView[[#This Row],[_Row]]))</f>
        <v/>
      </c>
      <c r="C190" s="127" t="str">
        <f aca="false">IF(IFERROR(INDEX(tsk_Name,GanttView[[#This Row],[_Row]])="",TRUE()),"",REPT("    ",INDEX(tsk_Level,GanttView[[#This Row],[_Row]])-1)&amp;INDEX(tsk_Name,GanttView[[#This Row],[_Row]]))</f>
        <v/>
      </c>
      <c r="D190" s="126" t="str">
        <f aca="false">IF(IFERROR(INDEX(tsk_Name,GanttView[[#This Row],[_Row]])="",TRUE()),"",IF(INDEX(tsk_IsSummary,GanttView[[#This Row],[_Row]]),NETWORKDAYS.INTL(INDEX(tsk_FcStart,GanttView[[#This Row],[_Row]]),INDEX(tsk_FcFinish,GanttView[[#This Row],[_Row]]),WorkWeek,Holidays),N(INDEX(tsk_Duration,GanttView[[#This Row],[_Row]]))))</f>
        <v/>
      </c>
      <c r="E190" s="128" t="str">
        <f aca="false">IF(IFERROR(INDEX(tsk_Name,GanttView[[#This Row],[_Row]])="",TRUE()),"",INDEX(tsk_PlanStart,GanttView[[#This Row],[_Row]]))</f>
        <v/>
      </c>
      <c r="F190" s="128" t="str">
        <f aca="false">IF(IFERROR(INDEX(tsk_Name,GanttView[[#This Row],[_Row]])="",TRUE()),"",INDEX(tsk_PlanFinish,GanttView[[#This Row],[_Row]]))</f>
        <v/>
      </c>
      <c r="G190" s="128" t="str">
        <f aca="false">IF(IFERROR(INDEX(tsk_Name,GanttView[[#This Row],[_Row]])="",TRUE()),"",INDEX(tsk_FcStart,GanttView[[#This Row],[_Row]]))</f>
        <v/>
      </c>
      <c r="H190" s="128" t="str">
        <f aca="false">IF(IFERROR(INDEX(tsk_Name,GanttView[[#This Row],[_Row]])="",TRUE()),"",INDEX(tsk_FcFinish,GanttView[[#This Row],[_Row]]))</f>
        <v/>
      </c>
      <c r="I190" s="129" t="str">
        <f aca="false">IF(IFERROR(INDEX(tsk_Name,GanttView[[#This Row],[_Row]])="",TRUE()),"",INDEX(tsk_Progress,GanttView[[#This Row],[_Row]]))</f>
        <v/>
      </c>
      <c r="J190" s="127" t="str">
        <f aca="false">IF(IFERROR(INDEX(tsk_Name,GanttView[[#This Row],[_Row]])="",TRUE()),"",INDEX(tsk_ResourceNames,GanttView[[#This Row],[_Row]])&amp;"")</f>
        <v/>
      </c>
      <c r="K190" s="126" t="str">
        <f aca="false">IF(IFERROR(INDEX(tsk_Name,GanttView[[#This Row],[_Row]])="",TRUE()),"",INDEX(tsk_Status,GanttView[[#This Row],[_Row]]))</f>
        <v/>
      </c>
      <c r="L190" s="126" t="str">
        <f aca="false">IF(IFERROR(INDEX(tsk_Name,GanttView[[#This Row],[_Row]])="",TRUE()),"",INDEX(tsk_Show,GanttView[[#This Row],[_Row]])&amp;"")</f>
        <v/>
      </c>
      <c r="M190" s="130" t="n">
        <f aca="false">ROW()-ROW(GanttView[[#Headers],[ID]])</f>
        <v>185</v>
      </c>
      <c r="N190" s="131" t="b">
        <f aca="false">IF(IFERROR(INDEX(tsk_Name,GanttView[[#This Row],[_Row]])="",TRUE()),FALSE(),INDEX(tsk_IsSummary,GanttView[[#This Row],[_Row]]))</f>
        <v>0</v>
      </c>
      <c r="O190" s="131" t="b">
        <f aca="false">IF(IFERROR(INDEX(tsk_Name,GanttView[[#This Row],[_Row]])="",TRUE()),FALSE(),AND(INDEX(tsk_IsLeaf,GanttView[[#This Row],[_Row]])=1,N(INDEX(tsk_Duration,GanttView[[#This Row],[_Row]]))=0))</f>
        <v>0</v>
      </c>
      <c r="P190" s="132" t="n">
        <f aca="false">IF(IFERROR(INDEX(tsk_Name,GanttView[[#This Row],[_Row]])="",TRUE()),0,IF(AND(INDEX(tsk_IsLeaf,GanttView[[#This Row],[_Row]])=1,NOT(GanttView[[#This Row],[_IsMilestone]]),N(GanttView[[#This Row],[%]])&gt;0),GanttView[[#This Row],[Forecast Start]],0))</f>
        <v>0</v>
      </c>
      <c r="Q190" s="132" t="n">
        <f aca="false">IF(GanttView[[#This Row],[_DoneFrom]]=0,0,IF(GanttView[[#This Row],[%]]&gt;=1,GanttView[[#This Row],[Forecast Finish]],MAX(GanttView[[#This Row],[_DoneFrom]],GanttView[[#This Row],[Forecast Start]]+ROUND((GanttView[[#This Row],[Forecast Finish]]-GanttView[[#This Row],[Forecast Start]]+1)*GanttView[[#This Row],[%]],0)-1)))</f>
        <v>0</v>
      </c>
      <c r="R190" s="132" t="n">
        <f aca="false">IF(IFERROR(INDEX(tsk_Name,GanttView[[#This Row],[_Row]])="",TRUE()),0,IF(OR(INDEX(tsk_IsLeaf,GanttView[[#This Row],[_Row]])&lt;&gt;1,GanttView[[#This Row],[_IsMilestone]],N(GanttView[[#This Row],[%]])&gt;=1),0,IF(GanttView[[#This Row],[_DoneTo]]&gt;0,GanttView[[#This Row],[_DoneTo]]+1,GanttView[[#This Row],[Forecast Start]])))</f>
        <v>0</v>
      </c>
      <c r="S190" s="132" t="n">
        <f aca="false">IF(GanttView[[#This Row],[_RemFrom]]=0,0,GanttView[[#This Row],[Forecast Finish]])</f>
        <v>0</v>
      </c>
      <c r="T190" s="131" t="b">
        <f aca="false">IF(IFERROR(INDEX(tsk_Name,GanttView[[#This Row],[_Row]])="",TRUE()),FALSE(),N(INDEX(tsk_Variance,GanttView[[#This Row],[_Row]]))&gt;0)</f>
        <v>0</v>
      </c>
      <c r="U190" s="132" t="n">
        <f aca="false">IF(IFERROR(INDEX(tsk_Name,GanttView[[#This Row],[_Row]])="",TRUE()),0,N(INDEX(tsk_Deadline,GanttView[[#This Row],[_Row]])))</f>
        <v>0</v>
      </c>
      <c r="V190" s="131" t="b">
        <f aca="false">IF(IFERROR(INDEX(tsk_Name,GanttView[[#This Row],[_Row]])="",TRUE()),FALSE(),INDEX(tsk_Critical,GanttView[[#This Row],[_Row]])="Yes")</f>
        <v>0</v>
      </c>
    </row>
    <row r="191" customFormat="false" ht="15" hidden="false" customHeight="false" outlineLevel="0" collapsed="false">
      <c r="A191" s="126" t="str">
        <f aca="false">IF(IFERROR(INDEX(tsk_Name,GanttView[[#This Row],[_Row]])="",TRUE()),"",INDEX(tsk_ID,GanttView[[#This Row],[_Row]]))</f>
        <v/>
      </c>
      <c r="B191" s="126" t="str">
        <f aca="false">IF(IFERROR(INDEX(tsk_Name,GanttView[[#This Row],[_Row]])="",TRUE()),"",INDEX(tsk_WBS,GanttView[[#This Row],[_Row]]))</f>
        <v/>
      </c>
      <c r="C191" s="127" t="str">
        <f aca="false">IF(IFERROR(INDEX(tsk_Name,GanttView[[#This Row],[_Row]])="",TRUE()),"",REPT("    ",INDEX(tsk_Level,GanttView[[#This Row],[_Row]])-1)&amp;INDEX(tsk_Name,GanttView[[#This Row],[_Row]]))</f>
        <v/>
      </c>
      <c r="D191" s="126" t="str">
        <f aca="false">IF(IFERROR(INDEX(tsk_Name,GanttView[[#This Row],[_Row]])="",TRUE()),"",IF(INDEX(tsk_IsSummary,GanttView[[#This Row],[_Row]]),NETWORKDAYS.INTL(INDEX(tsk_FcStart,GanttView[[#This Row],[_Row]]),INDEX(tsk_FcFinish,GanttView[[#This Row],[_Row]]),WorkWeek,Holidays),N(INDEX(tsk_Duration,GanttView[[#This Row],[_Row]]))))</f>
        <v/>
      </c>
      <c r="E191" s="128" t="str">
        <f aca="false">IF(IFERROR(INDEX(tsk_Name,GanttView[[#This Row],[_Row]])="",TRUE()),"",INDEX(tsk_PlanStart,GanttView[[#This Row],[_Row]]))</f>
        <v/>
      </c>
      <c r="F191" s="128" t="str">
        <f aca="false">IF(IFERROR(INDEX(tsk_Name,GanttView[[#This Row],[_Row]])="",TRUE()),"",INDEX(tsk_PlanFinish,GanttView[[#This Row],[_Row]]))</f>
        <v/>
      </c>
      <c r="G191" s="128" t="str">
        <f aca="false">IF(IFERROR(INDEX(tsk_Name,GanttView[[#This Row],[_Row]])="",TRUE()),"",INDEX(tsk_FcStart,GanttView[[#This Row],[_Row]]))</f>
        <v/>
      </c>
      <c r="H191" s="128" t="str">
        <f aca="false">IF(IFERROR(INDEX(tsk_Name,GanttView[[#This Row],[_Row]])="",TRUE()),"",INDEX(tsk_FcFinish,GanttView[[#This Row],[_Row]]))</f>
        <v/>
      </c>
      <c r="I191" s="129" t="str">
        <f aca="false">IF(IFERROR(INDEX(tsk_Name,GanttView[[#This Row],[_Row]])="",TRUE()),"",INDEX(tsk_Progress,GanttView[[#This Row],[_Row]]))</f>
        <v/>
      </c>
      <c r="J191" s="127" t="str">
        <f aca="false">IF(IFERROR(INDEX(tsk_Name,GanttView[[#This Row],[_Row]])="",TRUE()),"",INDEX(tsk_ResourceNames,GanttView[[#This Row],[_Row]])&amp;"")</f>
        <v/>
      </c>
      <c r="K191" s="126" t="str">
        <f aca="false">IF(IFERROR(INDEX(tsk_Name,GanttView[[#This Row],[_Row]])="",TRUE()),"",INDEX(tsk_Status,GanttView[[#This Row],[_Row]]))</f>
        <v/>
      </c>
      <c r="L191" s="126" t="str">
        <f aca="false">IF(IFERROR(INDEX(tsk_Name,GanttView[[#This Row],[_Row]])="",TRUE()),"",INDEX(tsk_Show,GanttView[[#This Row],[_Row]])&amp;"")</f>
        <v/>
      </c>
      <c r="M191" s="130" t="n">
        <f aca="false">ROW()-ROW(GanttView[[#Headers],[ID]])</f>
        <v>186</v>
      </c>
      <c r="N191" s="131" t="b">
        <f aca="false">IF(IFERROR(INDEX(tsk_Name,GanttView[[#This Row],[_Row]])="",TRUE()),FALSE(),INDEX(tsk_IsSummary,GanttView[[#This Row],[_Row]]))</f>
        <v>0</v>
      </c>
      <c r="O191" s="131" t="b">
        <f aca="false">IF(IFERROR(INDEX(tsk_Name,GanttView[[#This Row],[_Row]])="",TRUE()),FALSE(),AND(INDEX(tsk_IsLeaf,GanttView[[#This Row],[_Row]])=1,N(INDEX(tsk_Duration,GanttView[[#This Row],[_Row]]))=0))</f>
        <v>0</v>
      </c>
      <c r="P191" s="132" t="n">
        <f aca="false">IF(IFERROR(INDEX(tsk_Name,GanttView[[#This Row],[_Row]])="",TRUE()),0,IF(AND(INDEX(tsk_IsLeaf,GanttView[[#This Row],[_Row]])=1,NOT(GanttView[[#This Row],[_IsMilestone]]),N(GanttView[[#This Row],[%]])&gt;0),GanttView[[#This Row],[Forecast Start]],0))</f>
        <v>0</v>
      </c>
      <c r="Q191" s="132" t="n">
        <f aca="false">IF(GanttView[[#This Row],[_DoneFrom]]=0,0,IF(GanttView[[#This Row],[%]]&gt;=1,GanttView[[#This Row],[Forecast Finish]],MAX(GanttView[[#This Row],[_DoneFrom]],GanttView[[#This Row],[Forecast Start]]+ROUND((GanttView[[#This Row],[Forecast Finish]]-GanttView[[#This Row],[Forecast Start]]+1)*GanttView[[#This Row],[%]],0)-1)))</f>
        <v>0</v>
      </c>
      <c r="R191" s="132" t="n">
        <f aca="false">IF(IFERROR(INDEX(tsk_Name,GanttView[[#This Row],[_Row]])="",TRUE()),0,IF(OR(INDEX(tsk_IsLeaf,GanttView[[#This Row],[_Row]])&lt;&gt;1,GanttView[[#This Row],[_IsMilestone]],N(GanttView[[#This Row],[%]])&gt;=1),0,IF(GanttView[[#This Row],[_DoneTo]]&gt;0,GanttView[[#This Row],[_DoneTo]]+1,GanttView[[#This Row],[Forecast Start]])))</f>
        <v>0</v>
      </c>
      <c r="S191" s="132" t="n">
        <f aca="false">IF(GanttView[[#This Row],[_RemFrom]]=0,0,GanttView[[#This Row],[Forecast Finish]])</f>
        <v>0</v>
      </c>
      <c r="T191" s="131" t="b">
        <f aca="false">IF(IFERROR(INDEX(tsk_Name,GanttView[[#This Row],[_Row]])="",TRUE()),FALSE(),N(INDEX(tsk_Variance,GanttView[[#This Row],[_Row]]))&gt;0)</f>
        <v>0</v>
      </c>
      <c r="U191" s="132" t="n">
        <f aca="false">IF(IFERROR(INDEX(tsk_Name,GanttView[[#This Row],[_Row]])="",TRUE()),0,N(INDEX(tsk_Deadline,GanttView[[#This Row],[_Row]])))</f>
        <v>0</v>
      </c>
      <c r="V191" s="131" t="b">
        <f aca="false">IF(IFERROR(INDEX(tsk_Name,GanttView[[#This Row],[_Row]])="",TRUE()),FALSE(),INDEX(tsk_Critical,GanttView[[#This Row],[_Row]])="Yes")</f>
        <v>0</v>
      </c>
    </row>
    <row r="192" customFormat="false" ht="15" hidden="false" customHeight="false" outlineLevel="0" collapsed="false">
      <c r="A192" s="126" t="str">
        <f aca="false">IF(IFERROR(INDEX(tsk_Name,GanttView[[#This Row],[_Row]])="",TRUE()),"",INDEX(tsk_ID,GanttView[[#This Row],[_Row]]))</f>
        <v/>
      </c>
      <c r="B192" s="126" t="str">
        <f aca="false">IF(IFERROR(INDEX(tsk_Name,GanttView[[#This Row],[_Row]])="",TRUE()),"",INDEX(tsk_WBS,GanttView[[#This Row],[_Row]]))</f>
        <v/>
      </c>
      <c r="C192" s="127" t="str">
        <f aca="false">IF(IFERROR(INDEX(tsk_Name,GanttView[[#This Row],[_Row]])="",TRUE()),"",REPT("    ",INDEX(tsk_Level,GanttView[[#This Row],[_Row]])-1)&amp;INDEX(tsk_Name,GanttView[[#This Row],[_Row]]))</f>
        <v/>
      </c>
      <c r="D192" s="126" t="str">
        <f aca="false">IF(IFERROR(INDEX(tsk_Name,GanttView[[#This Row],[_Row]])="",TRUE()),"",IF(INDEX(tsk_IsSummary,GanttView[[#This Row],[_Row]]),NETWORKDAYS.INTL(INDEX(tsk_FcStart,GanttView[[#This Row],[_Row]]),INDEX(tsk_FcFinish,GanttView[[#This Row],[_Row]]),WorkWeek,Holidays),N(INDEX(tsk_Duration,GanttView[[#This Row],[_Row]]))))</f>
        <v/>
      </c>
      <c r="E192" s="128" t="str">
        <f aca="false">IF(IFERROR(INDEX(tsk_Name,GanttView[[#This Row],[_Row]])="",TRUE()),"",INDEX(tsk_PlanStart,GanttView[[#This Row],[_Row]]))</f>
        <v/>
      </c>
      <c r="F192" s="128" t="str">
        <f aca="false">IF(IFERROR(INDEX(tsk_Name,GanttView[[#This Row],[_Row]])="",TRUE()),"",INDEX(tsk_PlanFinish,GanttView[[#This Row],[_Row]]))</f>
        <v/>
      </c>
      <c r="G192" s="128" t="str">
        <f aca="false">IF(IFERROR(INDEX(tsk_Name,GanttView[[#This Row],[_Row]])="",TRUE()),"",INDEX(tsk_FcStart,GanttView[[#This Row],[_Row]]))</f>
        <v/>
      </c>
      <c r="H192" s="128" t="str">
        <f aca="false">IF(IFERROR(INDEX(tsk_Name,GanttView[[#This Row],[_Row]])="",TRUE()),"",INDEX(tsk_FcFinish,GanttView[[#This Row],[_Row]]))</f>
        <v/>
      </c>
      <c r="I192" s="129" t="str">
        <f aca="false">IF(IFERROR(INDEX(tsk_Name,GanttView[[#This Row],[_Row]])="",TRUE()),"",INDEX(tsk_Progress,GanttView[[#This Row],[_Row]]))</f>
        <v/>
      </c>
      <c r="J192" s="127" t="str">
        <f aca="false">IF(IFERROR(INDEX(tsk_Name,GanttView[[#This Row],[_Row]])="",TRUE()),"",INDEX(tsk_ResourceNames,GanttView[[#This Row],[_Row]])&amp;"")</f>
        <v/>
      </c>
      <c r="K192" s="126" t="str">
        <f aca="false">IF(IFERROR(INDEX(tsk_Name,GanttView[[#This Row],[_Row]])="",TRUE()),"",INDEX(tsk_Status,GanttView[[#This Row],[_Row]]))</f>
        <v/>
      </c>
      <c r="L192" s="126" t="str">
        <f aca="false">IF(IFERROR(INDEX(tsk_Name,GanttView[[#This Row],[_Row]])="",TRUE()),"",INDEX(tsk_Show,GanttView[[#This Row],[_Row]])&amp;"")</f>
        <v/>
      </c>
      <c r="M192" s="130" t="n">
        <f aca="false">ROW()-ROW(GanttView[[#Headers],[ID]])</f>
        <v>187</v>
      </c>
      <c r="N192" s="131" t="b">
        <f aca="false">IF(IFERROR(INDEX(tsk_Name,GanttView[[#This Row],[_Row]])="",TRUE()),FALSE(),INDEX(tsk_IsSummary,GanttView[[#This Row],[_Row]]))</f>
        <v>0</v>
      </c>
      <c r="O192" s="131" t="b">
        <f aca="false">IF(IFERROR(INDEX(tsk_Name,GanttView[[#This Row],[_Row]])="",TRUE()),FALSE(),AND(INDEX(tsk_IsLeaf,GanttView[[#This Row],[_Row]])=1,N(INDEX(tsk_Duration,GanttView[[#This Row],[_Row]]))=0))</f>
        <v>0</v>
      </c>
      <c r="P192" s="132" t="n">
        <f aca="false">IF(IFERROR(INDEX(tsk_Name,GanttView[[#This Row],[_Row]])="",TRUE()),0,IF(AND(INDEX(tsk_IsLeaf,GanttView[[#This Row],[_Row]])=1,NOT(GanttView[[#This Row],[_IsMilestone]]),N(GanttView[[#This Row],[%]])&gt;0),GanttView[[#This Row],[Forecast Start]],0))</f>
        <v>0</v>
      </c>
      <c r="Q192" s="132" t="n">
        <f aca="false">IF(GanttView[[#This Row],[_DoneFrom]]=0,0,IF(GanttView[[#This Row],[%]]&gt;=1,GanttView[[#This Row],[Forecast Finish]],MAX(GanttView[[#This Row],[_DoneFrom]],GanttView[[#This Row],[Forecast Start]]+ROUND((GanttView[[#This Row],[Forecast Finish]]-GanttView[[#This Row],[Forecast Start]]+1)*GanttView[[#This Row],[%]],0)-1)))</f>
        <v>0</v>
      </c>
      <c r="R192" s="132" t="n">
        <f aca="false">IF(IFERROR(INDEX(tsk_Name,GanttView[[#This Row],[_Row]])="",TRUE()),0,IF(OR(INDEX(tsk_IsLeaf,GanttView[[#This Row],[_Row]])&lt;&gt;1,GanttView[[#This Row],[_IsMilestone]],N(GanttView[[#This Row],[%]])&gt;=1),0,IF(GanttView[[#This Row],[_DoneTo]]&gt;0,GanttView[[#This Row],[_DoneTo]]+1,GanttView[[#This Row],[Forecast Start]])))</f>
        <v>0</v>
      </c>
      <c r="S192" s="132" t="n">
        <f aca="false">IF(GanttView[[#This Row],[_RemFrom]]=0,0,GanttView[[#This Row],[Forecast Finish]])</f>
        <v>0</v>
      </c>
      <c r="T192" s="131" t="b">
        <f aca="false">IF(IFERROR(INDEX(tsk_Name,GanttView[[#This Row],[_Row]])="",TRUE()),FALSE(),N(INDEX(tsk_Variance,GanttView[[#This Row],[_Row]]))&gt;0)</f>
        <v>0</v>
      </c>
      <c r="U192" s="132" t="n">
        <f aca="false">IF(IFERROR(INDEX(tsk_Name,GanttView[[#This Row],[_Row]])="",TRUE()),0,N(INDEX(tsk_Deadline,GanttView[[#This Row],[_Row]])))</f>
        <v>0</v>
      </c>
      <c r="V192" s="131" t="b">
        <f aca="false">IF(IFERROR(INDEX(tsk_Name,GanttView[[#This Row],[_Row]])="",TRUE()),FALSE(),INDEX(tsk_Critical,GanttView[[#This Row],[_Row]])="Yes")</f>
        <v>0</v>
      </c>
    </row>
    <row r="193" customFormat="false" ht="15" hidden="false" customHeight="false" outlineLevel="0" collapsed="false">
      <c r="A193" s="126" t="str">
        <f aca="false">IF(IFERROR(INDEX(tsk_Name,GanttView[[#This Row],[_Row]])="",TRUE()),"",INDEX(tsk_ID,GanttView[[#This Row],[_Row]]))</f>
        <v/>
      </c>
      <c r="B193" s="126" t="str">
        <f aca="false">IF(IFERROR(INDEX(tsk_Name,GanttView[[#This Row],[_Row]])="",TRUE()),"",INDEX(tsk_WBS,GanttView[[#This Row],[_Row]]))</f>
        <v/>
      </c>
      <c r="C193" s="127" t="str">
        <f aca="false">IF(IFERROR(INDEX(tsk_Name,GanttView[[#This Row],[_Row]])="",TRUE()),"",REPT("    ",INDEX(tsk_Level,GanttView[[#This Row],[_Row]])-1)&amp;INDEX(tsk_Name,GanttView[[#This Row],[_Row]]))</f>
        <v/>
      </c>
      <c r="D193" s="126" t="str">
        <f aca="false">IF(IFERROR(INDEX(tsk_Name,GanttView[[#This Row],[_Row]])="",TRUE()),"",IF(INDEX(tsk_IsSummary,GanttView[[#This Row],[_Row]]),NETWORKDAYS.INTL(INDEX(tsk_FcStart,GanttView[[#This Row],[_Row]]),INDEX(tsk_FcFinish,GanttView[[#This Row],[_Row]]),WorkWeek,Holidays),N(INDEX(tsk_Duration,GanttView[[#This Row],[_Row]]))))</f>
        <v/>
      </c>
      <c r="E193" s="128" t="str">
        <f aca="false">IF(IFERROR(INDEX(tsk_Name,GanttView[[#This Row],[_Row]])="",TRUE()),"",INDEX(tsk_PlanStart,GanttView[[#This Row],[_Row]]))</f>
        <v/>
      </c>
      <c r="F193" s="128" t="str">
        <f aca="false">IF(IFERROR(INDEX(tsk_Name,GanttView[[#This Row],[_Row]])="",TRUE()),"",INDEX(tsk_PlanFinish,GanttView[[#This Row],[_Row]]))</f>
        <v/>
      </c>
      <c r="G193" s="128" t="str">
        <f aca="false">IF(IFERROR(INDEX(tsk_Name,GanttView[[#This Row],[_Row]])="",TRUE()),"",INDEX(tsk_FcStart,GanttView[[#This Row],[_Row]]))</f>
        <v/>
      </c>
      <c r="H193" s="128" t="str">
        <f aca="false">IF(IFERROR(INDEX(tsk_Name,GanttView[[#This Row],[_Row]])="",TRUE()),"",INDEX(tsk_FcFinish,GanttView[[#This Row],[_Row]]))</f>
        <v/>
      </c>
      <c r="I193" s="129" t="str">
        <f aca="false">IF(IFERROR(INDEX(tsk_Name,GanttView[[#This Row],[_Row]])="",TRUE()),"",INDEX(tsk_Progress,GanttView[[#This Row],[_Row]]))</f>
        <v/>
      </c>
      <c r="J193" s="127" t="str">
        <f aca="false">IF(IFERROR(INDEX(tsk_Name,GanttView[[#This Row],[_Row]])="",TRUE()),"",INDEX(tsk_ResourceNames,GanttView[[#This Row],[_Row]])&amp;"")</f>
        <v/>
      </c>
      <c r="K193" s="126" t="str">
        <f aca="false">IF(IFERROR(INDEX(tsk_Name,GanttView[[#This Row],[_Row]])="",TRUE()),"",INDEX(tsk_Status,GanttView[[#This Row],[_Row]]))</f>
        <v/>
      </c>
      <c r="L193" s="126" t="str">
        <f aca="false">IF(IFERROR(INDEX(tsk_Name,GanttView[[#This Row],[_Row]])="",TRUE()),"",INDEX(tsk_Show,GanttView[[#This Row],[_Row]])&amp;"")</f>
        <v/>
      </c>
      <c r="M193" s="130" t="n">
        <f aca="false">ROW()-ROW(GanttView[[#Headers],[ID]])</f>
        <v>188</v>
      </c>
      <c r="N193" s="131" t="b">
        <f aca="false">IF(IFERROR(INDEX(tsk_Name,GanttView[[#This Row],[_Row]])="",TRUE()),FALSE(),INDEX(tsk_IsSummary,GanttView[[#This Row],[_Row]]))</f>
        <v>0</v>
      </c>
      <c r="O193" s="131" t="b">
        <f aca="false">IF(IFERROR(INDEX(tsk_Name,GanttView[[#This Row],[_Row]])="",TRUE()),FALSE(),AND(INDEX(tsk_IsLeaf,GanttView[[#This Row],[_Row]])=1,N(INDEX(tsk_Duration,GanttView[[#This Row],[_Row]]))=0))</f>
        <v>0</v>
      </c>
      <c r="P193" s="132" t="n">
        <f aca="false">IF(IFERROR(INDEX(tsk_Name,GanttView[[#This Row],[_Row]])="",TRUE()),0,IF(AND(INDEX(tsk_IsLeaf,GanttView[[#This Row],[_Row]])=1,NOT(GanttView[[#This Row],[_IsMilestone]]),N(GanttView[[#This Row],[%]])&gt;0),GanttView[[#This Row],[Forecast Start]],0))</f>
        <v>0</v>
      </c>
      <c r="Q193" s="132" t="n">
        <f aca="false">IF(GanttView[[#This Row],[_DoneFrom]]=0,0,IF(GanttView[[#This Row],[%]]&gt;=1,GanttView[[#This Row],[Forecast Finish]],MAX(GanttView[[#This Row],[_DoneFrom]],GanttView[[#This Row],[Forecast Start]]+ROUND((GanttView[[#This Row],[Forecast Finish]]-GanttView[[#This Row],[Forecast Start]]+1)*GanttView[[#This Row],[%]],0)-1)))</f>
        <v>0</v>
      </c>
      <c r="R193" s="132" t="n">
        <f aca="false">IF(IFERROR(INDEX(tsk_Name,GanttView[[#This Row],[_Row]])="",TRUE()),0,IF(OR(INDEX(tsk_IsLeaf,GanttView[[#This Row],[_Row]])&lt;&gt;1,GanttView[[#This Row],[_IsMilestone]],N(GanttView[[#This Row],[%]])&gt;=1),0,IF(GanttView[[#This Row],[_DoneTo]]&gt;0,GanttView[[#This Row],[_DoneTo]]+1,GanttView[[#This Row],[Forecast Start]])))</f>
        <v>0</v>
      </c>
      <c r="S193" s="132" t="n">
        <f aca="false">IF(GanttView[[#This Row],[_RemFrom]]=0,0,GanttView[[#This Row],[Forecast Finish]])</f>
        <v>0</v>
      </c>
      <c r="T193" s="131" t="b">
        <f aca="false">IF(IFERROR(INDEX(tsk_Name,GanttView[[#This Row],[_Row]])="",TRUE()),FALSE(),N(INDEX(tsk_Variance,GanttView[[#This Row],[_Row]]))&gt;0)</f>
        <v>0</v>
      </c>
      <c r="U193" s="132" t="n">
        <f aca="false">IF(IFERROR(INDEX(tsk_Name,GanttView[[#This Row],[_Row]])="",TRUE()),0,N(INDEX(tsk_Deadline,GanttView[[#This Row],[_Row]])))</f>
        <v>0</v>
      </c>
      <c r="V193" s="131" t="b">
        <f aca="false">IF(IFERROR(INDEX(tsk_Name,GanttView[[#This Row],[_Row]])="",TRUE()),FALSE(),INDEX(tsk_Critical,GanttView[[#This Row],[_Row]])="Yes")</f>
        <v>0</v>
      </c>
    </row>
    <row r="194" customFormat="false" ht="15" hidden="false" customHeight="false" outlineLevel="0" collapsed="false">
      <c r="A194" s="126" t="str">
        <f aca="false">IF(IFERROR(INDEX(tsk_Name,GanttView[[#This Row],[_Row]])="",TRUE()),"",INDEX(tsk_ID,GanttView[[#This Row],[_Row]]))</f>
        <v/>
      </c>
      <c r="B194" s="126" t="str">
        <f aca="false">IF(IFERROR(INDEX(tsk_Name,GanttView[[#This Row],[_Row]])="",TRUE()),"",INDEX(tsk_WBS,GanttView[[#This Row],[_Row]]))</f>
        <v/>
      </c>
      <c r="C194" s="127" t="str">
        <f aca="false">IF(IFERROR(INDEX(tsk_Name,GanttView[[#This Row],[_Row]])="",TRUE()),"",REPT("    ",INDEX(tsk_Level,GanttView[[#This Row],[_Row]])-1)&amp;INDEX(tsk_Name,GanttView[[#This Row],[_Row]]))</f>
        <v/>
      </c>
      <c r="D194" s="126" t="str">
        <f aca="false">IF(IFERROR(INDEX(tsk_Name,GanttView[[#This Row],[_Row]])="",TRUE()),"",IF(INDEX(tsk_IsSummary,GanttView[[#This Row],[_Row]]),NETWORKDAYS.INTL(INDEX(tsk_FcStart,GanttView[[#This Row],[_Row]]),INDEX(tsk_FcFinish,GanttView[[#This Row],[_Row]]),WorkWeek,Holidays),N(INDEX(tsk_Duration,GanttView[[#This Row],[_Row]]))))</f>
        <v/>
      </c>
      <c r="E194" s="128" t="str">
        <f aca="false">IF(IFERROR(INDEX(tsk_Name,GanttView[[#This Row],[_Row]])="",TRUE()),"",INDEX(tsk_PlanStart,GanttView[[#This Row],[_Row]]))</f>
        <v/>
      </c>
      <c r="F194" s="128" t="str">
        <f aca="false">IF(IFERROR(INDEX(tsk_Name,GanttView[[#This Row],[_Row]])="",TRUE()),"",INDEX(tsk_PlanFinish,GanttView[[#This Row],[_Row]]))</f>
        <v/>
      </c>
      <c r="G194" s="128" t="str">
        <f aca="false">IF(IFERROR(INDEX(tsk_Name,GanttView[[#This Row],[_Row]])="",TRUE()),"",INDEX(tsk_FcStart,GanttView[[#This Row],[_Row]]))</f>
        <v/>
      </c>
      <c r="H194" s="128" t="str">
        <f aca="false">IF(IFERROR(INDEX(tsk_Name,GanttView[[#This Row],[_Row]])="",TRUE()),"",INDEX(tsk_FcFinish,GanttView[[#This Row],[_Row]]))</f>
        <v/>
      </c>
      <c r="I194" s="129" t="str">
        <f aca="false">IF(IFERROR(INDEX(tsk_Name,GanttView[[#This Row],[_Row]])="",TRUE()),"",INDEX(tsk_Progress,GanttView[[#This Row],[_Row]]))</f>
        <v/>
      </c>
      <c r="J194" s="127" t="str">
        <f aca="false">IF(IFERROR(INDEX(tsk_Name,GanttView[[#This Row],[_Row]])="",TRUE()),"",INDEX(tsk_ResourceNames,GanttView[[#This Row],[_Row]])&amp;"")</f>
        <v/>
      </c>
      <c r="K194" s="126" t="str">
        <f aca="false">IF(IFERROR(INDEX(tsk_Name,GanttView[[#This Row],[_Row]])="",TRUE()),"",INDEX(tsk_Status,GanttView[[#This Row],[_Row]]))</f>
        <v/>
      </c>
      <c r="L194" s="126" t="str">
        <f aca="false">IF(IFERROR(INDEX(tsk_Name,GanttView[[#This Row],[_Row]])="",TRUE()),"",INDEX(tsk_Show,GanttView[[#This Row],[_Row]])&amp;"")</f>
        <v/>
      </c>
      <c r="M194" s="130" t="n">
        <f aca="false">ROW()-ROW(GanttView[[#Headers],[ID]])</f>
        <v>189</v>
      </c>
      <c r="N194" s="131" t="b">
        <f aca="false">IF(IFERROR(INDEX(tsk_Name,GanttView[[#This Row],[_Row]])="",TRUE()),FALSE(),INDEX(tsk_IsSummary,GanttView[[#This Row],[_Row]]))</f>
        <v>0</v>
      </c>
      <c r="O194" s="131" t="b">
        <f aca="false">IF(IFERROR(INDEX(tsk_Name,GanttView[[#This Row],[_Row]])="",TRUE()),FALSE(),AND(INDEX(tsk_IsLeaf,GanttView[[#This Row],[_Row]])=1,N(INDEX(tsk_Duration,GanttView[[#This Row],[_Row]]))=0))</f>
        <v>0</v>
      </c>
      <c r="P194" s="132" t="n">
        <f aca="false">IF(IFERROR(INDEX(tsk_Name,GanttView[[#This Row],[_Row]])="",TRUE()),0,IF(AND(INDEX(tsk_IsLeaf,GanttView[[#This Row],[_Row]])=1,NOT(GanttView[[#This Row],[_IsMilestone]]),N(GanttView[[#This Row],[%]])&gt;0),GanttView[[#This Row],[Forecast Start]],0))</f>
        <v>0</v>
      </c>
      <c r="Q194" s="132" t="n">
        <f aca="false">IF(GanttView[[#This Row],[_DoneFrom]]=0,0,IF(GanttView[[#This Row],[%]]&gt;=1,GanttView[[#This Row],[Forecast Finish]],MAX(GanttView[[#This Row],[_DoneFrom]],GanttView[[#This Row],[Forecast Start]]+ROUND((GanttView[[#This Row],[Forecast Finish]]-GanttView[[#This Row],[Forecast Start]]+1)*GanttView[[#This Row],[%]],0)-1)))</f>
        <v>0</v>
      </c>
      <c r="R194" s="132" t="n">
        <f aca="false">IF(IFERROR(INDEX(tsk_Name,GanttView[[#This Row],[_Row]])="",TRUE()),0,IF(OR(INDEX(tsk_IsLeaf,GanttView[[#This Row],[_Row]])&lt;&gt;1,GanttView[[#This Row],[_IsMilestone]],N(GanttView[[#This Row],[%]])&gt;=1),0,IF(GanttView[[#This Row],[_DoneTo]]&gt;0,GanttView[[#This Row],[_DoneTo]]+1,GanttView[[#This Row],[Forecast Start]])))</f>
        <v>0</v>
      </c>
      <c r="S194" s="132" t="n">
        <f aca="false">IF(GanttView[[#This Row],[_RemFrom]]=0,0,GanttView[[#This Row],[Forecast Finish]])</f>
        <v>0</v>
      </c>
      <c r="T194" s="131" t="b">
        <f aca="false">IF(IFERROR(INDEX(tsk_Name,GanttView[[#This Row],[_Row]])="",TRUE()),FALSE(),N(INDEX(tsk_Variance,GanttView[[#This Row],[_Row]]))&gt;0)</f>
        <v>0</v>
      </c>
      <c r="U194" s="132" t="n">
        <f aca="false">IF(IFERROR(INDEX(tsk_Name,GanttView[[#This Row],[_Row]])="",TRUE()),0,N(INDEX(tsk_Deadline,GanttView[[#This Row],[_Row]])))</f>
        <v>0</v>
      </c>
      <c r="V194" s="131" t="b">
        <f aca="false">IF(IFERROR(INDEX(tsk_Name,GanttView[[#This Row],[_Row]])="",TRUE()),FALSE(),INDEX(tsk_Critical,GanttView[[#This Row],[_Row]])="Yes")</f>
        <v>0</v>
      </c>
    </row>
    <row r="195" customFormat="false" ht="15" hidden="false" customHeight="false" outlineLevel="0" collapsed="false">
      <c r="A195" s="126" t="str">
        <f aca="false">IF(IFERROR(INDEX(tsk_Name,GanttView[[#This Row],[_Row]])="",TRUE()),"",INDEX(tsk_ID,GanttView[[#This Row],[_Row]]))</f>
        <v/>
      </c>
      <c r="B195" s="126" t="str">
        <f aca="false">IF(IFERROR(INDEX(tsk_Name,GanttView[[#This Row],[_Row]])="",TRUE()),"",INDEX(tsk_WBS,GanttView[[#This Row],[_Row]]))</f>
        <v/>
      </c>
      <c r="C195" s="127" t="str">
        <f aca="false">IF(IFERROR(INDEX(tsk_Name,GanttView[[#This Row],[_Row]])="",TRUE()),"",REPT("    ",INDEX(tsk_Level,GanttView[[#This Row],[_Row]])-1)&amp;INDEX(tsk_Name,GanttView[[#This Row],[_Row]]))</f>
        <v/>
      </c>
      <c r="D195" s="126" t="str">
        <f aca="false">IF(IFERROR(INDEX(tsk_Name,GanttView[[#This Row],[_Row]])="",TRUE()),"",IF(INDEX(tsk_IsSummary,GanttView[[#This Row],[_Row]]),NETWORKDAYS.INTL(INDEX(tsk_FcStart,GanttView[[#This Row],[_Row]]),INDEX(tsk_FcFinish,GanttView[[#This Row],[_Row]]),WorkWeek,Holidays),N(INDEX(tsk_Duration,GanttView[[#This Row],[_Row]]))))</f>
        <v/>
      </c>
      <c r="E195" s="128" t="str">
        <f aca="false">IF(IFERROR(INDEX(tsk_Name,GanttView[[#This Row],[_Row]])="",TRUE()),"",INDEX(tsk_PlanStart,GanttView[[#This Row],[_Row]]))</f>
        <v/>
      </c>
      <c r="F195" s="128" t="str">
        <f aca="false">IF(IFERROR(INDEX(tsk_Name,GanttView[[#This Row],[_Row]])="",TRUE()),"",INDEX(tsk_PlanFinish,GanttView[[#This Row],[_Row]]))</f>
        <v/>
      </c>
      <c r="G195" s="128" t="str">
        <f aca="false">IF(IFERROR(INDEX(tsk_Name,GanttView[[#This Row],[_Row]])="",TRUE()),"",INDEX(tsk_FcStart,GanttView[[#This Row],[_Row]]))</f>
        <v/>
      </c>
      <c r="H195" s="128" t="str">
        <f aca="false">IF(IFERROR(INDEX(tsk_Name,GanttView[[#This Row],[_Row]])="",TRUE()),"",INDEX(tsk_FcFinish,GanttView[[#This Row],[_Row]]))</f>
        <v/>
      </c>
      <c r="I195" s="129" t="str">
        <f aca="false">IF(IFERROR(INDEX(tsk_Name,GanttView[[#This Row],[_Row]])="",TRUE()),"",INDEX(tsk_Progress,GanttView[[#This Row],[_Row]]))</f>
        <v/>
      </c>
      <c r="J195" s="127" t="str">
        <f aca="false">IF(IFERROR(INDEX(tsk_Name,GanttView[[#This Row],[_Row]])="",TRUE()),"",INDEX(tsk_ResourceNames,GanttView[[#This Row],[_Row]])&amp;"")</f>
        <v/>
      </c>
      <c r="K195" s="126" t="str">
        <f aca="false">IF(IFERROR(INDEX(tsk_Name,GanttView[[#This Row],[_Row]])="",TRUE()),"",INDEX(tsk_Status,GanttView[[#This Row],[_Row]]))</f>
        <v/>
      </c>
      <c r="L195" s="126" t="str">
        <f aca="false">IF(IFERROR(INDEX(tsk_Name,GanttView[[#This Row],[_Row]])="",TRUE()),"",INDEX(tsk_Show,GanttView[[#This Row],[_Row]])&amp;"")</f>
        <v/>
      </c>
      <c r="M195" s="130" t="n">
        <f aca="false">ROW()-ROW(GanttView[[#Headers],[ID]])</f>
        <v>190</v>
      </c>
      <c r="N195" s="131" t="b">
        <f aca="false">IF(IFERROR(INDEX(tsk_Name,GanttView[[#This Row],[_Row]])="",TRUE()),FALSE(),INDEX(tsk_IsSummary,GanttView[[#This Row],[_Row]]))</f>
        <v>0</v>
      </c>
      <c r="O195" s="131" t="b">
        <f aca="false">IF(IFERROR(INDEX(tsk_Name,GanttView[[#This Row],[_Row]])="",TRUE()),FALSE(),AND(INDEX(tsk_IsLeaf,GanttView[[#This Row],[_Row]])=1,N(INDEX(tsk_Duration,GanttView[[#This Row],[_Row]]))=0))</f>
        <v>0</v>
      </c>
      <c r="P195" s="132" t="n">
        <f aca="false">IF(IFERROR(INDEX(tsk_Name,GanttView[[#This Row],[_Row]])="",TRUE()),0,IF(AND(INDEX(tsk_IsLeaf,GanttView[[#This Row],[_Row]])=1,NOT(GanttView[[#This Row],[_IsMilestone]]),N(GanttView[[#This Row],[%]])&gt;0),GanttView[[#This Row],[Forecast Start]],0))</f>
        <v>0</v>
      </c>
      <c r="Q195" s="132" t="n">
        <f aca="false">IF(GanttView[[#This Row],[_DoneFrom]]=0,0,IF(GanttView[[#This Row],[%]]&gt;=1,GanttView[[#This Row],[Forecast Finish]],MAX(GanttView[[#This Row],[_DoneFrom]],GanttView[[#This Row],[Forecast Start]]+ROUND((GanttView[[#This Row],[Forecast Finish]]-GanttView[[#This Row],[Forecast Start]]+1)*GanttView[[#This Row],[%]],0)-1)))</f>
        <v>0</v>
      </c>
      <c r="R195" s="132" t="n">
        <f aca="false">IF(IFERROR(INDEX(tsk_Name,GanttView[[#This Row],[_Row]])="",TRUE()),0,IF(OR(INDEX(tsk_IsLeaf,GanttView[[#This Row],[_Row]])&lt;&gt;1,GanttView[[#This Row],[_IsMilestone]],N(GanttView[[#This Row],[%]])&gt;=1),0,IF(GanttView[[#This Row],[_DoneTo]]&gt;0,GanttView[[#This Row],[_DoneTo]]+1,GanttView[[#This Row],[Forecast Start]])))</f>
        <v>0</v>
      </c>
      <c r="S195" s="132" t="n">
        <f aca="false">IF(GanttView[[#This Row],[_RemFrom]]=0,0,GanttView[[#This Row],[Forecast Finish]])</f>
        <v>0</v>
      </c>
      <c r="T195" s="131" t="b">
        <f aca="false">IF(IFERROR(INDEX(tsk_Name,GanttView[[#This Row],[_Row]])="",TRUE()),FALSE(),N(INDEX(tsk_Variance,GanttView[[#This Row],[_Row]]))&gt;0)</f>
        <v>0</v>
      </c>
      <c r="U195" s="132" t="n">
        <f aca="false">IF(IFERROR(INDEX(tsk_Name,GanttView[[#This Row],[_Row]])="",TRUE()),0,N(INDEX(tsk_Deadline,GanttView[[#This Row],[_Row]])))</f>
        <v>0</v>
      </c>
      <c r="V195" s="131" t="b">
        <f aca="false">IF(IFERROR(INDEX(tsk_Name,GanttView[[#This Row],[_Row]])="",TRUE()),FALSE(),INDEX(tsk_Critical,GanttView[[#This Row],[_Row]])="Yes")</f>
        <v>0</v>
      </c>
    </row>
    <row r="196" customFormat="false" ht="15" hidden="false" customHeight="false" outlineLevel="0" collapsed="false">
      <c r="A196" s="126" t="str">
        <f aca="false">IF(IFERROR(INDEX(tsk_Name,GanttView[[#This Row],[_Row]])="",TRUE()),"",INDEX(tsk_ID,GanttView[[#This Row],[_Row]]))</f>
        <v/>
      </c>
      <c r="B196" s="126" t="str">
        <f aca="false">IF(IFERROR(INDEX(tsk_Name,GanttView[[#This Row],[_Row]])="",TRUE()),"",INDEX(tsk_WBS,GanttView[[#This Row],[_Row]]))</f>
        <v/>
      </c>
      <c r="C196" s="127" t="str">
        <f aca="false">IF(IFERROR(INDEX(tsk_Name,GanttView[[#This Row],[_Row]])="",TRUE()),"",REPT("    ",INDEX(tsk_Level,GanttView[[#This Row],[_Row]])-1)&amp;INDEX(tsk_Name,GanttView[[#This Row],[_Row]]))</f>
        <v/>
      </c>
      <c r="D196" s="126" t="str">
        <f aca="false">IF(IFERROR(INDEX(tsk_Name,GanttView[[#This Row],[_Row]])="",TRUE()),"",IF(INDEX(tsk_IsSummary,GanttView[[#This Row],[_Row]]),NETWORKDAYS.INTL(INDEX(tsk_FcStart,GanttView[[#This Row],[_Row]]),INDEX(tsk_FcFinish,GanttView[[#This Row],[_Row]]),WorkWeek,Holidays),N(INDEX(tsk_Duration,GanttView[[#This Row],[_Row]]))))</f>
        <v/>
      </c>
      <c r="E196" s="128" t="str">
        <f aca="false">IF(IFERROR(INDEX(tsk_Name,GanttView[[#This Row],[_Row]])="",TRUE()),"",INDEX(tsk_PlanStart,GanttView[[#This Row],[_Row]]))</f>
        <v/>
      </c>
      <c r="F196" s="128" t="str">
        <f aca="false">IF(IFERROR(INDEX(tsk_Name,GanttView[[#This Row],[_Row]])="",TRUE()),"",INDEX(tsk_PlanFinish,GanttView[[#This Row],[_Row]]))</f>
        <v/>
      </c>
      <c r="G196" s="128" t="str">
        <f aca="false">IF(IFERROR(INDEX(tsk_Name,GanttView[[#This Row],[_Row]])="",TRUE()),"",INDEX(tsk_FcStart,GanttView[[#This Row],[_Row]]))</f>
        <v/>
      </c>
      <c r="H196" s="128" t="str">
        <f aca="false">IF(IFERROR(INDEX(tsk_Name,GanttView[[#This Row],[_Row]])="",TRUE()),"",INDEX(tsk_FcFinish,GanttView[[#This Row],[_Row]]))</f>
        <v/>
      </c>
      <c r="I196" s="129" t="str">
        <f aca="false">IF(IFERROR(INDEX(tsk_Name,GanttView[[#This Row],[_Row]])="",TRUE()),"",INDEX(tsk_Progress,GanttView[[#This Row],[_Row]]))</f>
        <v/>
      </c>
      <c r="J196" s="127" t="str">
        <f aca="false">IF(IFERROR(INDEX(tsk_Name,GanttView[[#This Row],[_Row]])="",TRUE()),"",INDEX(tsk_ResourceNames,GanttView[[#This Row],[_Row]])&amp;"")</f>
        <v/>
      </c>
      <c r="K196" s="126" t="str">
        <f aca="false">IF(IFERROR(INDEX(tsk_Name,GanttView[[#This Row],[_Row]])="",TRUE()),"",INDEX(tsk_Status,GanttView[[#This Row],[_Row]]))</f>
        <v/>
      </c>
      <c r="L196" s="126" t="str">
        <f aca="false">IF(IFERROR(INDEX(tsk_Name,GanttView[[#This Row],[_Row]])="",TRUE()),"",INDEX(tsk_Show,GanttView[[#This Row],[_Row]])&amp;"")</f>
        <v/>
      </c>
      <c r="M196" s="130" t="n">
        <f aca="false">ROW()-ROW(GanttView[[#Headers],[ID]])</f>
        <v>191</v>
      </c>
      <c r="N196" s="131" t="b">
        <f aca="false">IF(IFERROR(INDEX(tsk_Name,GanttView[[#This Row],[_Row]])="",TRUE()),FALSE(),INDEX(tsk_IsSummary,GanttView[[#This Row],[_Row]]))</f>
        <v>0</v>
      </c>
      <c r="O196" s="131" t="b">
        <f aca="false">IF(IFERROR(INDEX(tsk_Name,GanttView[[#This Row],[_Row]])="",TRUE()),FALSE(),AND(INDEX(tsk_IsLeaf,GanttView[[#This Row],[_Row]])=1,N(INDEX(tsk_Duration,GanttView[[#This Row],[_Row]]))=0))</f>
        <v>0</v>
      </c>
      <c r="P196" s="132" t="n">
        <f aca="false">IF(IFERROR(INDEX(tsk_Name,GanttView[[#This Row],[_Row]])="",TRUE()),0,IF(AND(INDEX(tsk_IsLeaf,GanttView[[#This Row],[_Row]])=1,NOT(GanttView[[#This Row],[_IsMilestone]]),N(GanttView[[#This Row],[%]])&gt;0),GanttView[[#This Row],[Forecast Start]],0))</f>
        <v>0</v>
      </c>
      <c r="Q196" s="132" t="n">
        <f aca="false">IF(GanttView[[#This Row],[_DoneFrom]]=0,0,IF(GanttView[[#This Row],[%]]&gt;=1,GanttView[[#This Row],[Forecast Finish]],MAX(GanttView[[#This Row],[_DoneFrom]],GanttView[[#This Row],[Forecast Start]]+ROUND((GanttView[[#This Row],[Forecast Finish]]-GanttView[[#This Row],[Forecast Start]]+1)*GanttView[[#This Row],[%]],0)-1)))</f>
        <v>0</v>
      </c>
      <c r="R196" s="132" t="n">
        <f aca="false">IF(IFERROR(INDEX(tsk_Name,GanttView[[#This Row],[_Row]])="",TRUE()),0,IF(OR(INDEX(tsk_IsLeaf,GanttView[[#This Row],[_Row]])&lt;&gt;1,GanttView[[#This Row],[_IsMilestone]],N(GanttView[[#This Row],[%]])&gt;=1),0,IF(GanttView[[#This Row],[_DoneTo]]&gt;0,GanttView[[#This Row],[_DoneTo]]+1,GanttView[[#This Row],[Forecast Start]])))</f>
        <v>0</v>
      </c>
      <c r="S196" s="132" t="n">
        <f aca="false">IF(GanttView[[#This Row],[_RemFrom]]=0,0,GanttView[[#This Row],[Forecast Finish]])</f>
        <v>0</v>
      </c>
      <c r="T196" s="131" t="b">
        <f aca="false">IF(IFERROR(INDEX(tsk_Name,GanttView[[#This Row],[_Row]])="",TRUE()),FALSE(),N(INDEX(tsk_Variance,GanttView[[#This Row],[_Row]]))&gt;0)</f>
        <v>0</v>
      </c>
      <c r="U196" s="132" t="n">
        <f aca="false">IF(IFERROR(INDEX(tsk_Name,GanttView[[#This Row],[_Row]])="",TRUE()),0,N(INDEX(tsk_Deadline,GanttView[[#This Row],[_Row]])))</f>
        <v>0</v>
      </c>
      <c r="V196" s="131" t="b">
        <f aca="false">IF(IFERROR(INDEX(tsk_Name,GanttView[[#This Row],[_Row]])="",TRUE()),FALSE(),INDEX(tsk_Critical,GanttView[[#This Row],[_Row]])="Yes")</f>
        <v>0</v>
      </c>
    </row>
    <row r="197" customFormat="false" ht="15" hidden="false" customHeight="false" outlineLevel="0" collapsed="false">
      <c r="A197" s="126" t="str">
        <f aca="false">IF(IFERROR(INDEX(tsk_Name,GanttView[[#This Row],[_Row]])="",TRUE()),"",INDEX(tsk_ID,GanttView[[#This Row],[_Row]]))</f>
        <v/>
      </c>
      <c r="B197" s="126" t="str">
        <f aca="false">IF(IFERROR(INDEX(tsk_Name,GanttView[[#This Row],[_Row]])="",TRUE()),"",INDEX(tsk_WBS,GanttView[[#This Row],[_Row]]))</f>
        <v/>
      </c>
      <c r="C197" s="127" t="str">
        <f aca="false">IF(IFERROR(INDEX(tsk_Name,GanttView[[#This Row],[_Row]])="",TRUE()),"",REPT("    ",INDEX(tsk_Level,GanttView[[#This Row],[_Row]])-1)&amp;INDEX(tsk_Name,GanttView[[#This Row],[_Row]]))</f>
        <v/>
      </c>
      <c r="D197" s="126" t="str">
        <f aca="false">IF(IFERROR(INDEX(tsk_Name,GanttView[[#This Row],[_Row]])="",TRUE()),"",IF(INDEX(tsk_IsSummary,GanttView[[#This Row],[_Row]]),NETWORKDAYS.INTL(INDEX(tsk_FcStart,GanttView[[#This Row],[_Row]]),INDEX(tsk_FcFinish,GanttView[[#This Row],[_Row]]),WorkWeek,Holidays),N(INDEX(tsk_Duration,GanttView[[#This Row],[_Row]]))))</f>
        <v/>
      </c>
      <c r="E197" s="128" t="str">
        <f aca="false">IF(IFERROR(INDEX(tsk_Name,GanttView[[#This Row],[_Row]])="",TRUE()),"",INDEX(tsk_PlanStart,GanttView[[#This Row],[_Row]]))</f>
        <v/>
      </c>
      <c r="F197" s="128" t="str">
        <f aca="false">IF(IFERROR(INDEX(tsk_Name,GanttView[[#This Row],[_Row]])="",TRUE()),"",INDEX(tsk_PlanFinish,GanttView[[#This Row],[_Row]]))</f>
        <v/>
      </c>
      <c r="G197" s="128" t="str">
        <f aca="false">IF(IFERROR(INDEX(tsk_Name,GanttView[[#This Row],[_Row]])="",TRUE()),"",INDEX(tsk_FcStart,GanttView[[#This Row],[_Row]]))</f>
        <v/>
      </c>
      <c r="H197" s="128" t="str">
        <f aca="false">IF(IFERROR(INDEX(tsk_Name,GanttView[[#This Row],[_Row]])="",TRUE()),"",INDEX(tsk_FcFinish,GanttView[[#This Row],[_Row]]))</f>
        <v/>
      </c>
      <c r="I197" s="129" t="str">
        <f aca="false">IF(IFERROR(INDEX(tsk_Name,GanttView[[#This Row],[_Row]])="",TRUE()),"",INDEX(tsk_Progress,GanttView[[#This Row],[_Row]]))</f>
        <v/>
      </c>
      <c r="J197" s="127" t="str">
        <f aca="false">IF(IFERROR(INDEX(tsk_Name,GanttView[[#This Row],[_Row]])="",TRUE()),"",INDEX(tsk_ResourceNames,GanttView[[#This Row],[_Row]])&amp;"")</f>
        <v/>
      </c>
      <c r="K197" s="126" t="str">
        <f aca="false">IF(IFERROR(INDEX(tsk_Name,GanttView[[#This Row],[_Row]])="",TRUE()),"",INDEX(tsk_Status,GanttView[[#This Row],[_Row]]))</f>
        <v/>
      </c>
      <c r="L197" s="126" t="str">
        <f aca="false">IF(IFERROR(INDEX(tsk_Name,GanttView[[#This Row],[_Row]])="",TRUE()),"",INDEX(tsk_Show,GanttView[[#This Row],[_Row]])&amp;"")</f>
        <v/>
      </c>
      <c r="M197" s="130" t="n">
        <f aca="false">ROW()-ROW(GanttView[[#Headers],[ID]])</f>
        <v>192</v>
      </c>
      <c r="N197" s="131" t="b">
        <f aca="false">IF(IFERROR(INDEX(tsk_Name,GanttView[[#This Row],[_Row]])="",TRUE()),FALSE(),INDEX(tsk_IsSummary,GanttView[[#This Row],[_Row]]))</f>
        <v>0</v>
      </c>
      <c r="O197" s="131" t="b">
        <f aca="false">IF(IFERROR(INDEX(tsk_Name,GanttView[[#This Row],[_Row]])="",TRUE()),FALSE(),AND(INDEX(tsk_IsLeaf,GanttView[[#This Row],[_Row]])=1,N(INDEX(tsk_Duration,GanttView[[#This Row],[_Row]]))=0))</f>
        <v>0</v>
      </c>
      <c r="P197" s="132" t="n">
        <f aca="false">IF(IFERROR(INDEX(tsk_Name,GanttView[[#This Row],[_Row]])="",TRUE()),0,IF(AND(INDEX(tsk_IsLeaf,GanttView[[#This Row],[_Row]])=1,NOT(GanttView[[#This Row],[_IsMilestone]]),N(GanttView[[#This Row],[%]])&gt;0),GanttView[[#This Row],[Forecast Start]],0))</f>
        <v>0</v>
      </c>
      <c r="Q197" s="132" t="n">
        <f aca="false">IF(GanttView[[#This Row],[_DoneFrom]]=0,0,IF(GanttView[[#This Row],[%]]&gt;=1,GanttView[[#This Row],[Forecast Finish]],MAX(GanttView[[#This Row],[_DoneFrom]],GanttView[[#This Row],[Forecast Start]]+ROUND((GanttView[[#This Row],[Forecast Finish]]-GanttView[[#This Row],[Forecast Start]]+1)*GanttView[[#This Row],[%]],0)-1)))</f>
        <v>0</v>
      </c>
      <c r="R197" s="132" t="n">
        <f aca="false">IF(IFERROR(INDEX(tsk_Name,GanttView[[#This Row],[_Row]])="",TRUE()),0,IF(OR(INDEX(tsk_IsLeaf,GanttView[[#This Row],[_Row]])&lt;&gt;1,GanttView[[#This Row],[_IsMilestone]],N(GanttView[[#This Row],[%]])&gt;=1),0,IF(GanttView[[#This Row],[_DoneTo]]&gt;0,GanttView[[#This Row],[_DoneTo]]+1,GanttView[[#This Row],[Forecast Start]])))</f>
        <v>0</v>
      </c>
      <c r="S197" s="132" t="n">
        <f aca="false">IF(GanttView[[#This Row],[_RemFrom]]=0,0,GanttView[[#This Row],[Forecast Finish]])</f>
        <v>0</v>
      </c>
      <c r="T197" s="131" t="b">
        <f aca="false">IF(IFERROR(INDEX(tsk_Name,GanttView[[#This Row],[_Row]])="",TRUE()),FALSE(),N(INDEX(tsk_Variance,GanttView[[#This Row],[_Row]]))&gt;0)</f>
        <v>0</v>
      </c>
      <c r="U197" s="132" t="n">
        <f aca="false">IF(IFERROR(INDEX(tsk_Name,GanttView[[#This Row],[_Row]])="",TRUE()),0,N(INDEX(tsk_Deadline,GanttView[[#This Row],[_Row]])))</f>
        <v>0</v>
      </c>
      <c r="V197" s="131" t="b">
        <f aca="false">IF(IFERROR(INDEX(tsk_Name,GanttView[[#This Row],[_Row]])="",TRUE()),FALSE(),INDEX(tsk_Critical,GanttView[[#This Row],[_Row]])="Yes")</f>
        <v>0</v>
      </c>
    </row>
    <row r="198" customFormat="false" ht="15" hidden="false" customHeight="false" outlineLevel="0" collapsed="false">
      <c r="A198" s="126" t="str">
        <f aca="false">IF(IFERROR(INDEX(tsk_Name,GanttView[[#This Row],[_Row]])="",TRUE()),"",INDEX(tsk_ID,GanttView[[#This Row],[_Row]]))</f>
        <v/>
      </c>
      <c r="B198" s="126" t="str">
        <f aca="false">IF(IFERROR(INDEX(tsk_Name,GanttView[[#This Row],[_Row]])="",TRUE()),"",INDEX(tsk_WBS,GanttView[[#This Row],[_Row]]))</f>
        <v/>
      </c>
      <c r="C198" s="127" t="str">
        <f aca="false">IF(IFERROR(INDEX(tsk_Name,GanttView[[#This Row],[_Row]])="",TRUE()),"",REPT("    ",INDEX(tsk_Level,GanttView[[#This Row],[_Row]])-1)&amp;INDEX(tsk_Name,GanttView[[#This Row],[_Row]]))</f>
        <v/>
      </c>
      <c r="D198" s="126" t="str">
        <f aca="false">IF(IFERROR(INDEX(tsk_Name,GanttView[[#This Row],[_Row]])="",TRUE()),"",IF(INDEX(tsk_IsSummary,GanttView[[#This Row],[_Row]]),NETWORKDAYS.INTL(INDEX(tsk_FcStart,GanttView[[#This Row],[_Row]]),INDEX(tsk_FcFinish,GanttView[[#This Row],[_Row]]),WorkWeek,Holidays),N(INDEX(tsk_Duration,GanttView[[#This Row],[_Row]]))))</f>
        <v/>
      </c>
      <c r="E198" s="128" t="str">
        <f aca="false">IF(IFERROR(INDEX(tsk_Name,GanttView[[#This Row],[_Row]])="",TRUE()),"",INDEX(tsk_PlanStart,GanttView[[#This Row],[_Row]]))</f>
        <v/>
      </c>
      <c r="F198" s="128" t="str">
        <f aca="false">IF(IFERROR(INDEX(tsk_Name,GanttView[[#This Row],[_Row]])="",TRUE()),"",INDEX(tsk_PlanFinish,GanttView[[#This Row],[_Row]]))</f>
        <v/>
      </c>
      <c r="G198" s="128" t="str">
        <f aca="false">IF(IFERROR(INDEX(tsk_Name,GanttView[[#This Row],[_Row]])="",TRUE()),"",INDEX(tsk_FcStart,GanttView[[#This Row],[_Row]]))</f>
        <v/>
      </c>
      <c r="H198" s="128" t="str">
        <f aca="false">IF(IFERROR(INDEX(tsk_Name,GanttView[[#This Row],[_Row]])="",TRUE()),"",INDEX(tsk_FcFinish,GanttView[[#This Row],[_Row]]))</f>
        <v/>
      </c>
      <c r="I198" s="129" t="str">
        <f aca="false">IF(IFERROR(INDEX(tsk_Name,GanttView[[#This Row],[_Row]])="",TRUE()),"",INDEX(tsk_Progress,GanttView[[#This Row],[_Row]]))</f>
        <v/>
      </c>
      <c r="J198" s="127" t="str">
        <f aca="false">IF(IFERROR(INDEX(tsk_Name,GanttView[[#This Row],[_Row]])="",TRUE()),"",INDEX(tsk_ResourceNames,GanttView[[#This Row],[_Row]])&amp;"")</f>
        <v/>
      </c>
      <c r="K198" s="126" t="str">
        <f aca="false">IF(IFERROR(INDEX(tsk_Name,GanttView[[#This Row],[_Row]])="",TRUE()),"",INDEX(tsk_Status,GanttView[[#This Row],[_Row]]))</f>
        <v/>
      </c>
      <c r="L198" s="126" t="str">
        <f aca="false">IF(IFERROR(INDEX(tsk_Name,GanttView[[#This Row],[_Row]])="",TRUE()),"",INDEX(tsk_Show,GanttView[[#This Row],[_Row]])&amp;"")</f>
        <v/>
      </c>
      <c r="M198" s="130" t="n">
        <f aca="false">ROW()-ROW(GanttView[[#Headers],[ID]])</f>
        <v>193</v>
      </c>
      <c r="N198" s="131" t="b">
        <f aca="false">IF(IFERROR(INDEX(tsk_Name,GanttView[[#This Row],[_Row]])="",TRUE()),FALSE(),INDEX(tsk_IsSummary,GanttView[[#This Row],[_Row]]))</f>
        <v>0</v>
      </c>
      <c r="O198" s="131" t="b">
        <f aca="false">IF(IFERROR(INDEX(tsk_Name,GanttView[[#This Row],[_Row]])="",TRUE()),FALSE(),AND(INDEX(tsk_IsLeaf,GanttView[[#This Row],[_Row]])=1,N(INDEX(tsk_Duration,GanttView[[#This Row],[_Row]]))=0))</f>
        <v>0</v>
      </c>
      <c r="P198" s="132" t="n">
        <f aca="false">IF(IFERROR(INDEX(tsk_Name,GanttView[[#This Row],[_Row]])="",TRUE()),0,IF(AND(INDEX(tsk_IsLeaf,GanttView[[#This Row],[_Row]])=1,NOT(GanttView[[#This Row],[_IsMilestone]]),N(GanttView[[#This Row],[%]])&gt;0),GanttView[[#This Row],[Forecast Start]],0))</f>
        <v>0</v>
      </c>
      <c r="Q198" s="132" t="n">
        <f aca="false">IF(GanttView[[#This Row],[_DoneFrom]]=0,0,IF(GanttView[[#This Row],[%]]&gt;=1,GanttView[[#This Row],[Forecast Finish]],MAX(GanttView[[#This Row],[_DoneFrom]],GanttView[[#This Row],[Forecast Start]]+ROUND((GanttView[[#This Row],[Forecast Finish]]-GanttView[[#This Row],[Forecast Start]]+1)*GanttView[[#This Row],[%]],0)-1)))</f>
        <v>0</v>
      </c>
      <c r="R198" s="132" t="n">
        <f aca="false">IF(IFERROR(INDEX(tsk_Name,GanttView[[#This Row],[_Row]])="",TRUE()),0,IF(OR(INDEX(tsk_IsLeaf,GanttView[[#This Row],[_Row]])&lt;&gt;1,GanttView[[#This Row],[_IsMilestone]],N(GanttView[[#This Row],[%]])&gt;=1),0,IF(GanttView[[#This Row],[_DoneTo]]&gt;0,GanttView[[#This Row],[_DoneTo]]+1,GanttView[[#This Row],[Forecast Start]])))</f>
        <v>0</v>
      </c>
      <c r="S198" s="132" t="n">
        <f aca="false">IF(GanttView[[#This Row],[_RemFrom]]=0,0,GanttView[[#This Row],[Forecast Finish]])</f>
        <v>0</v>
      </c>
      <c r="T198" s="131" t="b">
        <f aca="false">IF(IFERROR(INDEX(tsk_Name,GanttView[[#This Row],[_Row]])="",TRUE()),FALSE(),N(INDEX(tsk_Variance,GanttView[[#This Row],[_Row]]))&gt;0)</f>
        <v>0</v>
      </c>
      <c r="U198" s="132" t="n">
        <f aca="false">IF(IFERROR(INDEX(tsk_Name,GanttView[[#This Row],[_Row]])="",TRUE()),0,N(INDEX(tsk_Deadline,GanttView[[#This Row],[_Row]])))</f>
        <v>0</v>
      </c>
      <c r="V198" s="131" t="b">
        <f aca="false">IF(IFERROR(INDEX(tsk_Name,GanttView[[#This Row],[_Row]])="",TRUE()),FALSE(),INDEX(tsk_Critical,GanttView[[#This Row],[_Row]])="Yes")</f>
        <v>0</v>
      </c>
    </row>
    <row r="199" customFormat="false" ht="15" hidden="false" customHeight="false" outlineLevel="0" collapsed="false">
      <c r="A199" s="126" t="str">
        <f aca="false">IF(IFERROR(INDEX(tsk_Name,GanttView[[#This Row],[_Row]])="",TRUE()),"",INDEX(tsk_ID,GanttView[[#This Row],[_Row]]))</f>
        <v/>
      </c>
      <c r="B199" s="126" t="str">
        <f aca="false">IF(IFERROR(INDEX(tsk_Name,GanttView[[#This Row],[_Row]])="",TRUE()),"",INDEX(tsk_WBS,GanttView[[#This Row],[_Row]]))</f>
        <v/>
      </c>
      <c r="C199" s="127" t="str">
        <f aca="false">IF(IFERROR(INDEX(tsk_Name,GanttView[[#This Row],[_Row]])="",TRUE()),"",REPT("    ",INDEX(tsk_Level,GanttView[[#This Row],[_Row]])-1)&amp;INDEX(tsk_Name,GanttView[[#This Row],[_Row]]))</f>
        <v/>
      </c>
      <c r="D199" s="126" t="str">
        <f aca="false">IF(IFERROR(INDEX(tsk_Name,GanttView[[#This Row],[_Row]])="",TRUE()),"",IF(INDEX(tsk_IsSummary,GanttView[[#This Row],[_Row]]),NETWORKDAYS.INTL(INDEX(tsk_FcStart,GanttView[[#This Row],[_Row]]),INDEX(tsk_FcFinish,GanttView[[#This Row],[_Row]]),WorkWeek,Holidays),N(INDEX(tsk_Duration,GanttView[[#This Row],[_Row]]))))</f>
        <v/>
      </c>
      <c r="E199" s="128" t="str">
        <f aca="false">IF(IFERROR(INDEX(tsk_Name,GanttView[[#This Row],[_Row]])="",TRUE()),"",INDEX(tsk_PlanStart,GanttView[[#This Row],[_Row]]))</f>
        <v/>
      </c>
      <c r="F199" s="128" t="str">
        <f aca="false">IF(IFERROR(INDEX(tsk_Name,GanttView[[#This Row],[_Row]])="",TRUE()),"",INDEX(tsk_PlanFinish,GanttView[[#This Row],[_Row]]))</f>
        <v/>
      </c>
      <c r="G199" s="128" t="str">
        <f aca="false">IF(IFERROR(INDEX(tsk_Name,GanttView[[#This Row],[_Row]])="",TRUE()),"",INDEX(tsk_FcStart,GanttView[[#This Row],[_Row]]))</f>
        <v/>
      </c>
      <c r="H199" s="128" t="str">
        <f aca="false">IF(IFERROR(INDEX(tsk_Name,GanttView[[#This Row],[_Row]])="",TRUE()),"",INDEX(tsk_FcFinish,GanttView[[#This Row],[_Row]]))</f>
        <v/>
      </c>
      <c r="I199" s="129" t="str">
        <f aca="false">IF(IFERROR(INDEX(tsk_Name,GanttView[[#This Row],[_Row]])="",TRUE()),"",INDEX(tsk_Progress,GanttView[[#This Row],[_Row]]))</f>
        <v/>
      </c>
      <c r="J199" s="127" t="str">
        <f aca="false">IF(IFERROR(INDEX(tsk_Name,GanttView[[#This Row],[_Row]])="",TRUE()),"",INDEX(tsk_ResourceNames,GanttView[[#This Row],[_Row]])&amp;"")</f>
        <v/>
      </c>
      <c r="K199" s="126" t="str">
        <f aca="false">IF(IFERROR(INDEX(tsk_Name,GanttView[[#This Row],[_Row]])="",TRUE()),"",INDEX(tsk_Status,GanttView[[#This Row],[_Row]]))</f>
        <v/>
      </c>
      <c r="L199" s="126" t="str">
        <f aca="false">IF(IFERROR(INDEX(tsk_Name,GanttView[[#This Row],[_Row]])="",TRUE()),"",INDEX(tsk_Show,GanttView[[#This Row],[_Row]])&amp;"")</f>
        <v/>
      </c>
      <c r="M199" s="130" t="n">
        <f aca="false">ROW()-ROW(GanttView[[#Headers],[ID]])</f>
        <v>194</v>
      </c>
      <c r="N199" s="131" t="b">
        <f aca="false">IF(IFERROR(INDEX(tsk_Name,GanttView[[#This Row],[_Row]])="",TRUE()),FALSE(),INDEX(tsk_IsSummary,GanttView[[#This Row],[_Row]]))</f>
        <v>0</v>
      </c>
      <c r="O199" s="131" t="b">
        <f aca="false">IF(IFERROR(INDEX(tsk_Name,GanttView[[#This Row],[_Row]])="",TRUE()),FALSE(),AND(INDEX(tsk_IsLeaf,GanttView[[#This Row],[_Row]])=1,N(INDEX(tsk_Duration,GanttView[[#This Row],[_Row]]))=0))</f>
        <v>0</v>
      </c>
      <c r="P199" s="132" t="n">
        <f aca="false">IF(IFERROR(INDEX(tsk_Name,GanttView[[#This Row],[_Row]])="",TRUE()),0,IF(AND(INDEX(tsk_IsLeaf,GanttView[[#This Row],[_Row]])=1,NOT(GanttView[[#This Row],[_IsMilestone]]),N(GanttView[[#This Row],[%]])&gt;0),GanttView[[#This Row],[Forecast Start]],0))</f>
        <v>0</v>
      </c>
      <c r="Q199" s="132" t="n">
        <f aca="false">IF(GanttView[[#This Row],[_DoneFrom]]=0,0,IF(GanttView[[#This Row],[%]]&gt;=1,GanttView[[#This Row],[Forecast Finish]],MAX(GanttView[[#This Row],[_DoneFrom]],GanttView[[#This Row],[Forecast Start]]+ROUND((GanttView[[#This Row],[Forecast Finish]]-GanttView[[#This Row],[Forecast Start]]+1)*GanttView[[#This Row],[%]],0)-1)))</f>
        <v>0</v>
      </c>
      <c r="R199" s="132" t="n">
        <f aca="false">IF(IFERROR(INDEX(tsk_Name,GanttView[[#This Row],[_Row]])="",TRUE()),0,IF(OR(INDEX(tsk_IsLeaf,GanttView[[#This Row],[_Row]])&lt;&gt;1,GanttView[[#This Row],[_IsMilestone]],N(GanttView[[#This Row],[%]])&gt;=1),0,IF(GanttView[[#This Row],[_DoneTo]]&gt;0,GanttView[[#This Row],[_DoneTo]]+1,GanttView[[#This Row],[Forecast Start]])))</f>
        <v>0</v>
      </c>
      <c r="S199" s="132" t="n">
        <f aca="false">IF(GanttView[[#This Row],[_RemFrom]]=0,0,GanttView[[#This Row],[Forecast Finish]])</f>
        <v>0</v>
      </c>
      <c r="T199" s="131" t="b">
        <f aca="false">IF(IFERROR(INDEX(tsk_Name,GanttView[[#This Row],[_Row]])="",TRUE()),FALSE(),N(INDEX(tsk_Variance,GanttView[[#This Row],[_Row]]))&gt;0)</f>
        <v>0</v>
      </c>
      <c r="U199" s="132" t="n">
        <f aca="false">IF(IFERROR(INDEX(tsk_Name,GanttView[[#This Row],[_Row]])="",TRUE()),0,N(INDEX(tsk_Deadline,GanttView[[#This Row],[_Row]])))</f>
        <v>0</v>
      </c>
      <c r="V199" s="131" t="b">
        <f aca="false">IF(IFERROR(INDEX(tsk_Name,GanttView[[#This Row],[_Row]])="",TRUE()),FALSE(),INDEX(tsk_Critical,GanttView[[#This Row],[_Row]])="Yes")</f>
        <v>0</v>
      </c>
    </row>
    <row r="200" customFormat="false" ht="15" hidden="false" customHeight="false" outlineLevel="0" collapsed="false">
      <c r="A200" s="126" t="str">
        <f aca="false">IF(IFERROR(INDEX(tsk_Name,GanttView[[#This Row],[_Row]])="",TRUE()),"",INDEX(tsk_ID,GanttView[[#This Row],[_Row]]))</f>
        <v/>
      </c>
      <c r="B200" s="126" t="str">
        <f aca="false">IF(IFERROR(INDEX(tsk_Name,GanttView[[#This Row],[_Row]])="",TRUE()),"",INDEX(tsk_WBS,GanttView[[#This Row],[_Row]]))</f>
        <v/>
      </c>
      <c r="C200" s="127" t="str">
        <f aca="false">IF(IFERROR(INDEX(tsk_Name,GanttView[[#This Row],[_Row]])="",TRUE()),"",REPT("    ",INDEX(tsk_Level,GanttView[[#This Row],[_Row]])-1)&amp;INDEX(tsk_Name,GanttView[[#This Row],[_Row]]))</f>
        <v/>
      </c>
      <c r="D200" s="126" t="str">
        <f aca="false">IF(IFERROR(INDEX(tsk_Name,GanttView[[#This Row],[_Row]])="",TRUE()),"",IF(INDEX(tsk_IsSummary,GanttView[[#This Row],[_Row]]),NETWORKDAYS.INTL(INDEX(tsk_FcStart,GanttView[[#This Row],[_Row]]),INDEX(tsk_FcFinish,GanttView[[#This Row],[_Row]]),WorkWeek,Holidays),N(INDEX(tsk_Duration,GanttView[[#This Row],[_Row]]))))</f>
        <v/>
      </c>
      <c r="E200" s="128" t="str">
        <f aca="false">IF(IFERROR(INDEX(tsk_Name,GanttView[[#This Row],[_Row]])="",TRUE()),"",INDEX(tsk_PlanStart,GanttView[[#This Row],[_Row]]))</f>
        <v/>
      </c>
      <c r="F200" s="128" t="str">
        <f aca="false">IF(IFERROR(INDEX(tsk_Name,GanttView[[#This Row],[_Row]])="",TRUE()),"",INDEX(tsk_PlanFinish,GanttView[[#This Row],[_Row]]))</f>
        <v/>
      </c>
      <c r="G200" s="128" t="str">
        <f aca="false">IF(IFERROR(INDEX(tsk_Name,GanttView[[#This Row],[_Row]])="",TRUE()),"",INDEX(tsk_FcStart,GanttView[[#This Row],[_Row]]))</f>
        <v/>
      </c>
      <c r="H200" s="128" t="str">
        <f aca="false">IF(IFERROR(INDEX(tsk_Name,GanttView[[#This Row],[_Row]])="",TRUE()),"",INDEX(tsk_FcFinish,GanttView[[#This Row],[_Row]]))</f>
        <v/>
      </c>
      <c r="I200" s="129" t="str">
        <f aca="false">IF(IFERROR(INDEX(tsk_Name,GanttView[[#This Row],[_Row]])="",TRUE()),"",INDEX(tsk_Progress,GanttView[[#This Row],[_Row]]))</f>
        <v/>
      </c>
      <c r="J200" s="127" t="str">
        <f aca="false">IF(IFERROR(INDEX(tsk_Name,GanttView[[#This Row],[_Row]])="",TRUE()),"",INDEX(tsk_ResourceNames,GanttView[[#This Row],[_Row]])&amp;"")</f>
        <v/>
      </c>
      <c r="K200" s="126" t="str">
        <f aca="false">IF(IFERROR(INDEX(tsk_Name,GanttView[[#This Row],[_Row]])="",TRUE()),"",INDEX(tsk_Status,GanttView[[#This Row],[_Row]]))</f>
        <v/>
      </c>
      <c r="L200" s="126" t="str">
        <f aca="false">IF(IFERROR(INDEX(tsk_Name,GanttView[[#This Row],[_Row]])="",TRUE()),"",INDEX(tsk_Show,GanttView[[#This Row],[_Row]])&amp;"")</f>
        <v/>
      </c>
      <c r="M200" s="130" t="n">
        <f aca="false">ROW()-ROW(GanttView[[#Headers],[ID]])</f>
        <v>195</v>
      </c>
      <c r="N200" s="131" t="b">
        <f aca="false">IF(IFERROR(INDEX(tsk_Name,GanttView[[#This Row],[_Row]])="",TRUE()),FALSE(),INDEX(tsk_IsSummary,GanttView[[#This Row],[_Row]]))</f>
        <v>0</v>
      </c>
      <c r="O200" s="131" t="b">
        <f aca="false">IF(IFERROR(INDEX(tsk_Name,GanttView[[#This Row],[_Row]])="",TRUE()),FALSE(),AND(INDEX(tsk_IsLeaf,GanttView[[#This Row],[_Row]])=1,N(INDEX(tsk_Duration,GanttView[[#This Row],[_Row]]))=0))</f>
        <v>0</v>
      </c>
      <c r="P200" s="132" t="n">
        <f aca="false">IF(IFERROR(INDEX(tsk_Name,GanttView[[#This Row],[_Row]])="",TRUE()),0,IF(AND(INDEX(tsk_IsLeaf,GanttView[[#This Row],[_Row]])=1,NOT(GanttView[[#This Row],[_IsMilestone]]),N(GanttView[[#This Row],[%]])&gt;0),GanttView[[#This Row],[Forecast Start]],0))</f>
        <v>0</v>
      </c>
      <c r="Q200" s="132" t="n">
        <f aca="false">IF(GanttView[[#This Row],[_DoneFrom]]=0,0,IF(GanttView[[#This Row],[%]]&gt;=1,GanttView[[#This Row],[Forecast Finish]],MAX(GanttView[[#This Row],[_DoneFrom]],GanttView[[#This Row],[Forecast Start]]+ROUND((GanttView[[#This Row],[Forecast Finish]]-GanttView[[#This Row],[Forecast Start]]+1)*GanttView[[#This Row],[%]],0)-1)))</f>
        <v>0</v>
      </c>
      <c r="R200" s="132" t="n">
        <f aca="false">IF(IFERROR(INDEX(tsk_Name,GanttView[[#This Row],[_Row]])="",TRUE()),0,IF(OR(INDEX(tsk_IsLeaf,GanttView[[#This Row],[_Row]])&lt;&gt;1,GanttView[[#This Row],[_IsMilestone]],N(GanttView[[#This Row],[%]])&gt;=1),0,IF(GanttView[[#This Row],[_DoneTo]]&gt;0,GanttView[[#This Row],[_DoneTo]]+1,GanttView[[#This Row],[Forecast Start]])))</f>
        <v>0</v>
      </c>
      <c r="S200" s="132" t="n">
        <f aca="false">IF(GanttView[[#This Row],[_RemFrom]]=0,0,GanttView[[#This Row],[Forecast Finish]])</f>
        <v>0</v>
      </c>
      <c r="T200" s="131" t="b">
        <f aca="false">IF(IFERROR(INDEX(tsk_Name,GanttView[[#This Row],[_Row]])="",TRUE()),FALSE(),N(INDEX(tsk_Variance,GanttView[[#This Row],[_Row]]))&gt;0)</f>
        <v>0</v>
      </c>
      <c r="U200" s="132" t="n">
        <f aca="false">IF(IFERROR(INDEX(tsk_Name,GanttView[[#This Row],[_Row]])="",TRUE()),0,N(INDEX(tsk_Deadline,GanttView[[#This Row],[_Row]])))</f>
        <v>0</v>
      </c>
      <c r="V200" s="131" t="b">
        <f aca="false">IF(IFERROR(INDEX(tsk_Name,GanttView[[#This Row],[_Row]])="",TRUE()),FALSE(),INDEX(tsk_Critical,GanttView[[#This Row],[_Row]])="Yes")</f>
        <v>0</v>
      </c>
    </row>
    <row r="201" customFormat="false" ht="15" hidden="false" customHeight="false" outlineLevel="0" collapsed="false">
      <c r="A201" s="126" t="str">
        <f aca="false">IF(IFERROR(INDEX(tsk_Name,GanttView[[#This Row],[_Row]])="",TRUE()),"",INDEX(tsk_ID,GanttView[[#This Row],[_Row]]))</f>
        <v/>
      </c>
      <c r="B201" s="126" t="str">
        <f aca="false">IF(IFERROR(INDEX(tsk_Name,GanttView[[#This Row],[_Row]])="",TRUE()),"",INDEX(tsk_WBS,GanttView[[#This Row],[_Row]]))</f>
        <v/>
      </c>
      <c r="C201" s="127" t="str">
        <f aca="false">IF(IFERROR(INDEX(tsk_Name,GanttView[[#This Row],[_Row]])="",TRUE()),"",REPT("    ",INDEX(tsk_Level,GanttView[[#This Row],[_Row]])-1)&amp;INDEX(tsk_Name,GanttView[[#This Row],[_Row]]))</f>
        <v/>
      </c>
      <c r="D201" s="126" t="str">
        <f aca="false">IF(IFERROR(INDEX(tsk_Name,GanttView[[#This Row],[_Row]])="",TRUE()),"",IF(INDEX(tsk_IsSummary,GanttView[[#This Row],[_Row]]),NETWORKDAYS.INTL(INDEX(tsk_FcStart,GanttView[[#This Row],[_Row]]),INDEX(tsk_FcFinish,GanttView[[#This Row],[_Row]]),WorkWeek,Holidays),N(INDEX(tsk_Duration,GanttView[[#This Row],[_Row]]))))</f>
        <v/>
      </c>
      <c r="E201" s="128" t="str">
        <f aca="false">IF(IFERROR(INDEX(tsk_Name,GanttView[[#This Row],[_Row]])="",TRUE()),"",INDEX(tsk_PlanStart,GanttView[[#This Row],[_Row]]))</f>
        <v/>
      </c>
      <c r="F201" s="128" t="str">
        <f aca="false">IF(IFERROR(INDEX(tsk_Name,GanttView[[#This Row],[_Row]])="",TRUE()),"",INDEX(tsk_PlanFinish,GanttView[[#This Row],[_Row]]))</f>
        <v/>
      </c>
      <c r="G201" s="128" t="str">
        <f aca="false">IF(IFERROR(INDEX(tsk_Name,GanttView[[#This Row],[_Row]])="",TRUE()),"",INDEX(tsk_FcStart,GanttView[[#This Row],[_Row]]))</f>
        <v/>
      </c>
      <c r="H201" s="128" t="str">
        <f aca="false">IF(IFERROR(INDEX(tsk_Name,GanttView[[#This Row],[_Row]])="",TRUE()),"",INDEX(tsk_FcFinish,GanttView[[#This Row],[_Row]]))</f>
        <v/>
      </c>
      <c r="I201" s="129" t="str">
        <f aca="false">IF(IFERROR(INDEX(tsk_Name,GanttView[[#This Row],[_Row]])="",TRUE()),"",INDEX(tsk_Progress,GanttView[[#This Row],[_Row]]))</f>
        <v/>
      </c>
      <c r="J201" s="127" t="str">
        <f aca="false">IF(IFERROR(INDEX(tsk_Name,GanttView[[#This Row],[_Row]])="",TRUE()),"",INDEX(tsk_ResourceNames,GanttView[[#This Row],[_Row]])&amp;"")</f>
        <v/>
      </c>
      <c r="K201" s="126" t="str">
        <f aca="false">IF(IFERROR(INDEX(tsk_Name,GanttView[[#This Row],[_Row]])="",TRUE()),"",INDEX(tsk_Status,GanttView[[#This Row],[_Row]]))</f>
        <v/>
      </c>
      <c r="L201" s="126" t="str">
        <f aca="false">IF(IFERROR(INDEX(tsk_Name,GanttView[[#This Row],[_Row]])="",TRUE()),"",INDEX(tsk_Show,GanttView[[#This Row],[_Row]])&amp;"")</f>
        <v/>
      </c>
      <c r="M201" s="130" t="n">
        <f aca="false">ROW()-ROW(GanttView[[#Headers],[ID]])</f>
        <v>196</v>
      </c>
      <c r="N201" s="131" t="b">
        <f aca="false">IF(IFERROR(INDEX(tsk_Name,GanttView[[#This Row],[_Row]])="",TRUE()),FALSE(),INDEX(tsk_IsSummary,GanttView[[#This Row],[_Row]]))</f>
        <v>0</v>
      </c>
      <c r="O201" s="131" t="b">
        <f aca="false">IF(IFERROR(INDEX(tsk_Name,GanttView[[#This Row],[_Row]])="",TRUE()),FALSE(),AND(INDEX(tsk_IsLeaf,GanttView[[#This Row],[_Row]])=1,N(INDEX(tsk_Duration,GanttView[[#This Row],[_Row]]))=0))</f>
        <v>0</v>
      </c>
      <c r="P201" s="132" t="n">
        <f aca="false">IF(IFERROR(INDEX(tsk_Name,GanttView[[#This Row],[_Row]])="",TRUE()),0,IF(AND(INDEX(tsk_IsLeaf,GanttView[[#This Row],[_Row]])=1,NOT(GanttView[[#This Row],[_IsMilestone]]),N(GanttView[[#This Row],[%]])&gt;0),GanttView[[#This Row],[Forecast Start]],0))</f>
        <v>0</v>
      </c>
      <c r="Q201" s="132" t="n">
        <f aca="false">IF(GanttView[[#This Row],[_DoneFrom]]=0,0,IF(GanttView[[#This Row],[%]]&gt;=1,GanttView[[#This Row],[Forecast Finish]],MAX(GanttView[[#This Row],[_DoneFrom]],GanttView[[#This Row],[Forecast Start]]+ROUND((GanttView[[#This Row],[Forecast Finish]]-GanttView[[#This Row],[Forecast Start]]+1)*GanttView[[#This Row],[%]],0)-1)))</f>
        <v>0</v>
      </c>
      <c r="R201" s="132" t="n">
        <f aca="false">IF(IFERROR(INDEX(tsk_Name,GanttView[[#This Row],[_Row]])="",TRUE()),0,IF(OR(INDEX(tsk_IsLeaf,GanttView[[#This Row],[_Row]])&lt;&gt;1,GanttView[[#This Row],[_IsMilestone]],N(GanttView[[#This Row],[%]])&gt;=1),0,IF(GanttView[[#This Row],[_DoneTo]]&gt;0,GanttView[[#This Row],[_DoneTo]]+1,GanttView[[#This Row],[Forecast Start]])))</f>
        <v>0</v>
      </c>
      <c r="S201" s="132" t="n">
        <f aca="false">IF(GanttView[[#This Row],[_RemFrom]]=0,0,GanttView[[#This Row],[Forecast Finish]])</f>
        <v>0</v>
      </c>
      <c r="T201" s="131" t="b">
        <f aca="false">IF(IFERROR(INDEX(tsk_Name,GanttView[[#This Row],[_Row]])="",TRUE()),FALSE(),N(INDEX(tsk_Variance,GanttView[[#This Row],[_Row]]))&gt;0)</f>
        <v>0</v>
      </c>
      <c r="U201" s="132" t="n">
        <f aca="false">IF(IFERROR(INDEX(tsk_Name,GanttView[[#This Row],[_Row]])="",TRUE()),0,N(INDEX(tsk_Deadline,GanttView[[#This Row],[_Row]])))</f>
        <v>0</v>
      </c>
      <c r="V201" s="131" t="b">
        <f aca="false">IF(IFERROR(INDEX(tsk_Name,GanttView[[#This Row],[_Row]])="",TRUE()),FALSE(),INDEX(tsk_Critical,GanttView[[#This Row],[_Row]])="Yes")</f>
        <v>0</v>
      </c>
    </row>
    <row r="202" customFormat="false" ht="15" hidden="false" customHeight="false" outlineLevel="0" collapsed="false">
      <c r="A202" s="126" t="str">
        <f aca="false">IF(IFERROR(INDEX(tsk_Name,GanttView[[#This Row],[_Row]])="",TRUE()),"",INDEX(tsk_ID,GanttView[[#This Row],[_Row]]))</f>
        <v/>
      </c>
      <c r="B202" s="126" t="str">
        <f aca="false">IF(IFERROR(INDEX(tsk_Name,GanttView[[#This Row],[_Row]])="",TRUE()),"",INDEX(tsk_WBS,GanttView[[#This Row],[_Row]]))</f>
        <v/>
      </c>
      <c r="C202" s="127" t="str">
        <f aca="false">IF(IFERROR(INDEX(tsk_Name,GanttView[[#This Row],[_Row]])="",TRUE()),"",REPT("    ",INDEX(tsk_Level,GanttView[[#This Row],[_Row]])-1)&amp;INDEX(tsk_Name,GanttView[[#This Row],[_Row]]))</f>
        <v/>
      </c>
      <c r="D202" s="126" t="str">
        <f aca="false">IF(IFERROR(INDEX(tsk_Name,GanttView[[#This Row],[_Row]])="",TRUE()),"",IF(INDEX(tsk_IsSummary,GanttView[[#This Row],[_Row]]),NETWORKDAYS.INTL(INDEX(tsk_FcStart,GanttView[[#This Row],[_Row]]),INDEX(tsk_FcFinish,GanttView[[#This Row],[_Row]]),WorkWeek,Holidays),N(INDEX(tsk_Duration,GanttView[[#This Row],[_Row]]))))</f>
        <v/>
      </c>
      <c r="E202" s="128" t="str">
        <f aca="false">IF(IFERROR(INDEX(tsk_Name,GanttView[[#This Row],[_Row]])="",TRUE()),"",INDEX(tsk_PlanStart,GanttView[[#This Row],[_Row]]))</f>
        <v/>
      </c>
      <c r="F202" s="128" t="str">
        <f aca="false">IF(IFERROR(INDEX(tsk_Name,GanttView[[#This Row],[_Row]])="",TRUE()),"",INDEX(tsk_PlanFinish,GanttView[[#This Row],[_Row]]))</f>
        <v/>
      </c>
      <c r="G202" s="128" t="str">
        <f aca="false">IF(IFERROR(INDEX(tsk_Name,GanttView[[#This Row],[_Row]])="",TRUE()),"",INDEX(tsk_FcStart,GanttView[[#This Row],[_Row]]))</f>
        <v/>
      </c>
      <c r="H202" s="128" t="str">
        <f aca="false">IF(IFERROR(INDEX(tsk_Name,GanttView[[#This Row],[_Row]])="",TRUE()),"",INDEX(tsk_FcFinish,GanttView[[#This Row],[_Row]]))</f>
        <v/>
      </c>
      <c r="I202" s="129" t="str">
        <f aca="false">IF(IFERROR(INDEX(tsk_Name,GanttView[[#This Row],[_Row]])="",TRUE()),"",INDEX(tsk_Progress,GanttView[[#This Row],[_Row]]))</f>
        <v/>
      </c>
      <c r="J202" s="127" t="str">
        <f aca="false">IF(IFERROR(INDEX(tsk_Name,GanttView[[#This Row],[_Row]])="",TRUE()),"",INDEX(tsk_ResourceNames,GanttView[[#This Row],[_Row]])&amp;"")</f>
        <v/>
      </c>
      <c r="K202" s="126" t="str">
        <f aca="false">IF(IFERROR(INDEX(tsk_Name,GanttView[[#This Row],[_Row]])="",TRUE()),"",INDEX(tsk_Status,GanttView[[#This Row],[_Row]]))</f>
        <v/>
      </c>
      <c r="L202" s="126" t="str">
        <f aca="false">IF(IFERROR(INDEX(tsk_Name,GanttView[[#This Row],[_Row]])="",TRUE()),"",INDEX(tsk_Show,GanttView[[#This Row],[_Row]])&amp;"")</f>
        <v/>
      </c>
      <c r="M202" s="130" t="n">
        <f aca="false">ROW()-ROW(GanttView[[#Headers],[ID]])</f>
        <v>197</v>
      </c>
      <c r="N202" s="131" t="b">
        <f aca="false">IF(IFERROR(INDEX(tsk_Name,GanttView[[#This Row],[_Row]])="",TRUE()),FALSE(),INDEX(tsk_IsSummary,GanttView[[#This Row],[_Row]]))</f>
        <v>0</v>
      </c>
      <c r="O202" s="131" t="b">
        <f aca="false">IF(IFERROR(INDEX(tsk_Name,GanttView[[#This Row],[_Row]])="",TRUE()),FALSE(),AND(INDEX(tsk_IsLeaf,GanttView[[#This Row],[_Row]])=1,N(INDEX(tsk_Duration,GanttView[[#This Row],[_Row]]))=0))</f>
        <v>0</v>
      </c>
      <c r="P202" s="132" t="n">
        <f aca="false">IF(IFERROR(INDEX(tsk_Name,GanttView[[#This Row],[_Row]])="",TRUE()),0,IF(AND(INDEX(tsk_IsLeaf,GanttView[[#This Row],[_Row]])=1,NOT(GanttView[[#This Row],[_IsMilestone]]),N(GanttView[[#This Row],[%]])&gt;0),GanttView[[#This Row],[Forecast Start]],0))</f>
        <v>0</v>
      </c>
      <c r="Q202" s="132" t="n">
        <f aca="false">IF(GanttView[[#This Row],[_DoneFrom]]=0,0,IF(GanttView[[#This Row],[%]]&gt;=1,GanttView[[#This Row],[Forecast Finish]],MAX(GanttView[[#This Row],[_DoneFrom]],GanttView[[#This Row],[Forecast Start]]+ROUND((GanttView[[#This Row],[Forecast Finish]]-GanttView[[#This Row],[Forecast Start]]+1)*GanttView[[#This Row],[%]],0)-1)))</f>
        <v>0</v>
      </c>
      <c r="R202" s="132" t="n">
        <f aca="false">IF(IFERROR(INDEX(tsk_Name,GanttView[[#This Row],[_Row]])="",TRUE()),0,IF(OR(INDEX(tsk_IsLeaf,GanttView[[#This Row],[_Row]])&lt;&gt;1,GanttView[[#This Row],[_IsMilestone]],N(GanttView[[#This Row],[%]])&gt;=1),0,IF(GanttView[[#This Row],[_DoneTo]]&gt;0,GanttView[[#This Row],[_DoneTo]]+1,GanttView[[#This Row],[Forecast Start]])))</f>
        <v>0</v>
      </c>
      <c r="S202" s="132" t="n">
        <f aca="false">IF(GanttView[[#This Row],[_RemFrom]]=0,0,GanttView[[#This Row],[Forecast Finish]])</f>
        <v>0</v>
      </c>
      <c r="T202" s="131" t="b">
        <f aca="false">IF(IFERROR(INDEX(tsk_Name,GanttView[[#This Row],[_Row]])="",TRUE()),FALSE(),N(INDEX(tsk_Variance,GanttView[[#This Row],[_Row]]))&gt;0)</f>
        <v>0</v>
      </c>
      <c r="U202" s="132" t="n">
        <f aca="false">IF(IFERROR(INDEX(tsk_Name,GanttView[[#This Row],[_Row]])="",TRUE()),0,N(INDEX(tsk_Deadline,GanttView[[#This Row],[_Row]])))</f>
        <v>0</v>
      </c>
      <c r="V202" s="131" t="b">
        <f aca="false">IF(IFERROR(INDEX(tsk_Name,GanttView[[#This Row],[_Row]])="",TRUE()),FALSE(),INDEX(tsk_Critical,GanttView[[#This Row],[_Row]])="Yes")</f>
        <v>0</v>
      </c>
    </row>
    <row r="203" customFormat="false" ht="15" hidden="false" customHeight="false" outlineLevel="0" collapsed="false">
      <c r="A203" s="126" t="str">
        <f aca="false">IF(IFERROR(INDEX(tsk_Name,GanttView[[#This Row],[_Row]])="",TRUE()),"",INDEX(tsk_ID,GanttView[[#This Row],[_Row]]))</f>
        <v/>
      </c>
      <c r="B203" s="126" t="str">
        <f aca="false">IF(IFERROR(INDEX(tsk_Name,GanttView[[#This Row],[_Row]])="",TRUE()),"",INDEX(tsk_WBS,GanttView[[#This Row],[_Row]]))</f>
        <v/>
      </c>
      <c r="C203" s="127" t="str">
        <f aca="false">IF(IFERROR(INDEX(tsk_Name,GanttView[[#This Row],[_Row]])="",TRUE()),"",REPT("    ",INDEX(tsk_Level,GanttView[[#This Row],[_Row]])-1)&amp;INDEX(tsk_Name,GanttView[[#This Row],[_Row]]))</f>
        <v/>
      </c>
      <c r="D203" s="126" t="str">
        <f aca="false">IF(IFERROR(INDEX(tsk_Name,GanttView[[#This Row],[_Row]])="",TRUE()),"",IF(INDEX(tsk_IsSummary,GanttView[[#This Row],[_Row]]),NETWORKDAYS.INTL(INDEX(tsk_FcStart,GanttView[[#This Row],[_Row]]),INDEX(tsk_FcFinish,GanttView[[#This Row],[_Row]]),WorkWeek,Holidays),N(INDEX(tsk_Duration,GanttView[[#This Row],[_Row]]))))</f>
        <v/>
      </c>
      <c r="E203" s="128" t="str">
        <f aca="false">IF(IFERROR(INDEX(tsk_Name,GanttView[[#This Row],[_Row]])="",TRUE()),"",INDEX(tsk_PlanStart,GanttView[[#This Row],[_Row]]))</f>
        <v/>
      </c>
      <c r="F203" s="128" t="str">
        <f aca="false">IF(IFERROR(INDEX(tsk_Name,GanttView[[#This Row],[_Row]])="",TRUE()),"",INDEX(tsk_PlanFinish,GanttView[[#This Row],[_Row]]))</f>
        <v/>
      </c>
      <c r="G203" s="128" t="str">
        <f aca="false">IF(IFERROR(INDEX(tsk_Name,GanttView[[#This Row],[_Row]])="",TRUE()),"",INDEX(tsk_FcStart,GanttView[[#This Row],[_Row]]))</f>
        <v/>
      </c>
      <c r="H203" s="128" t="str">
        <f aca="false">IF(IFERROR(INDEX(tsk_Name,GanttView[[#This Row],[_Row]])="",TRUE()),"",INDEX(tsk_FcFinish,GanttView[[#This Row],[_Row]]))</f>
        <v/>
      </c>
      <c r="I203" s="129" t="str">
        <f aca="false">IF(IFERROR(INDEX(tsk_Name,GanttView[[#This Row],[_Row]])="",TRUE()),"",INDEX(tsk_Progress,GanttView[[#This Row],[_Row]]))</f>
        <v/>
      </c>
      <c r="J203" s="127" t="str">
        <f aca="false">IF(IFERROR(INDEX(tsk_Name,GanttView[[#This Row],[_Row]])="",TRUE()),"",INDEX(tsk_ResourceNames,GanttView[[#This Row],[_Row]])&amp;"")</f>
        <v/>
      </c>
      <c r="K203" s="126" t="str">
        <f aca="false">IF(IFERROR(INDEX(tsk_Name,GanttView[[#This Row],[_Row]])="",TRUE()),"",INDEX(tsk_Status,GanttView[[#This Row],[_Row]]))</f>
        <v/>
      </c>
      <c r="L203" s="126" t="str">
        <f aca="false">IF(IFERROR(INDEX(tsk_Name,GanttView[[#This Row],[_Row]])="",TRUE()),"",INDEX(tsk_Show,GanttView[[#This Row],[_Row]])&amp;"")</f>
        <v/>
      </c>
      <c r="M203" s="130" t="n">
        <f aca="false">ROW()-ROW(GanttView[[#Headers],[ID]])</f>
        <v>198</v>
      </c>
      <c r="N203" s="131" t="b">
        <f aca="false">IF(IFERROR(INDEX(tsk_Name,GanttView[[#This Row],[_Row]])="",TRUE()),FALSE(),INDEX(tsk_IsSummary,GanttView[[#This Row],[_Row]]))</f>
        <v>0</v>
      </c>
      <c r="O203" s="131" t="b">
        <f aca="false">IF(IFERROR(INDEX(tsk_Name,GanttView[[#This Row],[_Row]])="",TRUE()),FALSE(),AND(INDEX(tsk_IsLeaf,GanttView[[#This Row],[_Row]])=1,N(INDEX(tsk_Duration,GanttView[[#This Row],[_Row]]))=0))</f>
        <v>0</v>
      </c>
      <c r="P203" s="132" t="n">
        <f aca="false">IF(IFERROR(INDEX(tsk_Name,GanttView[[#This Row],[_Row]])="",TRUE()),0,IF(AND(INDEX(tsk_IsLeaf,GanttView[[#This Row],[_Row]])=1,NOT(GanttView[[#This Row],[_IsMilestone]]),N(GanttView[[#This Row],[%]])&gt;0),GanttView[[#This Row],[Forecast Start]],0))</f>
        <v>0</v>
      </c>
      <c r="Q203" s="132" t="n">
        <f aca="false">IF(GanttView[[#This Row],[_DoneFrom]]=0,0,IF(GanttView[[#This Row],[%]]&gt;=1,GanttView[[#This Row],[Forecast Finish]],MAX(GanttView[[#This Row],[_DoneFrom]],GanttView[[#This Row],[Forecast Start]]+ROUND((GanttView[[#This Row],[Forecast Finish]]-GanttView[[#This Row],[Forecast Start]]+1)*GanttView[[#This Row],[%]],0)-1)))</f>
        <v>0</v>
      </c>
      <c r="R203" s="132" t="n">
        <f aca="false">IF(IFERROR(INDEX(tsk_Name,GanttView[[#This Row],[_Row]])="",TRUE()),0,IF(OR(INDEX(tsk_IsLeaf,GanttView[[#This Row],[_Row]])&lt;&gt;1,GanttView[[#This Row],[_IsMilestone]],N(GanttView[[#This Row],[%]])&gt;=1),0,IF(GanttView[[#This Row],[_DoneTo]]&gt;0,GanttView[[#This Row],[_DoneTo]]+1,GanttView[[#This Row],[Forecast Start]])))</f>
        <v>0</v>
      </c>
      <c r="S203" s="132" t="n">
        <f aca="false">IF(GanttView[[#This Row],[_RemFrom]]=0,0,GanttView[[#This Row],[Forecast Finish]])</f>
        <v>0</v>
      </c>
      <c r="T203" s="131" t="b">
        <f aca="false">IF(IFERROR(INDEX(tsk_Name,GanttView[[#This Row],[_Row]])="",TRUE()),FALSE(),N(INDEX(tsk_Variance,GanttView[[#This Row],[_Row]]))&gt;0)</f>
        <v>0</v>
      </c>
      <c r="U203" s="132" t="n">
        <f aca="false">IF(IFERROR(INDEX(tsk_Name,GanttView[[#This Row],[_Row]])="",TRUE()),0,N(INDEX(tsk_Deadline,GanttView[[#This Row],[_Row]])))</f>
        <v>0</v>
      </c>
      <c r="V203" s="131" t="b">
        <f aca="false">IF(IFERROR(INDEX(tsk_Name,GanttView[[#This Row],[_Row]])="",TRUE()),FALSE(),INDEX(tsk_Critical,GanttView[[#This Row],[_Row]])="Yes")</f>
        <v>0</v>
      </c>
    </row>
    <row r="204" customFormat="false" ht="15" hidden="false" customHeight="false" outlineLevel="0" collapsed="false">
      <c r="A204" s="126" t="str">
        <f aca="false">IF(IFERROR(INDEX(tsk_Name,GanttView[[#This Row],[_Row]])="",TRUE()),"",INDEX(tsk_ID,GanttView[[#This Row],[_Row]]))</f>
        <v/>
      </c>
      <c r="B204" s="126" t="str">
        <f aca="false">IF(IFERROR(INDEX(tsk_Name,GanttView[[#This Row],[_Row]])="",TRUE()),"",INDEX(tsk_WBS,GanttView[[#This Row],[_Row]]))</f>
        <v/>
      </c>
      <c r="C204" s="127" t="str">
        <f aca="false">IF(IFERROR(INDEX(tsk_Name,GanttView[[#This Row],[_Row]])="",TRUE()),"",REPT("    ",INDEX(tsk_Level,GanttView[[#This Row],[_Row]])-1)&amp;INDEX(tsk_Name,GanttView[[#This Row],[_Row]]))</f>
        <v/>
      </c>
      <c r="D204" s="126" t="str">
        <f aca="false">IF(IFERROR(INDEX(tsk_Name,GanttView[[#This Row],[_Row]])="",TRUE()),"",IF(INDEX(tsk_IsSummary,GanttView[[#This Row],[_Row]]),NETWORKDAYS.INTL(INDEX(tsk_FcStart,GanttView[[#This Row],[_Row]]),INDEX(tsk_FcFinish,GanttView[[#This Row],[_Row]]),WorkWeek,Holidays),N(INDEX(tsk_Duration,GanttView[[#This Row],[_Row]]))))</f>
        <v/>
      </c>
      <c r="E204" s="128" t="str">
        <f aca="false">IF(IFERROR(INDEX(tsk_Name,GanttView[[#This Row],[_Row]])="",TRUE()),"",INDEX(tsk_PlanStart,GanttView[[#This Row],[_Row]]))</f>
        <v/>
      </c>
      <c r="F204" s="128" t="str">
        <f aca="false">IF(IFERROR(INDEX(tsk_Name,GanttView[[#This Row],[_Row]])="",TRUE()),"",INDEX(tsk_PlanFinish,GanttView[[#This Row],[_Row]]))</f>
        <v/>
      </c>
      <c r="G204" s="128" t="str">
        <f aca="false">IF(IFERROR(INDEX(tsk_Name,GanttView[[#This Row],[_Row]])="",TRUE()),"",INDEX(tsk_FcStart,GanttView[[#This Row],[_Row]]))</f>
        <v/>
      </c>
      <c r="H204" s="128" t="str">
        <f aca="false">IF(IFERROR(INDEX(tsk_Name,GanttView[[#This Row],[_Row]])="",TRUE()),"",INDEX(tsk_FcFinish,GanttView[[#This Row],[_Row]]))</f>
        <v/>
      </c>
      <c r="I204" s="129" t="str">
        <f aca="false">IF(IFERROR(INDEX(tsk_Name,GanttView[[#This Row],[_Row]])="",TRUE()),"",INDEX(tsk_Progress,GanttView[[#This Row],[_Row]]))</f>
        <v/>
      </c>
      <c r="J204" s="127" t="str">
        <f aca="false">IF(IFERROR(INDEX(tsk_Name,GanttView[[#This Row],[_Row]])="",TRUE()),"",INDEX(tsk_ResourceNames,GanttView[[#This Row],[_Row]])&amp;"")</f>
        <v/>
      </c>
      <c r="K204" s="126" t="str">
        <f aca="false">IF(IFERROR(INDEX(tsk_Name,GanttView[[#This Row],[_Row]])="",TRUE()),"",INDEX(tsk_Status,GanttView[[#This Row],[_Row]]))</f>
        <v/>
      </c>
      <c r="L204" s="126" t="str">
        <f aca="false">IF(IFERROR(INDEX(tsk_Name,GanttView[[#This Row],[_Row]])="",TRUE()),"",INDEX(tsk_Show,GanttView[[#This Row],[_Row]])&amp;"")</f>
        <v/>
      </c>
      <c r="M204" s="130" t="n">
        <f aca="false">ROW()-ROW(GanttView[[#Headers],[ID]])</f>
        <v>199</v>
      </c>
      <c r="N204" s="131" t="b">
        <f aca="false">IF(IFERROR(INDEX(tsk_Name,GanttView[[#This Row],[_Row]])="",TRUE()),FALSE(),INDEX(tsk_IsSummary,GanttView[[#This Row],[_Row]]))</f>
        <v>0</v>
      </c>
      <c r="O204" s="131" t="b">
        <f aca="false">IF(IFERROR(INDEX(tsk_Name,GanttView[[#This Row],[_Row]])="",TRUE()),FALSE(),AND(INDEX(tsk_IsLeaf,GanttView[[#This Row],[_Row]])=1,N(INDEX(tsk_Duration,GanttView[[#This Row],[_Row]]))=0))</f>
        <v>0</v>
      </c>
      <c r="P204" s="132" t="n">
        <f aca="false">IF(IFERROR(INDEX(tsk_Name,GanttView[[#This Row],[_Row]])="",TRUE()),0,IF(AND(INDEX(tsk_IsLeaf,GanttView[[#This Row],[_Row]])=1,NOT(GanttView[[#This Row],[_IsMilestone]]),N(GanttView[[#This Row],[%]])&gt;0),GanttView[[#This Row],[Forecast Start]],0))</f>
        <v>0</v>
      </c>
      <c r="Q204" s="132" t="n">
        <f aca="false">IF(GanttView[[#This Row],[_DoneFrom]]=0,0,IF(GanttView[[#This Row],[%]]&gt;=1,GanttView[[#This Row],[Forecast Finish]],MAX(GanttView[[#This Row],[_DoneFrom]],GanttView[[#This Row],[Forecast Start]]+ROUND((GanttView[[#This Row],[Forecast Finish]]-GanttView[[#This Row],[Forecast Start]]+1)*GanttView[[#This Row],[%]],0)-1)))</f>
        <v>0</v>
      </c>
      <c r="R204" s="132" t="n">
        <f aca="false">IF(IFERROR(INDEX(tsk_Name,GanttView[[#This Row],[_Row]])="",TRUE()),0,IF(OR(INDEX(tsk_IsLeaf,GanttView[[#This Row],[_Row]])&lt;&gt;1,GanttView[[#This Row],[_IsMilestone]],N(GanttView[[#This Row],[%]])&gt;=1),0,IF(GanttView[[#This Row],[_DoneTo]]&gt;0,GanttView[[#This Row],[_DoneTo]]+1,GanttView[[#This Row],[Forecast Start]])))</f>
        <v>0</v>
      </c>
      <c r="S204" s="132" t="n">
        <f aca="false">IF(GanttView[[#This Row],[_RemFrom]]=0,0,GanttView[[#This Row],[Forecast Finish]])</f>
        <v>0</v>
      </c>
      <c r="T204" s="131" t="b">
        <f aca="false">IF(IFERROR(INDEX(tsk_Name,GanttView[[#This Row],[_Row]])="",TRUE()),FALSE(),N(INDEX(tsk_Variance,GanttView[[#This Row],[_Row]]))&gt;0)</f>
        <v>0</v>
      </c>
      <c r="U204" s="132" t="n">
        <f aca="false">IF(IFERROR(INDEX(tsk_Name,GanttView[[#This Row],[_Row]])="",TRUE()),0,N(INDEX(tsk_Deadline,GanttView[[#This Row],[_Row]])))</f>
        <v>0</v>
      </c>
      <c r="V204" s="131" t="b">
        <f aca="false">IF(IFERROR(INDEX(tsk_Name,GanttView[[#This Row],[_Row]])="",TRUE()),FALSE(),INDEX(tsk_Critical,GanttView[[#This Row],[_Row]])="Yes")</f>
        <v>0</v>
      </c>
    </row>
    <row r="205" customFormat="false" ht="15" hidden="false" customHeight="false" outlineLevel="0" collapsed="false">
      <c r="A205" s="126" t="str">
        <f aca="false">IF(IFERROR(INDEX(tsk_Name,GanttView[[#This Row],[_Row]])="",TRUE()),"",INDEX(tsk_ID,GanttView[[#This Row],[_Row]]))</f>
        <v/>
      </c>
      <c r="B205" s="126" t="str">
        <f aca="false">IF(IFERROR(INDEX(tsk_Name,GanttView[[#This Row],[_Row]])="",TRUE()),"",INDEX(tsk_WBS,GanttView[[#This Row],[_Row]]))</f>
        <v/>
      </c>
      <c r="C205" s="127" t="str">
        <f aca="false">IF(IFERROR(INDEX(tsk_Name,GanttView[[#This Row],[_Row]])="",TRUE()),"",REPT("    ",INDEX(tsk_Level,GanttView[[#This Row],[_Row]])-1)&amp;INDEX(tsk_Name,GanttView[[#This Row],[_Row]]))</f>
        <v/>
      </c>
      <c r="D205" s="126" t="str">
        <f aca="false">IF(IFERROR(INDEX(tsk_Name,GanttView[[#This Row],[_Row]])="",TRUE()),"",IF(INDEX(tsk_IsSummary,GanttView[[#This Row],[_Row]]),NETWORKDAYS.INTL(INDEX(tsk_FcStart,GanttView[[#This Row],[_Row]]),INDEX(tsk_FcFinish,GanttView[[#This Row],[_Row]]),WorkWeek,Holidays),N(INDEX(tsk_Duration,GanttView[[#This Row],[_Row]]))))</f>
        <v/>
      </c>
      <c r="E205" s="128" t="str">
        <f aca="false">IF(IFERROR(INDEX(tsk_Name,GanttView[[#This Row],[_Row]])="",TRUE()),"",INDEX(tsk_PlanStart,GanttView[[#This Row],[_Row]]))</f>
        <v/>
      </c>
      <c r="F205" s="128" t="str">
        <f aca="false">IF(IFERROR(INDEX(tsk_Name,GanttView[[#This Row],[_Row]])="",TRUE()),"",INDEX(tsk_PlanFinish,GanttView[[#This Row],[_Row]]))</f>
        <v/>
      </c>
      <c r="G205" s="128" t="str">
        <f aca="false">IF(IFERROR(INDEX(tsk_Name,GanttView[[#This Row],[_Row]])="",TRUE()),"",INDEX(tsk_FcStart,GanttView[[#This Row],[_Row]]))</f>
        <v/>
      </c>
      <c r="H205" s="128" t="str">
        <f aca="false">IF(IFERROR(INDEX(tsk_Name,GanttView[[#This Row],[_Row]])="",TRUE()),"",INDEX(tsk_FcFinish,GanttView[[#This Row],[_Row]]))</f>
        <v/>
      </c>
      <c r="I205" s="129" t="str">
        <f aca="false">IF(IFERROR(INDEX(tsk_Name,GanttView[[#This Row],[_Row]])="",TRUE()),"",INDEX(tsk_Progress,GanttView[[#This Row],[_Row]]))</f>
        <v/>
      </c>
      <c r="J205" s="127" t="str">
        <f aca="false">IF(IFERROR(INDEX(tsk_Name,GanttView[[#This Row],[_Row]])="",TRUE()),"",INDEX(tsk_ResourceNames,GanttView[[#This Row],[_Row]])&amp;"")</f>
        <v/>
      </c>
      <c r="K205" s="126" t="str">
        <f aca="false">IF(IFERROR(INDEX(tsk_Name,GanttView[[#This Row],[_Row]])="",TRUE()),"",INDEX(tsk_Status,GanttView[[#This Row],[_Row]]))</f>
        <v/>
      </c>
      <c r="L205" s="126" t="str">
        <f aca="false">IF(IFERROR(INDEX(tsk_Name,GanttView[[#This Row],[_Row]])="",TRUE()),"",INDEX(tsk_Show,GanttView[[#This Row],[_Row]])&amp;"")</f>
        <v/>
      </c>
      <c r="M205" s="130" t="n">
        <f aca="false">ROW()-ROW(GanttView[[#Headers],[ID]])</f>
        <v>200</v>
      </c>
      <c r="N205" s="131" t="b">
        <f aca="false">IF(IFERROR(INDEX(tsk_Name,GanttView[[#This Row],[_Row]])="",TRUE()),FALSE(),INDEX(tsk_IsSummary,GanttView[[#This Row],[_Row]]))</f>
        <v>0</v>
      </c>
      <c r="O205" s="131" t="b">
        <f aca="false">IF(IFERROR(INDEX(tsk_Name,GanttView[[#This Row],[_Row]])="",TRUE()),FALSE(),AND(INDEX(tsk_IsLeaf,GanttView[[#This Row],[_Row]])=1,N(INDEX(tsk_Duration,GanttView[[#This Row],[_Row]]))=0))</f>
        <v>0</v>
      </c>
      <c r="P205" s="132" t="n">
        <f aca="false">IF(IFERROR(INDEX(tsk_Name,GanttView[[#This Row],[_Row]])="",TRUE()),0,IF(AND(INDEX(tsk_IsLeaf,GanttView[[#This Row],[_Row]])=1,NOT(GanttView[[#This Row],[_IsMilestone]]),N(GanttView[[#This Row],[%]])&gt;0),GanttView[[#This Row],[Forecast Start]],0))</f>
        <v>0</v>
      </c>
      <c r="Q205" s="132" t="n">
        <f aca="false">IF(GanttView[[#This Row],[_DoneFrom]]=0,0,IF(GanttView[[#This Row],[%]]&gt;=1,GanttView[[#This Row],[Forecast Finish]],MAX(GanttView[[#This Row],[_DoneFrom]],GanttView[[#This Row],[Forecast Start]]+ROUND((GanttView[[#This Row],[Forecast Finish]]-GanttView[[#This Row],[Forecast Start]]+1)*GanttView[[#This Row],[%]],0)-1)))</f>
        <v>0</v>
      </c>
      <c r="R205" s="132" t="n">
        <f aca="false">IF(IFERROR(INDEX(tsk_Name,GanttView[[#This Row],[_Row]])="",TRUE()),0,IF(OR(INDEX(tsk_IsLeaf,GanttView[[#This Row],[_Row]])&lt;&gt;1,GanttView[[#This Row],[_IsMilestone]],N(GanttView[[#This Row],[%]])&gt;=1),0,IF(GanttView[[#This Row],[_DoneTo]]&gt;0,GanttView[[#This Row],[_DoneTo]]+1,GanttView[[#This Row],[Forecast Start]])))</f>
        <v>0</v>
      </c>
      <c r="S205" s="132" t="n">
        <f aca="false">IF(GanttView[[#This Row],[_RemFrom]]=0,0,GanttView[[#This Row],[Forecast Finish]])</f>
        <v>0</v>
      </c>
      <c r="T205" s="131" t="b">
        <f aca="false">IF(IFERROR(INDEX(tsk_Name,GanttView[[#This Row],[_Row]])="",TRUE()),FALSE(),N(INDEX(tsk_Variance,GanttView[[#This Row],[_Row]]))&gt;0)</f>
        <v>0</v>
      </c>
      <c r="U205" s="132" t="n">
        <f aca="false">IF(IFERROR(INDEX(tsk_Name,GanttView[[#This Row],[_Row]])="",TRUE()),0,N(INDEX(tsk_Deadline,GanttView[[#This Row],[_Row]])))</f>
        <v>0</v>
      </c>
      <c r="V205" s="131" t="b">
        <f aca="false">IF(IFERROR(INDEX(tsk_Name,GanttView[[#This Row],[_Row]])="",TRUE()),FALSE(),INDEX(tsk_Critical,GanttView[[#This Row],[_Row]])="Yes")</f>
        <v>0</v>
      </c>
    </row>
  </sheetData>
  <conditionalFormatting sqref="X6:FQ205">
    <cfRule type="expression" priority="2" aboveAverage="0" equalAverage="0" bottom="0" percent="0" rank="0" text="" dxfId="24">
      <formula>AND($U6&gt;0,$U6&gt;=X$5,$U6&lt;IF(GanttPeriod&lt;28,X$5+GanttPeriod,EDATE(X$5,IF(GanttPeriod&gt;=90,3,1))))</formula>
    </cfRule>
    <cfRule type="expression" priority="3" aboveAverage="0" equalAverage="0" bottom="0" percent="0" rank="0" text="" dxfId="44">
      <formula>AND($N6,AND($G6&gt;0,X$5&lt;=$H6,IF(GanttPeriod&lt;28,X$5+GanttPeriod,EDATE(X$5,IF(GanttPeriod&gt;=90,3,1)))-1&gt;=$G6))</formula>
    </cfRule>
    <cfRule type="expression" priority="4" aboveAverage="0" equalAverage="0" bottom="0" percent="0" rank="0" text="" dxfId="25">
      <formula>AND($O6,AND($G6&gt;0,$G6&gt;=X$5,$G6&lt;IF(GanttPeriod&lt;28,X$5+GanttPeriod,EDATE(X$5,IF(GanttPeriod&gt;=90,3,1)))))</formula>
    </cfRule>
    <cfRule type="expression" priority="5" aboveAverage="0" equalAverage="0" bottom="0" percent="0" rank="0" text="" dxfId="19">
      <formula>AND($P6&gt;0,X$5&lt;=$Q6,IF(GanttPeriod&lt;28,X$5+GanttPeriod,EDATE(X$5,IF(GanttPeriod&gt;=90,3,1)))-1&gt;=$P6)</formula>
    </cfRule>
    <cfRule type="expression" priority="6" aboveAverage="0" equalAverage="0" bottom="0" percent="0" rank="0" text="" dxfId="45">
      <formula>AND($V6,AND($R6&gt;0,X$5&lt;=$S6,IF(GanttPeriod&lt;28,X$5+GanttPeriod,EDATE(X$5,IF(GanttPeriod&gt;=90,3,1)))-1&gt;=$R6))</formula>
    </cfRule>
    <cfRule type="expression" priority="7" aboveAverage="0" equalAverage="0" bottom="0" percent="0" rank="0" text="" dxfId="20">
      <formula>AND($T6,AND($R6&gt;0,X$5&lt;=$S6,IF(GanttPeriod&lt;28,X$5+GanttPeriod,EDATE(X$5,IF(GanttPeriod&gt;=90,3,1)))-1&gt;=$R6))</formula>
    </cfRule>
    <cfRule type="expression" priority="8" aboveAverage="0" equalAverage="0" bottom="0" percent="0" rank="0" text="" dxfId="46">
      <formula>AND($R6&gt;0,X$5&lt;=$S6,IF(GanttPeriod&lt;28,X$5+GanttPeriod,EDATE(X$5,IF(GanttPeriod&gt;=90,3,1)))-1&gt;=$R6)</formula>
    </cfRule>
    <cfRule type="expression" priority="9" aboveAverage="0" equalAverage="0" bottom="0" percent="0" rank="0" text="" dxfId="47">
      <formula>AND(ISNUMBER($E6),AND($E6&gt;0,X$5&lt;=$F6,IF(GanttPeriod&lt;28,X$5+GanttPeriod,EDATE(X$5,IF(GanttPeriod&gt;=90,3,1)))-1&gt;=$E6))</formula>
    </cfRule>
    <cfRule type="expression" priority="10" aboveAverage="0" equalAverage="0" bottom="0" percent="0" rank="0" text="" dxfId="23">
      <formula>AND(StatusDate&gt;0,StatusDate&gt;=X$5,StatusDate&lt;IF(GanttPeriod&lt;28,X$5+GanttPeriod,EDATE(X$5,IF(GanttPeriod&gt;=90,3,1))))</formula>
    </cfRule>
    <cfRule type="expression" priority="11" aboveAverage="0" equalAverage="0" bottom="0" percent="0" rank="0" text="" dxfId="48">
      <formula>AND(GanttPeriod=1,NETWORKDAYS.INTL(X$5,X$5,WorkWeek,Holidays)=0)</formula>
    </cfRule>
  </conditionalFormatting>
  <conditionalFormatting sqref="X5:FQ5">
    <cfRule type="expression" priority="12" aboveAverage="0" equalAverage="0" bottom="0" percent="0" rank="0" text="" dxfId="24">
      <formula>AND(StatusDate&gt;0,StatusDate&gt;=X$5,StatusDate&lt;IF(GanttPeriod&lt;28,X$5+GanttPeriod,EDATE(X$5,IF(GanttPeriod&gt;=90,3,1))))</formula>
    </cfRule>
    <cfRule type="expression" priority="13" aboveAverage="0" equalAverage="0" bottom="0" percent="0" rank="0" text="" dxfId="49">
      <formula>GanttPeriod&gt;=28</formula>
    </cfRule>
  </conditionalFormatting>
  <conditionalFormatting sqref="A6:K205">
    <cfRule type="expression" priority="14" aboveAverage="0" equalAverage="0" bottom="0" percent="0" rank="0" text="" dxfId="37">
      <formula>$N6</formula>
    </cfRule>
  </conditionalFormatting>
  <conditionalFormatting sqref="K6:K205">
    <cfRule type="expression" priority="15" aboveAverage="0" equalAverage="0" bottom="0" percent="0" rank="0" text="" dxfId="13">
      <formula>$K6="Complete"</formula>
    </cfRule>
    <cfRule type="expression" priority="16" aboveAverage="0" equalAverage="0" bottom="0" percent="0" rank="0" text="" dxfId="39">
      <formula>$K6="In Progress"</formula>
    </cfRule>
    <cfRule type="expression" priority="17" aboveAverage="0" equalAverage="0" bottom="0" percent="0" rank="0" text="" dxfId="27">
      <formula>$K6="Behind"</formula>
    </cfRule>
    <cfRule type="expression" priority="18" aboveAverage="0" equalAverage="0" bottom="0" percent="0" rank="0" text="" dxfId="35">
      <formula>$K6="Late Start"</formula>
    </cfRule>
    <cfRule type="expression" priority="19" aboveAverage="0" equalAverage="0" bottom="0" percent="0" rank="0" text="" dxfId="40">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32" t="s">
        <v>611</v>
      </c>
    </row>
    <row r="2" customFormat="false" ht="15" hidden="false" customHeight="false" outlineLevel="0" collapsed="false">
      <c r="A2" s="2" t="s">
        <v>612</v>
      </c>
    </row>
    <row r="5" customFormat="false" ht="15" hidden="false" customHeight="false" outlineLevel="0" collapsed="false">
      <c r="B5" s="50" t="s">
        <v>613</v>
      </c>
      <c r="C5" s="50" t="s">
        <v>614</v>
      </c>
      <c r="D5" s="50" t="s">
        <v>615</v>
      </c>
      <c r="E5" s="50" t="s">
        <v>305</v>
      </c>
      <c r="F5" s="50" t="s">
        <v>261</v>
      </c>
      <c r="G5" s="50" t="s">
        <v>616</v>
      </c>
      <c r="H5" s="50" t="s">
        <v>617</v>
      </c>
      <c r="I5" s="15" t="s">
        <v>262</v>
      </c>
      <c r="J5" s="15" t="s">
        <v>263</v>
      </c>
      <c r="K5" s="15" t="s">
        <v>266</v>
      </c>
      <c r="L5" s="15" t="s">
        <v>267</v>
      </c>
      <c r="M5" s="50" t="s">
        <v>240</v>
      </c>
    </row>
    <row r="6" customFormat="false" ht="15" hidden="false" customHeight="false" outlineLevel="0" collapsed="false">
      <c r="B6" s="53"/>
      <c r="C6" s="53"/>
      <c r="D6" s="53"/>
      <c r="E6" s="53"/>
      <c r="F6" s="102"/>
      <c r="G6" s="112"/>
      <c r="H6" s="53"/>
      <c r="I6" s="108" t="str">
        <f aca="false">IF(ResourceTable[[#This Row],[Resource Name]]="","",COUNTIFS(tsk_Resource,ResourceTable[[#This Row],[Resource Name]],tsk_IsLeaf,1)+COUNTIFS(asg_Resource,ResourceTable[[#This Row],[Resource Name]],asg_Valid,1))</f>
        <v/>
      </c>
      <c r="J6" s="110" t="str">
        <f aca="false">IF(ResourceTable[[#This Row],[Resource Name]]="","",SUMIFS(tsk_LeafWork,tsk_Resource,ResourceTable[[#This Row],[Resource Name]])+SUMIFS(asg_Work,asg_Resource,ResourceTable[[#This Row],[Resource Name]]))</f>
        <v/>
      </c>
      <c r="K6" s="111" t="str">
        <f aca="false">IF(ResourceTable[[#This Row],[Resource Name]]="","",SUMIFS(tsk_LeafCost,tsk_Resource,ResourceTable[[#This Row],[Resource Name]])+SUMIFS(asg_Cost,asg_Resource,ResourceTable[[#This Row],[Resource Name]]))</f>
        <v/>
      </c>
      <c r="L6" s="111" t="str">
        <f aca="false">IF(ResourceTable[[#This Row],[Resource Name]]="","",SUMIFS(tsk_ResourceAC,tsk_Resource,ResourceTable[[#This Row],[Resource Name]])+SUMIFS(asg_ActualCost,asg_Resource,ResourceTable[[#This Row],[Resource Name]]))</f>
        <v/>
      </c>
      <c r="M6" s="53"/>
    </row>
    <row r="7" customFormat="false" ht="15" hidden="false" customHeight="false" outlineLevel="0" collapsed="false">
      <c r="B7" s="53"/>
      <c r="C7" s="53"/>
      <c r="D7" s="53"/>
      <c r="E7" s="53"/>
      <c r="F7" s="102"/>
      <c r="G7" s="112"/>
      <c r="H7" s="53"/>
      <c r="I7" s="108" t="str">
        <f aca="false">IF(ResourceTable[[#This Row],[Resource Name]]="","",COUNTIFS(tsk_Resource,ResourceTable[[#This Row],[Resource Name]],tsk_IsLeaf,1)+COUNTIFS(asg_Resource,ResourceTable[[#This Row],[Resource Name]],asg_Valid,1))</f>
        <v/>
      </c>
      <c r="J7" s="110" t="str">
        <f aca="false">IF(ResourceTable[[#This Row],[Resource Name]]="","",SUMIFS(tsk_LeafWork,tsk_Resource,ResourceTable[[#This Row],[Resource Name]])+SUMIFS(asg_Work,asg_Resource,ResourceTable[[#This Row],[Resource Name]]))</f>
        <v/>
      </c>
      <c r="K7" s="111" t="str">
        <f aca="false">IF(ResourceTable[[#This Row],[Resource Name]]="","",SUMIFS(tsk_LeafCost,tsk_Resource,ResourceTable[[#This Row],[Resource Name]])+SUMIFS(asg_Cost,asg_Resource,ResourceTable[[#This Row],[Resource Name]]))</f>
        <v/>
      </c>
      <c r="L7" s="111" t="str">
        <f aca="false">IF(ResourceTable[[#This Row],[Resource Name]]="","",SUMIFS(tsk_ResourceAC,tsk_Resource,ResourceTable[[#This Row],[Resource Name]])+SUMIFS(asg_ActualCost,asg_Resource,ResourceTable[[#This Row],[Resource Name]]))</f>
        <v/>
      </c>
      <c r="M7" s="53"/>
    </row>
    <row r="8" customFormat="false" ht="15" hidden="false" customHeight="false" outlineLevel="0" collapsed="false">
      <c r="B8" s="53"/>
      <c r="C8" s="53"/>
      <c r="D8" s="53"/>
      <c r="E8" s="53"/>
      <c r="F8" s="102"/>
      <c r="G8" s="112"/>
      <c r="H8" s="53"/>
      <c r="I8" s="108" t="str">
        <f aca="false">IF(ResourceTable[[#This Row],[Resource Name]]="","",COUNTIFS(tsk_Resource,ResourceTable[[#This Row],[Resource Name]],tsk_IsLeaf,1)+COUNTIFS(asg_Resource,ResourceTable[[#This Row],[Resource Name]],asg_Valid,1))</f>
        <v/>
      </c>
      <c r="J8" s="110" t="str">
        <f aca="false">IF(ResourceTable[[#This Row],[Resource Name]]="","",SUMIFS(tsk_LeafWork,tsk_Resource,ResourceTable[[#This Row],[Resource Name]])+SUMIFS(asg_Work,asg_Resource,ResourceTable[[#This Row],[Resource Name]]))</f>
        <v/>
      </c>
      <c r="K8" s="111" t="str">
        <f aca="false">IF(ResourceTable[[#This Row],[Resource Name]]="","",SUMIFS(tsk_LeafCost,tsk_Resource,ResourceTable[[#This Row],[Resource Name]])+SUMIFS(asg_Cost,asg_Resource,ResourceTable[[#This Row],[Resource Name]]))</f>
        <v/>
      </c>
      <c r="L8" s="111" t="str">
        <f aca="false">IF(ResourceTable[[#This Row],[Resource Name]]="","",SUMIFS(tsk_ResourceAC,tsk_Resource,ResourceTable[[#This Row],[Resource Name]])+SUMIFS(asg_ActualCost,asg_Resource,ResourceTable[[#This Row],[Resource Name]]))</f>
        <v/>
      </c>
      <c r="M8" s="53"/>
    </row>
    <row r="9" customFormat="false" ht="15" hidden="false" customHeight="false" outlineLevel="0" collapsed="false">
      <c r="B9" s="53"/>
      <c r="C9" s="53"/>
      <c r="D9" s="53"/>
      <c r="E9" s="53"/>
      <c r="F9" s="102"/>
      <c r="G9" s="112"/>
      <c r="H9" s="53"/>
      <c r="I9" s="108" t="str">
        <f aca="false">IF(ResourceTable[[#This Row],[Resource Name]]="","",COUNTIFS(tsk_Resource,ResourceTable[[#This Row],[Resource Name]],tsk_IsLeaf,1)+COUNTIFS(asg_Resource,ResourceTable[[#This Row],[Resource Name]],asg_Valid,1))</f>
        <v/>
      </c>
      <c r="J9" s="110" t="str">
        <f aca="false">IF(ResourceTable[[#This Row],[Resource Name]]="","",SUMIFS(tsk_LeafWork,tsk_Resource,ResourceTable[[#This Row],[Resource Name]])+SUMIFS(asg_Work,asg_Resource,ResourceTable[[#This Row],[Resource Name]]))</f>
        <v/>
      </c>
      <c r="K9" s="111" t="str">
        <f aca="false">IF(ResourceTable[[#This Row],[Resource Name]]="","",SUMIFS(tsk_LeafCost,tsk_Resource,ResourceTable[[#This Row],[Resource Name]])+SUMIFS(asg_Cost,asg_Resource,ResourceTable[[#This Row],[Resource Name]]))</f>
        <v/>
      </c>
      <c r="L9" s="111" t="str">
        <f aca="false">IF(ResourceTable[[#This Row],[Resource Name]]="","",SUMIFS(tsk_ResourceAC,tsk_Resource,ResourceTable[[#This Row],[Resource Name]])+SUMIFS(asg_ActualCost,asg_Resource,ResourceTable[[#This Row],[Resource Name]]))</f>
        <v/>
      </c>
      <c r="M9" s="53"/>
    </row>
    <row r="10" customFormat="false" ht="15" hidden="false" customHeight="false" outlineLevel="0" collapsed="false">
      <c r="B10" s="53"/>
      <c r="C10" s="53"/>
      <c r="D10" s="53"/>
      <c r="E10" s="53"/>
      <c r="F10" s="102"/>
      <c r="G10" s="112"/>
      <c r="H10" s="53"/>
      <c r="I10" s="108" t="str">
        <f aca="false">IF(ResourceTable[[#This Row],[Resource Name]]="","",COUNTIFS(tsk_Resource,ResourceTable[[#This Row],[Resource Name]],tsk_IsLeaf,1)+COUNTIFS(asg_Resource,ResourceTable[[#This Row],[Resource Name]],asg_Valid,1))</f>
        <v/>
      </c>
      <c r="J10" s="110" t="str">
        <f aca="false">IF(ResourceTable[[#This Row],[Resource Name]]="","",SUMIFS(tsk_LeafWork,tsk_Resource,ResourceTable[[#This Row],[Resource Name]])+SUMIFS(asg_Work,asg_Resource,ResourceTable[[#This Row],[Resource Name]]))</f>
        <v/>
      </c>
      <c r="K10" s="111" t="str">
        <f aca="false">IF(ResourceTable[[#This Row],[Resource Name]]="","",SUMIFS(tsk_LeafCost,tsk_Resource,ResourceTable[[#This Row],[Resource Name]])+SUMIFS(asg_Cost,asg_Resource,ResourceTable[[#This Row],[Resource Name]]))</f>
        <v/>
      </c>
      <c r="L10" s="111" t="str">
        <f aca="false">IF(ResourceTable[[#This Row],[Resource Name]]="","",SUMIFS(tsk_ResourceAC,tsk_Resource,ResourceTable[[#This Row],[Resource Name]])+SUMIFS(asg_ActualCost,asg_Resource,ResourceTable[[#This Row],[Resource Name]]))</f>
        <v/>
      </c>
      <c r="M10" s="53"/>
    </row>
    <row r="11" customFormat="false" ht="15" hidden="false" customHeight="false" outlineLevel="0" collapsed="false">
      <c r="B11" s="53"/>
      <c r="C11" s="53"/>
      <c r="D11" s="53"/>
      <c r="E11" s="53"/>
      <c r="F11" s="102"/>
      <c r="G11" s="112"/>
      <c r="H11" s="53"/>
      <c r="I11" s="108" t="str">
        <f aca="false">IF(ResourceTable[[#This Row],[Resource Name]]="","",COUNTIFS(tsk_Resource,ResourceTable[[#This Row],[Resource Name]],tsk_IsLeaf,1)+COUNTIFS(asg_Resource,ResourceTable[[#This Row],[Resource Name]],asg_Valid,1))</f>
        <v/>
      </c>
      <c r="J11" s="110" t="str">
        <f aca="false">IF(ResourceTable[[#This Row],[Resource Name]]="","",SUMIFS(tsk_LeafWork,tsk_Resource,ResourceTable[[#This Row],[Resource Name]])+SUMIFS(asg_Work,asg_Resource,ResourceTable[[#This Row],[Resource Name]]))</f>
        <v/>
      </c>
      <c r="K11" s="111" t="str">
        <f aca="false">IF(ResourceTable[[#This Row],[Resource Name]]="","",SUMIFS(tsk_LeafCost,tsk_Resource,ResourceTable[[#This Row],[Resource Name]])+SUMIFS(asg_Cost,asg_Resource,ResourceTable[[#This Row],[Resource Name]]))</f>
        <v/>
      </c>
      <c r="L11" s="111" t="str">
        <f aca="false">IF(ResourceTable[[#This Row],[Resource Name]]="","",SUMIFS(tsk_ResourceAC,tsk_Resource,ResourceTable[[#This Row],[Resource Name]])+SUMIFS(asg_ActualCost,asg_Resource,ResourceTable[[#This Row],[Resource Name]]))</f>
        <v/>
      </c>
      <c r="M11" s="53"/>
    </row>
    <row r="12" customFormat="false" ht="15" hidden="false" customHeight="false" outlineLevel="0" collapsed="false">
      <c r="B12" s="53"/>
      <c r="C12" s="53"/>
      <c r="D12" s="53"/>
      <c r="E12" s="53"/>
      <c r="F12" s="102"/>
      <c r="G12" s="112"/>
      <c r="H12" s="53"/>
      <c r="I12" s="108" t="str">
        <f aca="false">IF(ResourceTable[[#This Row],[Resource Name]]="","",COUNTIFS(tsk_Resource,ResourceTable[[#This Row],[Resource Name]],tsk_IsLeaf,1)+COUNTIFS(asg_Resource,ResourceTable[[#This Row],[Resource Name]],asg_Valid,1))</f>
        <v/>
      </c>
      <c r="J12" s="110" t="str">
        <f aca="false">IF(ResourceTable[[#This Row],[Resource Name]]="","",SUMIFS(tsk_LeafWork,tsk_Resource,ResourceTable[[#This Row],[Resource Name]])+SUMIFS(asg_Work,asg_Resource,ResourceTable[[#This Row],[Resource Name]]))</f>
        <v/>
      </c>
      <c r="K12" s="111" t="str">
        <f aca="false">IF(ResourceTable[[#This Row],[Resource Name]]="","",SUMIFS(tsk_LeafCost,tsk_Resource,ResourceTable[[#This Row],[Resource Name]])+SUMIFS(asg_Cost,asg_Resource,ResourceTable[[#This Row],[Resource Name]]))</f>
        <v/>
      </c>
      <c r="L12" s="111" t="str">
        <f aca="false">IF(ResourceTable[[#This Row],[Resource Name]]="","",SUMIFS(tsk_ResourceAC,tsk_Resource,ResourceTable[[#This Row],[Resource Name]])+SUMIFS(asg_ActualCost,asg_Resource,ResourceTable[[#This Row],[Resource Name]]))</f>
        <v/>
      </c>
      <c r="M12" s="53"/>
    </row>
    <row r="13" customFormat="false" ht="15" hidden="false" customHeight="false" outlineLevel="0" collapsed="false">
      <c r="B13" s="53"/>
      <c r="C13" s="53"/>
      <c r="D13" s="53"/>
      <c r="E13" s="53"/>
      <c r="F13" s="102"/>
      <c r="G13" s="112"/>
      <c r="H13" s="53"/>
      <c r="I13" s="108" t="str">
        <f aca="false">IF(ResourceTable[[#This Row],[Resource Name]]="","",COUNTIFS(tsk_Resource,ResourceTable[[#This Row],[Resource Name]],tsk_IsLeaf,1)+COUNTIFS(asg_Resource,ResourceTable[[#This Row],[Resource Name]],asg_Valid,1))</f>
        <v/>
      </c>
      <c r="J13" s="110" t="str">
        <f aca="false">IF(ResourceTable[[#This Row],[Resource Name]]="","",SUMIFS(tsk_LeafWork,tsk_Resource,ResourceTable[[#This Row],[Resource Name]])+SUMIFS(asg_Work,asg_Resource,ResourceTable[[#This Row],[Resource Name]]))</f>
        <v/>
      </c>
      <c r="K13" s="111" t="str">
        <f aca="false">IF(ResourceTable[[#This Row],[Resource Name]]="","",SUMIFS(tsk_LeafCost,tsk_Resource,ResourceTable[[#This Row],[Resource Name]])+SUMIFS(asg_Cost,asg_Resource,ResourceTable[[#This Row],[Resource Name]]))</f>
        <v/>
      </c>
      <c r="L13" s="111" t="str">
        <f aca="false">IF(ResourceTable[[#This Row],[Resource Name]]="","",SUMIFS(tsk_ResourceAC,tsk_Resource,ResourceTable[[#This Row],[Resource Name]])+SUMIFS(asg_ActualCost,asg_Resource,ResourceTable[[#This Row],[Resource Name]]))</f>
        <v/>
      </c>
      <c r="M13" s="53"/>
    </row>
    <row r="14" customFormat="false" ht="15" hidden="false" customHeight="false" outlineLevel="0" collapsed="false">
      <c r="B14" s="53"/>
      <c r="C14" s="53"/>
      <c r="D14" s="53"/>
      <c r="E14" s="53"/>
      <c r="F14" s="102"/>
      <c r="G14" s="112"/>
      <c r="H14" s="53"/>
      <c r="I14" s="108" t="str">
        <f aca="false">IF(ResourceTable[[#This Row],[Resource Name]]="","",COUNTIFS(tsk_Resource,ResourceTable[[#This Row],[Resource Name]],tsk_IsLeaf,1)+COUNTIFS(asg_Resource,ResourceTable[[#This Row],[Resource Name]],asg_Valid,1))</f>
        <v/>
      </c>
      <c r="J14" s="110" t="str">
        <f aca="false">IF(ResourceTable[[#This Row],[Resource Name]]="","",SUMIFS(tsk_LeafWork,tsk_Resource,ResourceTable[[#This Row],[Resource Name]])+SUMIFS(asg_Work,asg_Resource,ResourceTable[[#This Row],[Resource Name]]))</f>
        <v/>
      </c>
      <c r="K14" s="111" t="str">
        <f aca="false">IF(ResourceTable[[#This Row],[Resource Name]]="","",SUMIFS(tsk_LeafCost,tsk_Resource,ResourceTable[[#This Row],[Resource Name]])+SUMIFS(asg_Cost,asg_Resource,ResourceTable[[#This Row],[Resource Name]]))</f>
        <v/>
      </c>
      <c r="L14" s="111" t="str">
        <f aca="false">IF(ResourceTable[[#This Row],[Resource Name]]="","",SUMIFS(tsk_ResourceAC,tsk_Resource,ResourceTable[[#This Row],[Resource Name]])+SUMIFS(asg_ActualCost,asg_Resource,ResourceTable[[#This Row],[Resource Name]]))</f>
        <v/>
      </c>
      <c r="M14" s="53"/>
    </row>
    <row r="15" customFormat="false" ht="15" hidden="false" customHeight="false" outlineLevel="0" collapsed="false">
      <c r="B15" s="53"/>
      <c r="C15" s="53"/>
      <c r="D15" s="53"/>
      <c r="E15" s="53"/>
      <c r="F15" s="102"/>
      <c r="G15" s="112"/>
      <c r="H15" s="53"/>
      <c r="I15" s="108" t="str">
        <f aca="false">IF(ResourceTable[[#This Row],[Resource Name]]="","",COUNTIFS(tsk_Resource,ResourceTable[[#This Row],[Resource Name]],tsk_IsLeaf,1)+COUNTIFS(asg_Resource,ResourceTable[[#This Row],[Resource Name]],asg_Valid,1))</f>
        <v/>
      </c>
      <c r="J15" s="110" t="str">
        <f aca="false">IF(ResourceTable[[#This Row],[Resource Name]]="","",SUMIFS(tsk_LeafWork,tsk_Resource,ResourceTable[[#This Row],[Resource Name]])+SUMIFS(asg_Work,asg_Resource,ResourceTable[[#This Row],[Resource Name]]))</f>
        <v/>
      </c>
      <c r="K15" s="111" t="str">
        <f aca="false">IF(ResourceTable[[#This Row],[Resource Name]]="","",SUMIFS(tsk_LeafCost,tsk_Resource,ResourceTable[[#This Row],[Resource Name]])+SUMIFS(asg_Cost,asg_Resource,ResourceTable[[#This Row],[Resource Name]]))</f>
        <v/>
      </c>
      <c r="L15" s="111" t="str">
        <f aca="false">IF(ResourceTable[[#This Row],[Resource Name]]="","",SUMIFS(tsk_ResourceAC,tsk_Resource,ResourceTable[[#This Row],[Resource Name]])+SUMIFS(asg_ActualCost,asg_Resource,ResourceTable[[#This Row],[Resource Name]]))</f>
        <v/>
      </c>
      <c r="M15" s="53"/>
    </row>
    <row r="16" customFormat="false" ht="15" hidden="false" customHeight="false" outlineLevel="0" collapsed="false">
      <c r="B16" s="53"/>
      <c r="C16" s="53"/>
      <c r="D16" s="53"/>
      <c r="E16" s="53"/>
      <c r="F16" s="102"/>
      <c r="G16" s="112"/>
      <c r="H16" s="53"/>
      <c r="I16" s="108" t="str">
        <f aca="false">IF(ResourceTable[[#This Row],[Resource Name]]="","",COUNTIFS(tsk_Resource,ResourceTable[[#This Row],[Resource Name]],tsk_IsLeaf,1)+COUNTIFS(asg_Resource,ResourceTable[[#This Row],[Resource Name]],asg_Valid,1))</f>
        <v/>
      </c>
      <c r="J16" s="110" t="str">
        <f aca="false">IF(ResourceTable[[#This Row],[Resource Name]]="","",SUMIFS(tsk_LeafWork,tsk_Resource,ResourceTable[[#This Row],[Resource Name]])+SUMIFS(asg_Work,asg_Resource,ResourceTable[[#This Row],[Resource Name]]))</f>
        <v/>
      </c>
      <c r="K16" s="111" t="str">
        <f aca="false">IF(ResourceTable[[#This Row],[Resource Name]]="","",SUMIFS(tsk_LeafCost,tsk_Resource,ResourceTable[[#This Row],[Resource Name]])+SUMIFS(asg_Cost,asg_Resource,ResourceTable[[#This Row],[Resource Name]]))</f>
        <v/>
      </c>
      <c r="L16" s="111" t="str">
        <f aca="false">IF(ResourceTable[[#This Row],[Resource Name]]="","",SUMIFS(tsk_ResourceAC,tsk_Resource,ResourceTable[[#This Row],[Resource Name]])+SUMIFS(asg_ActualCost,asg_Resource,ResourceTable[[#This Row],[Resource Name]]))</f>
        <v/>
      </c>
      <c r="M16" s="53"/>
    </row>
    <row r="17" customFormat="false" ht="15" hidden="false" customHeight="false" outlineLevel="0" collapsed="false">
      <c r="B17" s="53"/>
      <c r="C17" s="53"/>
      <c r="D17" s="53"/>
      <c r="E17" s="53"/>
      <c r="F17" s="102"/>
      <c r="G17" s="112"/>
      <c r="H17" s="53"/>
      <c r="I17" s="108" t="str">
        <f aca="false">IF(ResourceTable[[#This Row],[Resource Name]]="","",COUNTIFS(tsk_Resource,ResourceTable[[#This Row],[Resource Name]],tsk_IsLeaf,1)+COUNTIFS(asg_Resource,ResourceTable[[#This Row],[Resource Name]],asg_Valid,1))</f>
        <v/>
      </c>
      <c r="J17" s="110" t="str">
        <f aca="false">IF(ResourceTable[[#This Row],[Resource Name]]="","",SUMIFS(tsk_LeafWork,tsk_Resource,ResourceTable[[#This Row],[Resource Name]])+SUMIFS(asg_Work,asg_Resource,ResourceTable[[#This Row],[Resource Name]]))</f>
        <v/>
      </c>
      <c r="K17" s="111" t="str">
        <f aca="false">IF(ResourceTable[[#This Row],[Resource Name]]="","",SUMIFS(tsk_LeafCost,tsk_Resource,ResourceTable[[#This Row],[Resource Name]])+SUMIFS(asg_Cost,asg_Resource,ResourceTable[[#This Row],[Resource Name]]))</f>
        <v/>
      </c>
      <c r="L17" s="111" t="str">
        <f aca="false">IF(ResourceTable[[#This Row],[Resource Name]]="","",SUMIFS(tsk_ResourceAC,tsk_Resource,ResourceTable[[#This Row],[Resource Name]])+SUMIFS(asg_ActualCost,asg_Resource,ResourceTable[[#This Row],[Resource Name]]))</f>
        <v/>
      </c>
      <c r="M17" s="53"/>
    </row>
    <row r="18" customFormat="false" ht="15" hidden="false" customHeight="false" outlineLevel="0" collapsed="false">
      <c r="B18" s="53"/>
      <c r="C18" s="53"/>
      <c r="D18" s="53"/>
      <c r="E18" s="53"/>
      <c r="F18" s="102"/>
      <c r="G18" s="112"/>
      <c r="H18" s="53"/>
      <c r="I18" s="108" t="str">
        <f aca="false">IF(ResourceTable[[#This Row],[Resource Name]]="","",COUNTIFS(tsk_Resource,ResourceTable[[#This Row],[Resource Name]],tsk_IsLeaf,1)+COUNTIFS(asg_Resource,ResourceTable[[#This Row],[Resource Name]],asg_Valid,1))</f>
        <v/>
      </c>
      <c r="J18" s="110" t="str">
        <f aca="false">IF(ResourceTable[[#This Row],[Resource Name]]="","",SUMIFS(tsk_LeafWork,tsk_Resource,ResourceTable[[#This Row],[Resource Name]])+SUMIFS(asg_Work,asg_Resource,ResourceTable[[#This Row],[Resource Name]]))</f>
        <v/>
      </c>
      <c r="K18" s="111" t="str">
        <f aca="false">IF(ResourceTable[[#This Row],[Resource Name]]="","",SUMIFS(tsk_LeafCost,tsk_Resource,ResourceTable[[#This Row],[Resource Name]])+SUMIFS(asg_Cost,asg_Resource,ResourceTable[[#This Row],[Resource Name]]))</f>
        <v/>
      </c>
      <c r="L18" s="111" t="str">
        <f aca="false">IF(ResourceTable[[#This Row],[Resource Name]]="","",SUMIFS(tsk_ResourceAC,tsk_Resource,ResourceTable[[#This Row],[Resource Name]])+SUMIFS(asg_ActualCost,asg_Resource,ResourceTable[[#This Row],[Resource Name]]))</f>
        <v/>
      </c>
      <c r="M18" s="53"/>
    </row>
    <row r="19" customFormat="false" ht="15" hidden="false" customHeight="false" outlineLevel="0" collapsed="false">
      <c r="B19" s="53"/>
      <c r="C19" s="53"/>
      <c r="D19" s="53"/>
      <c r="E19" s="53"/>
      <c r="F19" s="102"/>
      <c r="G19" s="112"/>
      <c r="H19" s="53"/>
      <c r="I19" s="108" t="str">
        <f aca="false">IF(ResourceTable[[#This Row],[Resource Name]]="","",COUNTIFS(tsk_Resource,ResourceTable[[#This Row],[Resource Name]],tsk_IsLeaf,1)+COUNTIFS(asg_Resource,ResourceTable[[#This Row],[Resource Name]],asg_Valid,1))</f>
        <v/>
      </c>
      <c r="J19" s="110" t="str">
        <f aca="false">IF(ResourceTable[[#This Row],[Resource Name]]="","",SUMIFS(tsk_LeafWork,tsk_Resource,ResourceTable[[#This Row],[Resource Name]])+SUMIFS(asg_Work,asg_Resource,ResourceTable[[#This Row],[Resource Name]]))</f>
        <v/>
      </c>
      <c r="K19" s="111" t="str">
        <f aca="false">IF(ResourceTable[[#This Row],[Resource Name]]="","",SUMIFS(tsk_LeafCost,tsk_Resource,ResourceTable[[#This Row],[Resource Name]])+SUMIFS(asg_Cost,asg_Resource,ResourceTable[[#This Row],[Resource Name]]))</f>
        <v/>
      </c>
      <c r="L19" s="111" t="str">
        <f aca="false">IF(ResourceTable[[#This Row],[Resource Name]]="","",SUMIFS(tsk_ResourceAC,tsk_Resource,ResourceTable[[#This Row],[Resource Name]])+SUMIFS(asg_ActualCost,asg_Resource,ResourceTable[[#This Row],[Resource Name]]))</f>
        <v/>
      </c>
      <c r="M19" s="53"/>
    </row>
    <row r="20" customFormat="false" ht="15" hidden="false" customHeight="false" outlineLevel="0" collapsed="false">
      <c r="B20" s="53"/>
      <c r="C20" s="53"/>
      <c r="D20" s="53"/>
      <c r="E20" s="53"/>
      <c r="F20" s="102"/>
      <c r="G20" s="112"/>
      <c r="H20" s="53"/>
      <c r="I20" s="108" t="str">
        <f aca="false">IF(ResourceTable[[#This Row],[Resource Name]]="","",COUNTIFS(tsk_Resource,ResourceTable[[#This Row],[Resource Name]],tsk_IsLeaf,1)+COUNTIFS(asg_Resource,ResourceTable[[#This Row],[Resource Name]],asg_Valid,1))</f>
        <v/>
      </c>
      <c r="J20" s="110" t="str">
        <f aca="false">IF(ResourceTable[[#This Row],[Resource Name]]="","",SUMIFS(tsk_LeafWork,tsk_Resource,ResourceTable[[#This Row],[Resource Name]])+SUMIFS(asg_Work,asg_Resource,ResourceTable[[#This Row],[Resource Name]]))</f>
        <v/>
      </c>
      <c r="K20" s="111" t="str">
        <f aca="false">IF(ResourceTable[[#This Row],[Resource Name]]="","",SUMIFS(tsk_LeafCost,tsk_Resource,ResourceTable[[#This Row],[Resource Name]])+SUMIFS(asg_Cost,asg_Resource,ResourceTable[[#This Row],[Resource Name]]))</f>
        <v/>
      </c>
      <c r="L20" s="111" t="str">
        <f aca="false">IF(ResourceTable[[#This Row],[Resource Name]]="","",SUMIFS(tsk_ResourceAC,tsk_Resource,ResourceTable[[#This Row],[Resource Name]])+SUMIFS(asg_ActualCost,asg_Resource,ResourceTable[[#This Row],[Resource Name]]))</f>
        <v/>
      </c>
      <c r="M20" s="53"/>
    </row>
    <row r="21" customFormat="false" ht="15" hidden="false" customHeight="false" outlineLevel="0" collapsed="false">
      <c r="B21" s="53"/>
      <c r="C21" s="53"/>
      <c r="D21" s="53"/>
      <c r="E21" s="53"/>
      <c r="F21" s="102"/>
      <c r="G21" s="112"/>
      <c r="H21" s="53"/>
      <c r="I21" s="108" t="str">
        <f aca="false">IF(ResourceTable[[#This Row],[Resource Name]]="","",COUNTIFS(tsk_Resource,ResourceTable[[#This Row],[Resource Name]],tsk_IsLeaf,1)+COUNTIFS(asg_Resource,ResourceTable[[#This Row],[Resource Name]],asg_Valid,1))</f>
        <v/>
      </c>
      <c r="J21" s="110" t="str">
        <f aca="false">IF(ResourceTable[[#This Row],[Resource Name]]="","",SUMIFS(tsk_LeafWork,tsk_Resource,ResourceTable[[#This Row],[Resource Name]])+SUMIFS(asg_Work,asg_Resource,ResourceTable[[#This Row],[Resource Name]]))</f>
        <v/>
      </c>
      <c r="K21" s="111" t="str">
        <f aca="false">IF(ResourceTable[[#This Row],[Resource Name]]="","",SUMIFS(tsk_LeafCost,tsk_Resource,ResourceTable[[#This Row],[Resource Name]])+SUMIFS(asg_Cost,asg_Resource,ResourceTable[[#This Row],[Resource Name]]))</f>
        <v/>
      </c>
      <c r="L21" s="111" t="str">
        <f aca="false">IF(ResourceTable[[#This Row],[Resource Name]]="","",SUMIFS(tsk_ResourceAC,tsk_Resource,ResourceTable[[#This Row],[Resource Name]])+SUMIFS(asg_ActualCost,asg_Resource,ResourceTable[[#This Row],[Resource Name]]))</f>
        <v/>
      </c>
      <c r="M21" s="53"/>
    </row>
    <row r="22" customFormat="false" ht="15" hidden="false" customHeight="false" outlineLevel="0" collapsed="false">
      <c r="B22" s="53"/>
      <c r="C22" s="53"/>
      <c r="D22" s="53"/>
      <c r="E22" s="53"/>
      <c r="F22" s="102"/>
      <c r="G22" s="112"/>
      <c r="H22" s="53"/>
      <c r="I22" s="108" t="str">
        <f aca="false">IF(ResourceTable[[#This Row],[Resource Name]]="","",COUNTIFS(tsk_Resource,ResourceTable[[#This Row],[Resource Name]],tsk_IsLeaf,1)+COUNTIFS(asg_Resource,ResourceTable[[#This Row],[Resource Name]],asg_Valid,1))</f>
        <v/>
      </c>
      <c r="J22" s="110" t="str">
        <f aca="false">IF(ResourceTable[[#This Row],[Resource Name]]="","",SUMIFS(tsk_LeafWork,tsk_Resource,ResourceTable[[#This Row],[Resource Name]])+SUMIFS(asg_Work,asg_Resource,ResourceTable[[#This Row],[Resource Name]]))</f>
        <v/>
      </c>
      <c r="K22" s="111" t="str">
        <f aca="false">IF(ResourceTable[[#This Row],[Resource Name]]="","",SUMIFS(tsk_LeafCost,tsk_Resource,ResourceTable[[#This Row],[Resource Name]])+SUMIFS(asg_Cost,asg_Resource,ResourceTable[[#This Row],[Resource Name]]))</f>
        <v/>
      </c>
      <c r="L22" s="111" t="str">
        <f aca="false">IF(ResourceTable[[#This Row],[Resource Name]]="","",SUMIFS(tsk_ResourceAC,tsk_Resource,ResourceTable[[#This Row],[Resource Name]])+SUMIFS(asg_ActualCost,asg_Resource,ResourceTable[[#This Row],[Resource Name]]))</f>
        <v/>
      </c>
      <c r="M22" s="53"/>
    </row>
    <row r="23" customFormat="false" ht="15" hidden="false" customHeight="false" outlineLevel="0" collapsed="false">
      <c r="B23" s="53"/>
      <c r="C23" s="53"/>
      <c r="D23" s="53"/>
      <c r="E23" s="53"/>
      <c r="F23" s="102"/>
      <c r="G23" s="112"/>
      <c r="H23" s="53"/>
      <c r="I23" s="108" t="str">
        <f aca="false">IF(ResourceTable[[#This Row],[Resource Name]]="","",COUNTIFS(tsk_Resource,ResourceTable[[#This Row],[Resource Name]],tsk_IsLeaf,1)+COUNTIFS(asg_Resource,ResourceTable[[#This Row],[Resource Name]],asg_Valid,1))</f>
        <v/>
      </c>
      <c r="J23" s="110" t="str">
        <f aca="false">IF(ResourceTable[[#This Row],[Resource Name]]="","",SUMIFS(tsk_LeafWork,tsk_Resource,ResourceTable[[#This Row],[Resource Name]])+SUMIFS(asg_Work,asg_Resource,ResourceTable[[#This Row],[Resource Name]]))</f>
        <v/>
      </c>
      <c r="K23" s="111" t="str">
        <f aca="false">IF(ResourceTable[[#This Row],[Resource Name]]="","",SUMIFS(tsk_LeafCost,tsk_Resource,ResourceTable[[#This Row],[Resource Name]])+SUMIFS(asg_Cost,asg_Resource,ResourceTable[[#This Row],[Resource Name]]))</f>
        <v/>
      </c>
      <c r="L23" s="111" t="str">
        <f aca="false">IF(ResourceTable[[#This Row],[Resource Name]]="","",SUMIFS(tsk_ResourceAC,tsk_Resource,ResourceTable[[#This Row],[Resource Name]])+SUMIFS(asg_ActualCost,asg_Resource,ResourceTable[[#This Row],[Resource Name]]))</f>
        <v/>
      </c>
      <c r="M23" s="53"/>
    </row>
    <row r="24" customFormat="false" ht="15" hidden="false" customHeight="false" outlineLevel="0" collapsed="false">
      <c r="B24" s="53"/>
      <c r="C24" s="53"/>
      <c r="D24" s="53"/>
      <c r="E24" s="53"/>
      <c r="F24" s="102"/>
      <c r="G24" s="112"/>
      <c r="H24" s="53"/>
      <c r="I24" s="108" t="str">
        <f aca="false">IF(ResourceTable[[#This Row],[Resource Name]]="","",COUNTIFS(tsk_Resource,ResourceTable[[#This Row],[Resource Name]],tsk_IsLeaf,1)+COUNTIFS(asg_Resource,ResourceTable[[#This Row],[Resource Name]],asg_Valid,1))</f>
        <v/>
      </c>
      <c r="J24" s="110" t="str">
        <f aca="false">IF(ResourceTable[[#This Row],[Resource Name]]="","",SUMIFS(tsk_LeafWork,tsk_Resource,ResourceTable[[#This Row],[Resource Name]])+SUMIFS(asg_Work,asg_Resource,ResourceTable[[#This Row],[Resource Name]]))</f>
        <v/>
      </c>
      <c r="K24" s="111" t="str">
        <f aca="false">IF(ResourceTable[[#This Row],[Resource Name]]="","",SUMIFS(tsk_LeafCost,tsk_Resource,ResourceTable[[#This Row],[Resource Name]])+SUMIFS(asg_Cost,asg_Resource,ResourceTable[[#This Row],[Resource Name]]))</f>
        <v/>
      </c>
      <c r="L24" s="111" t="str">
        <f aca="false">IF(ResourceTable[[#This Row],[Resource Name]]="","",SUMIFS(tsk_ResourceAC,tsk_Resource,ResourceTable[[#This Row],[Resource Name]])+SUMIFS(asg_ActualCost,asg_Resource,ResourceTable[[#This Row],[Resource Name]]))</f>
        <v/>
      </c>
      <c r="M24" s="53"/>
    </row>
    <row r="25" customFormat="false" ht="15" hidden="false" customHeight="false" outlineLevel="0" collapsed="false">
      <c r="B25" s="53"/>
      <c r="C25" s="53"/>
      <c r="D25" s="53"/>
      <c r="E25" s="53"/>
      <c r="F25" s="102"/>
      <c r="G25" s="112"/>
      <c r="H25" s="53"/>
      <c r="I25" s="108" t="str">
        <f aca="false">IF(ResourceTable[[#This Row],[Resource Name]]="","",COUNTIFS(tsk_Resource,ResourceTable[[#This Row],[Resource Name]],tsk_IsLeaf,1)+COUNTIFS(asg_Resource,ResourceTable[[#This Row],[Resource Name]],asg_Valid,1))</f>
        <v/>
      </c>
      <c r="J25" s="110" t="str">
        <f aca="false">IF(ResourceTable[[#This Row],[Resource Name]]="","",SUMIFS(tsk_LeafWork,tsk_Resource,ResourceTable[[#This Row],[Resource Name]])+SUMIFS(asg_Work,asg_Resource,ResourceTable[[#This Row],[Resource Name]]))</f>
        <v/>
      </c>
      <c r="K25" s="111" t="str">
        <f aca="false">IF(ResourceTable[[#This Row],[Resource Name]]="","",SUMIFS(tsk_LeafCost,tsk_Resource,ResourceTable[[#This Row],[Resource Name]])+SUMIFS(asg_Cost,asg_Resource,ResourceTable[[#This Row],[Resource Name]]))</f>
        <v/>
      </c>
      <c r="L25" s="111" t="str">
        <f aca="false">IF(ResourceTable[[#This Row],[Resource Name]]="","",SUMIFS(tsk_ResourceAC,tsk_Resource,ResourceTable[[#This Row],[Resource Name]])+SUMIFS(asg_ActualCost,asg_Resource,ResourceTable[[#This Row],[Resource Name]]))</f>
        <v/>
      </c>
      <c r="M25" s="53"/>
    </row>
    <row r="26" customFormat="false" ht="15" hidden="false" customHeight="false" outlineLevel="0" collapsed="false">
      <c r="B26" s="53"/>
      <c r="C26" s="53"/>
      <c r="D26" s="53"/>
      <c r="E26" s="53"/>
      <c r="F26" s="102"/>
      <c r="G26" s="112"/>
      <c r="H26" s="53"/>
      <c r="I26" s="108" t="str">
        <f aca="false">IF(ResourceTable[[#This Row],[Resource Name]]="","",COUNTIFS(tsk_Resource,ResourceTable[[#This Row],[Resource Name]],tsk_IsLeaf,1)+COUNTIFS(asg_Resource,ResourceTable[[#This Row],[Resource Name]],asg_Valid,1))</f>
        <v/>
      </c>
      <c r="J26" s="110" t="str">
        <f aca="false">IF(ResourceTable[[#This Row],[Resource Name]]="","",SUMIFS(tsk_LeafWork,tsk_Resource,ResourceTable[[#This Row],[Resource Name]])+SUMIFS(asg_Work,asg_Resource,ResourceTable[[#This Row],[Resource Name]]))</f>
        <v/>
      </c>
      <c r="K26" s="111" t="str">
        <f aca="false">IF(ResourceTable[[#This Row],[Resource Name]]="","",SUMIFS(tsk_LeafCost,tsk_Resource,ResourceTable[[#This Row],[Resource Name]])+SUMIFS(asg_Cost,asg_Resource,ResourceTable[[#This Row],[Resource Name]]))</f>
        <v/>
      </c>
      <c r="L26" s="111" t="str">
        <f aca="false">IF(ResourceTable[[#This Row],[Resource Name]]="","",SUMIFS(tsk_ResourceAC,tsk_Resource,ResourceTable[[#This Row],[Resource Name]])+SUMIFS(asg_ActualCost,asg_Resource,ResourceTable[[#This Row],[Resource Name]]))</f>
        <v/>
      </c>
      <c r="M26" s="53"/>
    </row>
    <row r="27" customFormat="false" ht="15" hidden="false" customHeight="false" outlineLevel="0" collapsed="false">
      <c r="B27" s="53"/>
      <c r="C27" s="53"/>
      <c r="D27" s="53"/>
      <c r="E27" s="53"/>
      <c r="F27" s="102"/>
      <c r="G27" s="112"/>
      <c r="H27" s="53"/>
      <c r="I27" s="108" t="str">
        <f aca="false">IF(ResourceTable[[#This Row],[Resource Name]]="","",COUNTIFS(tsk_Resource,ResourceTable[[#This Row],[Resource Name]],tsk_IsLeaf,1)+COUNTIFS(asg_Resource,ResourceTable[[#This Row],[Resource Name]],asg_Valid,1))</f>
        <v/>
      </c>
      <c r="J27" s="110" t="str">
        <f aca="false">IF(ResourceTable[[#This Row],[Resource Name]]="","",SUMIFS(tsk_LeafWork,tsk_Resource,ResourceTable[[#This Row],[Resource Name]])+SUMIFS(asg_Work,asg_Resource,ResourceTable[[#This Row],[Resource Name]]))</f>
        <v/>
      </c>
      <c r="K27" s="111" t="str">
        <f aca="false">IF(ResourceTable[[#This Row],[Resource Name]]="","",SUMIFS(tsk_LeafCost,tsk_Resource,ResourceTable[[#This Row],[Resource Name]])+SUMIFS(asg_Cost,asg_Resource,ResourceTable[[#This Row],[Resource Name]]))</f>
        <v/>
      </c>
      <c r="L27" s="111" t="str">
        <f aca="false">IF(ResourceTable[[#This Row],[Resource Name]]="","",SUMIFS(tsk_ResourceAC,tsk_Resource,ResourceTable[[#This Row],[Resource Name]])+SUMIFS(asg_ActualCost,asg_Resource,ResourceTable[[#This Row],[Resource Name]]))</f>
        <v/>
      </c>
      <c r="M27" s="53"/>
    </row>
    <row r="28" customFormat="false" ht="15" hidden="false" customHeight="false" outlineLevel="0" collapsed="false">
      <c r="B28" s="53"/>
      <c r="C28" s="53"/>
      <c r="D28" s="53"/>
      <c r="E28" s="53"/>
      <c r="F28" s="102"/>
      <c r="G28" s="112"/>
      <c r="H28" s="53"/>
      <c r="I28" s="108" t="str">
        <f aca="false">IF(ResourceTable[[#This Row],[Resource Name]]="","",COUNTIFS(tsk_Resource,ResourceTable[[#This Row],[Resource Name]],tsk_IsLeaf,1)+COUNTIFS(asg_Resource,ResourceTable[[#This Row],[Resource Name]],asg_Valid,1))</f>
        <v/>
      </c>
      <c r="J28" s="110" t="str">
        <f aca="false">IF(ResourceTable[[#This Row],[Resource Name]]="","",SUMIFS(tsk_LeafWork,tsk_Resource,ResourceTable[[#This Row],[Resource Name]])+SUMIFS(asg_Work,asg_Resource,ResourceTable[[#This Row],[Resource Name]]))</f>
        <v/>
      </c>
      <c r="K28" s="111" t="str">
        <f aca="false">IF(ResourceTable[[#This Row],[Resource Name]]="","",SUMIFS(tsk_LeafCost,tsk_Resource,ResourceTable[[#This Row],[Resource Name]])+SUMIFS(asg_Cost,asg_Resource,ResourceTable[[#This Row],[Resource Name]]))</f>
        <v/>
      </c>
      <c r="L28" s="111" t="str">
        <f aca="false">IF(ResourceTable[[#This Row],[Resource Name]]="","",SUMIFS(tsk_ResourceAC,tsk_Resource,ResourceTable[[#This Row],[Resource Name]])+SUMIFS(asg_ActualCost,asg_Resource,ResourceTable[[#This Row],[Resource Name]]))</f>
        <v/>
      </c>
      <c r="M28" s="53"/>
    </row>
    <row r="29" customFormat="false" ht="15" hidden="false" customHeight="false" outlineLevel="0" collapsed="false">
      <c r="B29" s="53"/>
      <c r="C29" s="53"/>
      <c r="D29" s="53"/>
      <c r="E29" s="53"/>
      <c r="F29" s="102"/>
      <c r="G29" s="112"/>
      <c r="H29" s="53"/>
      <c r="I29" s="108" t="str">
        <f aca="false">IF(ResourceTable[[#This Row],[Resource Name]]="","",COUNTIFS(tsk_Resource,ResourceTable[[#This Row],[Resource Name]],tsk_IsLeaf,1)+COUNTIFS(asg_Resource,ResourceTable[[#This Row],[Resource Name]],asg_Valid,1))</f>
        <v/>
      </c>
      <c r="J29" s="110" t="str">
        <f aca="false">IF(ResourceTable[[#This Row],[Resource Name]]="","",SUMIFS(tsk_LeafWork,tsk_Resource,ResourceTable[[#This Row],[Resource Name]])+SUMIFS(asg_Work,asg_Resource,ResourceTable[[#This Row],[Resource Name]]))</f>
        <v/>
      </c>
      <c r="K29" s="111" t="str">
        <f aca="false">IF(ResourceTable[[#This Row],[Resource Name]]="","",SUMIFS(tsk_LeafCost,tsk_Resource,ResourceTable[[#This Row],[Resource Name]])+SUMIFS(asg_Cost,asg_Resource,ResourceTable[[#This Row],[Resource Name]]))</f>
        <v/>
      </c>
      <c r="L29" s="111" t="str">
        <f aca="false">IF(ResourceTable[[#This Row],[Resource Name]]="","",SUMIFS(tsk_ResourceAC,tsk_Resource,ResourceTable[[#This Row],[Resource Name]])+SUMIFS(asg_ActualCost,asg_Resource,ResourceTable[[#This Row],[Resource Name]]))</f>
        <v/>
      </c>
      <c r="M29" s="53"/>
    </row>
    <row r="30" customFormat="false" ht="15" hidden="false" customHeight="false" outlineLevel="0" collapsed="false">
      <c r="B30" s="53"/>
      <c r="C30" s="53"/>
      <c r="D30" s="53"/>
      <c r="E30" s="53"/>
      <c r="F30" s="102"/>
      <c r="G30" s="112"/>
      <c r="H30" s="53"/>
      <c r="I30" s="108" t="str">
        <f aca="false">IF(ResourceTable[[#This Row],[Resource Name]]="","",COUNTIFS(tsk_Resource,ResourceTable[[#This Row],[Resource Name]],tsk_IsLeaf,1)+COUNTIFS(asg_Resource,ResourceTable[[#This Row],[Resource Name]],asg_Valid,1))</f>
        <v/>
      </c>
      <c r="J30" s="110" t="str">
        <f aca="false">IF(ResourceTable[[#This Row],[Resource Name]]="","",SUMIFS(tsk_LeafWork,tsk_Resource,ResourceTable[[#This Row],[Resource Name]])+SUMIFS(asg_Work,asg_Resource,ResourceTable[[#This Row],[Resource Name]]))</f>
        <v/>
      </c>
      <c r="K30" s="111" t="str">
        <f aca="false">IF(ResourceTable[[#This Row],[Resource Name]]="","",SUMIFS(tsk_LeafCost,tsk_Resource,ResourceTable[[#This Row],[Resource Name]])+SUMIFS(asg_Cost,asg_Resource,ResourceTable[[#This Row],[Resource Name]]))</f>
        <v/>
      </c>
      <c r="L30" s="111" t="str">
        <f aca="false">IF(ResourceTable[[#This Row],[Resource Name]]="","",SUMIFS(tsk_ResourceAC,tsk_Resource,ResourceTable[[#This Row],[Resource Name]])+SUMIFS(asg_ActualCost,asg_Resource,ResourceTable[[#This Row],[Resource Name]]))</f>
        <v/>
      </c>
      <c r="M30" s="53"/>
    </row>
    <row r="31" customFormat="false" ht="15" hidden="false" customHeight="false" outlineLevel="0" collapsed="false">
      <c r="B31" s="53"/>
      <c r="C31" s="53"/>
      <c r="D31" s="53"/>
      <c r="E31" s="53"/>
      <c r="F31" s="102"/>
      <c r="G31" s="112"/>
      <c r="H31" s="53"/>
      <c r="I31" s="108" t="str">
        <f aca="false">IF(ResourceTable[[#This Row],[Resource Name]]="","",COUNTIFS(tsk_Resource,ResourceTable[[#This Row],[Resource Name]],tsk_IsLeaf,1)+COUNTIFS(asg_Resource,ResourceTable[[#This Row],[Resource Name]],asg_Valid,1))</f>
        <v/>
      </c>
      <c r="J31" s="110" t="str">
        <f aca="false">IF(ResourceTable[[#This Row],[Resource Name]]="","",SUMIFS(tsk_LeafWork,tsk_Resource,ResourceTable[[#This Row],[Resource Name]])+SUMIFS(asg_Work,asg_Resource,ResourceTable[[#This Row],[Resource Name]]))</f>
        <v/>
      </c>
      <c r="K31" s="111" t="str">
        <f aca="false">IF(ResourceTable[[#This Row],[Resource Name]]="","",SUMIFS(tsk_LeafCost,tsk_Resource,ResourceTable[[#This Row],[Resource Name]])+SUMIFS(asg_Cost,asg_Resource,ResourceTable[[#This Row],[Resource Name]]))</f>
        <v/>
      </c>
      <c r="L31" s="111" t="str">
        <f aca="false">IF(ResourceTable[[#This Row],[Resource Name]]="","",SUMIFS(tsk_ResourceAC,tsk_Resource,ResourceTable[[#This Row],[Resource Name]])+SUMIFS(asg_ActualCost,asg_Resource,ResourceTable[[#This Row],[Resource Name]]))</f>
        <v/>
      </c>
      <c r="M31" s="53"/>
    </row>
    <row r="32" customFormat="false" ht="15" hidden="false" customHeight="false" outlineLevel="0" collapsed="false">
      <c r="B32" s="53"/>
      <c r="C32" s="53"/>
      <c r="D32" s="53"/>
      <c r="E32" s="53"/>
      <c r="F32" s="102"/>
      <c r="G32" s="112"/>
      <c r="H32" s="53"/>
      <c r="I32" s="108" t="str">
        <f aca="false">IF(ResourceTable[[#This Row],[Resource Name]]="","",COUNTIFS(tsk_Resource,ResourceTable[[#This Row],[Resource Name]],tsk_IsLeaf,1)+COUNTIFS(asg_Resource,ResourceTable[[#This Row],[Resource Name]],asg_Valid,1))</f>
        <v/>
      </c>
      <c r="J32" s="110" t="str">
        <f aca="false">IF(ResourceTable[[#This Row],[Resource Name]]="","",SUMIFS(tsk_LeafWork,tsk_Resource,ResourceTable[[#This Row],[Resource Name]])+SUMIFS(asg_Work,asg_Resource,ResourceTable[[#This Row],[Resource Name]]))</f>
        <v/>
      </c>
      <c r="K32" s="111" t="str">
        <f aca="false">IF(ResourceTable[[#This Row],[Resource Name]]="","",SUMIFS(tsk_LeafCost,tsk_Resource,ResourceTable[[#This Row],[Resource Name]])+SUMIFS(asg_Cost,asg_Resource,ResourceTable[[#This Row],[Resource Name]]))</f>
        <v/>
      </c>
      <c r="L32" s="111" t="str">
        <f aca="false">IF(ResourceTable[[#This Row],[Resource Name]]="","",SUMIFS(tsk_ResourceAC,tsk_Resource,ResourceTable[[#This Row],[Resource Name]])+SUMIFS(asg_ActualCost,asg_Resource,ResourceTable[[#This Row],[Resource Name]]))</f>
        <v/>
      </c>
      <c r="M32" s="53"/>
    </row>
    <row r="33" customFormat="false" ht="15" hidden="false" customHeight="false" outlineLevel="0" collapsed="false">
      <c r="B33" s="53"/>
      <c r="C33" s="53"/>
      <c r="D33" s="53"/>
      <c r="E33" s="53"/>
      <c r="F33" s="102"/>
      <c r="G33" s="112"/>
      <c r="H33" s="53"/>
      <c r="I33" s="108" t="str">
        <f aca="false">IF(ResourceTable[[#This Row],[Resource Name]]="","",COUNTIFS(tsk_Resource,ResourceTable[[#This Row],[Resource Name]],tsk_IsLeaf,1)+COUNTIFS(asg_Resource,ResourceTable[[#This Row],[Resource Name]],asg_Valid,1))</f>
        <v/>
      </c>
      <c r="J33" s="110" t="str">
        <f aca="false">IF(ResourceTable[[#This Row],[Resource Name]]="","",SUMIFS(tsk_LeafWork,tsk_Resource,ResourceTable[[#This Row],[Resource Name]])+SUMIFS(asg_Work,asg_Resource,ResourceTable[[#This Row],[Resource Name]]))</f>
        <v/>
      </c>
      <c r="K33" s="111" t="str">
        <f aca="false">IF(ResourceTable[[#This Row],[Resource Name]]="","",SUMIFS(tsk_LeafCost,tsk_Resource,ResourceTable[[#This Row],[Resource Name]])+SUMIFS(asg_Cost,asg_Resource,ResourceTable[[#This Row],[Resource Name]]))</f>
        <v/>
      </c>
      <c r="L33" s="111" t="str">
        <f aca="false">IF(ResourceTable[[#This Row],[Resource Name]]="","",SUMIFS(tsk_ResourceAC,tsk_Resource,ResourceTable[[#This Row],[Resource Name]])+SUMIFS(asg_ActualCost,asg_Resource,ResourceTable[[#This Row],[Resource Name]]))</f>
        <v/>
      </c>
      <c r="M33" s="53"/>
    </row>
    <row r="34" customFormat="false" ht="15" hidden="false" customHeight="false" outlineLevel="0" collapsed="false">
      <c r="B34" s="53"/>
      <c r="C34" s="53"/>
      <c r="D34" s="53"/>
      <c r="E34" s="53"/>
      <c r="F34" s="102"/>
      <c r="G34" s="112"/>
      <c r="H34" s="53"/>
      <c r="I34" s="108" t="str">
        <f aca="false">IF(ResourceTable[[#This Row],[Resource Name]]="","",COUNTIFS(tsk_Resource,ResourceTable[[#This Row],[Resource Name]],tsk_IsLeaf,1)+COUNTIFS(asg_Resource,ResourceTable[[#This Row],[Resource Name]],asg_Valid,1))</f>
        <v/>
      </c>
      <c r="J34" s="110" t="str">
        <f aca="false">IF(ResourceTable[[#This Row],[Resource Name]]="","",SUMIFS(tsk_LeafWork,tsk_Resource,ResourceTable[[#This Row],[Resource Name]])+SUMIFS(asg_Work,asg_Resource,ResourceTable[[#This Row],[Resource Name]]))</f>
        <v/>
      </c>
      <c r="K34" s="111" t="str">
        <f aca="false">IF(ResourceTable[[#This Row],[Resource Name]]="","",SUMIFS(tsk_LeafCost,tsk_Resource,ResourceTable[[#This Row],[Resource Name]])+SUMIFS(asg_Cost,asg_Resource,ResourceTable[[#This Row],[Resource Name]]))</f>
        <v/>
      </c>
      <c r="L34" s="111" t="str">
        <f aca="false">IF(ResourceTable[[#This Row],[Resource Name]]="","",SUMIFS(tsk_ResourceAC,tsk_Resource,ResourceTable[[#This Row],[Resource Name]])+SUMIFS(asg_ActualCost,asg_Resource,ResourceTable[[#This Row],[Resource Name]]))</f>
        <v/>
      </c>
      <c r="M34" s="53"/>
    </row>
    <row r="35" customFormat="false" ht="15" hidden="false" customHeight="false" outlineLevel="0" collapsed="false">
      <c r="B35" s="53"/>
      <c r="C35" s="53"/>
      <c r="D35" s="53"/>
      <c r="E35" s="53"/>
      <c r="F35" s="102"/>
      <c r="G35" s="112"/>
      <c r="H35" s="53"/>
      <c r="I35" s="108" t="str">
        <f aca="false">IF(ResourceTable[[#This Row],[Resource Name]]="","",COUNTIFS(tsk_Resource,ResourceTable[[#This Row],[Resource Name]],tsk_IsLeaf,1)+COUNTIFS(asg_Resource,ResourceTable[[#This Row],[Resource Name]],asg_Valid,1))</f>
        <v/>
      </c>
      <c r="J35" s="110" t="str">
        <f aca="false">IF(ResourceTable[[#This Row],[Resource Name]]="","",SUMIFS(tsk_LeafWork,tsk_Resource,ResourceTable[[#This Row],[Resource Name]])+SUMIFS(asg_Work,asg_Resource,ResourceTable[[#This Row],[Resource Name]]))</f>
        <v/>
      </c>
      <c r="K35" s="111" t="str">
        <f aca="false">IF(ResourceTable[[#This Row],[Resource Name]]="","",SUMIFS(tsk_LeafCost,tsk_Resource,ResourceTable[[#This Row],[Resource Name]])+SUMIFS(asg_Cost,asg_Resource,ResourceTable[[#This Row],[Resource Name]]))</f>
        <v/>
      </c>
      <c r="L35" s="111" t="str">
        <f aca="false">IF(ResourceTable[[#This Row],[Resource Name]]="","",SUMIFS(tsk_ResourceAC,tsk_Resource,ResourceTable[[#This Row],[Resource Name]])+SUMIFS(asg_ActualCost,asg_Resource,ResourceTable[[#This Row],[Resource Name]]))</f>
        <v/>
      </c>
      <c r="M35" s="53"/>
    </row>
    <row r="36" customFormat="false" ht="15" hidden="false" customHeight="false" outlineLevel="0" collapsed="false">
      <c r="B36" s="53"/>
      <c r="C36" s="53"/>
      <c r="D36" s="53"/>
      <c r="E36" s="53"/>
      <c r="F36" s="102"/>
      <c r="G36" s="112"/>
      <c r="H36" s="53"/>
      <c r="I36" s="108" t="str">
        <f aca="false">IF(ResourceTable[[#This Row],[Resource Name]]="","",COUNTIFS(tsk_Resource,ResourceTable[[#This Row],[Resource Name]],tsk_IsLeaf,1)+COUNTIFS(asg_Resource,ResourceTable[[#This Row],[Resource Name]],asg_Valid,1))</f>
        <v/>
      </c>
      <c r="J36" s="110" t="str">
        <f aca="false">IF(ResourceTable[[#This Row],[Resource Name]]="","",SUMIFS(tsk_LeafWork,tsk_Resource,ResourceTable[[#This Row],[Resource Name]])+SUMIFS(asg_Work,asg_Resource,ResourceTable[[#This Row],[Resource Name]]))</f>
        <v/>
      </c>
      <c r="K36" s="111" t="str">
        <f aca="false">IF(ResourceTable[[#This Row],[Resource Name]]="","",SUMIFS(tsk_LeafCost,tsk_Resource,ResourceTable[[#This Row],[Resource Name]])+SUMIFS(asg_Cost,asg_Resource,ResourceTable[[#This Row],[Resource Name]]))</f>
        <v/>
      </c>
      <c r="L36" s="111" t="str">
        <f aca="false">IF(ResourceTable[[#This Row],[Resource Name]]="","",SUMIFS(tsk_ResourceAC,tsk_Resource,ResourceTable[[#This Row],[Resource Name]])+SUMIFS(asg_ActualCost,asg_Resource,ResourceTable[[#This Row],[Resource Name]]))</f>
        <v/>
      </c>
      <c r="M36" s="53"/>
    </row>
    <row r="37" customFormat="false" ht="15" hidden="false" customHeight="false" outlineLevel="0" collapsed="false">
      <c r="B37" s="53"/>
      <c r="C37" s="53"/>
      <c r="D37" s="53"/>
      <c r="E37" s="53"/>
      <c r="F37" s="102"/>
      <c r="G37" s="112"/>
      <c r="H37" s="53"/>
      <c r="I37" s="108" t="str">
        <f aca="false">IF(ResourceTable[[#This Row],[Resource Name]]="","",COUNTIFS(tsk_Resource,ResourceTable[[#This Row],[Resource Name]],tsk_IsLeaf,1)+COUNTIFS(asg_Resource,ResourceTable[[#This Row],[Resource Name]],asg_Valid,1))</f>
        <v/>
      </c>
      <c r="J37" s="110" t="str">
        <f aca="false">IF(ResourceTable[[#This Row],[Resource Name]]="","",SUMIFS(tsk_LeafWork,tsk_Resource,ResourceTable[[#This Row],[Resource Name]])+SUMIFS(asg_Work,asg_Resource,ResourceTable[[#This Row],[Resource Name]]))</f>
        <v/>
      </c>
      <c r="K37" s="111" t="str">
        <f aca="false">IF(ResourceTable[[#This Row],[Resource Name]]="","",SUMIFS(tsk_LeafCost,tsk_Resource,ResourceTable[[#This Row],[Resource Name]])+SUMIFS(asg_Cost,asg_Resource,ResourceTable[[#This Row],[Resource Name]]))</f>
        <v/>
      </c>
      <c r="L37" s="111" t="str">
        <f aca="false">IF(ResourceTable[[#This Row],[Resource Name]]="","",SUMIFS(tsk_ResourceAC,tsk_Resource,ResourceTable[[#This Row],[Resource Name]])+SUMIFS(asg_ActualCost,asg_Resource,ResourceTable[[#This Row],[Resource Name]]))</f>
        <v/>
      </c>
      <c r="M37" s="53"/>
    </row>
    <row r="38" customFormat="false" ht="15" hidden="false" customHeight="false" outlineLevel="0" collapsed="false">
      <c r="B38" s="53"/>
      <c r="C38" s="53"/>
      <c r="D38" s="53"/>
      <c r="E38" s="53"/>
      <c r="F38" s="102"/>
      <c r="G38" s="112"/>
      <c r="H38" s="53"/>
      <c r="I38" s="108" t="str">
        <f aca="false">IF(ResourceTable[[#This Row],[Resource Name]]="","",COUNTIFS(tsk_Resource,ResourceTable[[#This Row],[Resource Name]],tsk_IsLeaf,1)+COUNTIFS(asg_Resource,ResourceTable[[#This Row],[Resource Name]],asg_Valid,1))</f>
        <v/>
      </c>
      <c r="J38" s="110" t="str">
        <f aca="false">IF(ResourceTable[[#This Row],[Resource Name]]="","",SUMIFS(tsk_LeafWork,tsk_Resource,ResourceTable[[#This Row],[Resource Name]])+SUMIFS(asg_Work,asg_Resource,ResourceTable[[#This Row],[Resource Name]]))</f>
        <v/>
      </c>
      <c r="K38" s="111" t="str">
        <f aca="false">IF(ResourceTable[[#This Row],[Resource Name]]="","",SUMIFS(tsk_LeafCost,tsk_Resource,ResourceTable[[#This Row],[Resource Name]])+SUMIFS(asg_Cost,asg_Resource,ResourceTable[[#This Row],[Resource Name]]))</f>
        <v/>
      </c>
      <c r="L38" s="111" t="str">
        <f aca="false">IF(ResourceTable[[#This Row],[Resource Name]]="","",SUMIFS(tsk_ResourceAC,tsk_Resource,ResourceTable[[#This Row],[Resource Name]])+SUMIFS(asg_ActualCost,asg_Resource,ResourceTable[[#This Row],[Resource Name]]))</f>
        <v/>
      </c>
      <c r="M38" s="53"/>
    </row>
    <row r="39" customFormat="false" ht="15" hidden="false" customHeight="false" outlineLevel="0" collapsed="false">
      <c r="B39" s="53"/>
      <c r="C39" s="53"/>
      <c r="D39" s="53"/>
      <c r="E39" s="53"/>
      <c r="F39" s="102"/>
      <c r="G39" s="112"/>
      <c r="H39" s="53"/>
      <c r="I39" s="108" t="str">
        <f aca="false">IF(ResourceTable[[#This Row],[Resource Name]]="","",COUNTIFS(tsk_Resource,ResourceTable[[#This Row],[Resource Name]],tsk_IsLeaf,1)+COUNTIFS(asg_Resource,ResourceTable[[#This Row],[Resource Name]],asg_Valid,1))</f>
        <v/>
      </c>
      <c r="J39" s="110" t="str">
        <f aca="false">IF(ResourceTable[[#This Row],[Resource Name]]="","",SUMIFS(tsk_LeafWork,tsk_Resource,ResourceTable[[#This Row],[Resource Name]])+SUMIFS(asg_Work,asg_Resource,ResourceTable[[#This Row],[Resource Name]]))</f>
        <v/>
      </c>
      <c r="K39" s="111" t="str">
        <f aca="false">IF(ResourceTable[[#This Row],[Resource Name]]="","",SUMIFS(tsk_LeafCost,tsk_Resource,ResourceTable[[#This Row],[Resource Name]])+SUMIFS(asg_Cost,asg_Resource,ResourceTable[[#This Row],[Resource Name]]))</f>
        <v/>
      </c>
      <c r="L39" s="111" t="str">
        <f aca="false">IF(ResourceTable[[#This Row],[Resource Name]]="","",SUMIFS(tsk_ResourceAC,tsk_Resource,ResourceTable[[#This Row],[Resource Name]])+SUMIFS(asg_ActualCost,asg_Resource,ResourceTable[[#This Row],[Resource Name]]))</f>
        <v/>
      </c>
      <c r="M39" s="53"/>
    </row>
    <row r="40" customFormat="false" ht="15" hidden="false" customHeight="false" outlineLevel="0" collapsed="false">
      <c r="B40" s="53"/>
      <c r="C40" s="53"/>
      <c r="D40" s="53"/>
      <c r="E40" s="53"/>
      <c r="F40" s="102"/>
      <c r="G40" s="112"/>
      <c r="H40" s="53"/>
      <c r="I40" s="108" t="str">
        <f aca="false">IF(ResourceTable[[#This Row],[Resource Name]]="","",COUNTIFS(tsk_Resource,ResourceTable[[#This Row],[Resource Name]],tsk_IsLeaf,1)+COUNTIFS(asg_Resource,ResourceTable[[#This Row],[Resource Name]],asg_Valid,1))</f>
        <v/>
      </c>
      <c r="J40" s="110" t="str">
        <f aca="false">IF(ResourceTable[[#This Row],[Resource Name]]="","",SUMIFS(tsk_LeafWork,tsk_Resource,ResourceTable[[#This Row],[Resource Name]])+SUMIFS(asg_Work,asg_Resource,ResourceTable[[#This Row],[Resource Name]]))</f>
        <v/>
      </c>
      <c r="K40" s="111" t="str">
        <f aca="false">IF(ResourceTable[[#This Row],[Resource Name]]="","",SUMIFS(tsk_LeafCost,tsk_Resource,ResourceTable[[#This Row],[Resource Name]])+SUMIFS(asg_Cost,asg_Resource,ResourceTable[[#This Row],[Resource Name]]))</f>
        <v/>
      </c>
      <c r="L40" s="111" t="str">
        <f aca="false">IF(ResourceTable[[#This Row],[Resource Name]]="","",SUMIFS(tsk_ResourceAC,tsk_Resource,ResourceTable[[#This Row],[Resource Name]])+SUMIFS(asg_ActualCost,asg_Resource,ResourceTable[[#This Row],[Resource Name]]))</f>
        <v/>
      </c>
      <c r="M40" s="53"/>
    </row>
    <row r="41" customFormat="false" ht="15" hidden="false" customHeight="false" outlineLevel="0" collapsed="false">
      <c r="B41" s="53"/>
      <c r="C41" s="53"/>
      <c r="D41" s="53"/>
      <c r="E41" s="53"/>
      <c r="F41" s="102"/>
      <c r="G41" s="112"/>
      <c r="H41" s="53"/>
      <c r="I41" s="108" t="str">
        <f aca="false">IF(ResourceTable[[#This Row],[Resource Name]]="","",COUNTIFS(tsk_Resource,ResourceTable[[#This Row],[Resource Name]],tsk_IsLeaf,1)+COUNTIFS(asg_Resource,ResourceTable[[#This Row],[Resource Name]],asg_Valid,1))</f>
        <v/>
      </c>
      <c r="J41" s="110" t="str">
        <f aca="false">IF(ResourceTable[[#This Row],[Resource Name]]="","",SUMIFS(tsk_LeafWork,tsk_Resource,ResourceTable[[#This Row],[Resource Name]])+SUMIFS(asg_Work,asg_Resource,ResourceTable[[#This Row],[Resource Name]]))</f>
        <v/>
      </c>
      <c r="K41" s="111" t="str">
        <f aca="false">IF(ResourceTable[[#This Row],[Resource Name]]="","",SUMIFS(tsk_LeafCost,tsk_Resource,ResourceTable[[#This Row],[Resource Name]])+SUMIFS(asg_Cost,asg_Resource,ResourceTable[[#This Row],[Resource Name]]))</f>
        <v/>
      </c>
      <c r="L41" s="111" t="str">
        <f aca="false">IF(ResourceTable[[#This Row],[Resource Name]]="","",SUMIFS(tsk_ResourceAC,tsk_Resource,ResourceTable[[#This Row],[Resource Name]])+SUMIFS(asg_ActualCost,asg_Resource,ResourceTable[[#This Row],[Resource Name]]))</f>
        <v/>
      </c>
      <c r="M41" s="53"/>
    </row>
    <row r="42" customFormat="false" ht="15" hidden="false" customHeight="false" outlineLevel="0" collapsed="false">
      <c r="B42" s="53"/>
      <c r="C42" s="53"/>
      <c r="D42" s="53"/>
      <c r="E42" s="53"/>
      <c r="F42" s="102"/>
      <c r="G42" s="112"/>
      <c r="H42" s="53"/>
      <c r="I42" s="108" t="str">
        <f aca="false">IF(ResourceTable[[#This Row],[Resource Name]]="","",COUNTIFS(tsk_Resource,ResourceTable[[#This Row],[Resource Name]],tsk_IsLeaf,1)+COUNTIFS(asg_Resource,ResourceTable[[#This Row],[Resource Name]],asg_Valid,1))</f>
        <v/>
      </c>
      <c r="J42" s="110" t="str">
        <f aca="false">IF(ResourceTable[[#This Row],[Resource Name]]="","",SUMIFS(tsk_LeafWork,tsk_Resource,ResourceTable[[#This Row],[Resource Name]])+SUMIFS(asg_Work,asg_Resource,ResourceTable[[#This Row],[Resource Name]]))</f>
        <v/>
      </c>
      <c r="K42" s="111" t="str">
        <f aca="false">IF(ResourceTable[[#This Row],[Resource Name]]="","",SUMIFS(tsk_LeafCost,tsk_Resource,ResourceTable[[#This Row],[Resource Name]])+SUMIFS(asg_Cost,asg_Resource,ResourceTable[[#This Row],[Resource Name]]))</f>
        <v/>
      </c>
      <c r="L42" s="111" t="str">
        <f aca="false">IF(ResourceTable[[#This Row],[Resource Name]]="","",SUMIFS(tsk_ResourceAC,tsk_Resource,ResourceTable[[#This Row],[Resource Name]])+SUMIFS(asg_ActualCost,asg_Resource,ResourceTable[[#This Row],[Resource Name]]))</f>
        <v/>
      </c>
      <c r="M42" s="53"/>
    </row>
    <row r="43" customFormat="false" ht="15" hidden="false" customHeight="false" outlineLevel="0" collapsed="false">
      <c r="B43" s="53"/>
      <c r="C43" s="53"/>
      <c r="D43" s="53"/>
      <c r="E43" s="53"/>
      <c r="F43" s="102"/>
      <c r="G43" s="112"/>
      <c r="H43" s="53"/>
      <c r="I43" s="108" t="str">
        <f aca="false">IF(ResourceTable[[#This Row],[Resource Name]]="","",COUNTIFS(tsk_Resource,ResourceTable[[#This Row],[Resource Name]],tsk_IsLeaf,1)+COUNTIFS(asg_Resource,ResourceTable[[#This Row],[Resource Name]],asg_Valid,1))</f>
        <v/>
      </c>
      <c r="J43" s="110" t="str">
        <f aca="false">IF(ResourceTable[[#This Row],[Resource Name]]="","",SUMIFS(tsk_LeafWork,tsk_Resource,ResourceTable[[#This Row],[Resource Name]])+SUMIFS(asg_Work,asg_Resource,ResourceTable[[#This Row],[Resource Name]]))</f>
        <v/>
      </c>
      <c r="K43" s="111" t="str">
        <f aca="false">IF(ResourceTable[[#This Row],[Resource Name]]="","",SUMIFS(tsk_LeafCost,tsk_Resource,ResourceTable[[#This Row],[Resource Name]])+SUMIFS(asg_Cost,asg_Resource,ResourceTable[[#This Row],[Resource Name]]))</f>
        <v/>
      </c>
      <c r="L43" s="111" t="str">
        <f aca="false">IF(ResourceTable[[#This Row],[Resource Name]]="","",SUMIFS(tsk_ResourceAC,tsk_Resource,ResourceTable[[#This Row],[Resource Name]])+SUMIFS(asg_ActualCost,asg_Resource,ResourceTable[[#This Row],[Resource Name]]))</f>
        <v/>
      </c>
      <c r="M43" s="53"/>
    </row>
    <row r="44" customFormat="false" ht="15" hidden="false" customHeight="false" outlineLevel="0" collapsed="false">
      <c r="B44" s="53"/>
      <c r="C44" s="53"/>
      <c r="D44" s="53"/>
      <c r="E44" s="53"/>
      <c r="F44" s="102"/>
      <c r="G44" s="112"/>
      <c r="H44" s="53"/>
      <c r="I44" s="108" t="str">
        <f aca="false">IF(ResourceTable[[#This Row],[Resource Name]]="","",COUNTIFS(tsk_Resource,ResourceTable[[#This Row],[Resource Name]],tsk_IsLeaf,1)+COUNTIFS(asg_Resource,ResourceTable[[#This Row],[Resource Name]],asg_Valid,1))</f>
        <v/>
      </c>
      <c r="J44" s="110" t="str">
        <f aca="false">IF(ResourceTable[[#This Row],[Resource Name]]="","",SUMIFS(tsk_LeafWork,tsk_Resource,ResourceTable[[#This Row],[Resource Name]])+SUMIFS(asg_Work,asg_Resource,ResourceTable[[#This Row],[Resource Name]]))</f>
        <v/>
      </c>
      <c r="K44" s="111" t="str">
        <f aca="false">IF(ResourceTable[[#This Row],[Resource Name]]="","",SUMIFS(tsk_LeafCost,tsk_Resource,ResourceTable[[#This Row],[Resource Name]])+SUMIFS(asg_Cost,asg_Resource,ResourceTable[[#This Row],[Resource Name]]))</f>
        <v/>
      </c>
      <c r="L44" s="111" t="str">
        <f aca="false">IF(ResourceTable[[#This Row],[Resource Name]]="","",SUMIFS(tsk_ResourceAC,tsk_Resource,ResourceTable[[#This Row],[Resource Name]])+SUMIFS(asg_ActualCost,asg_Resource,ResourceTable[[#This Row],[Resource Name]]))</f>
        <v/>
      </c>
      <c r="M44" s="53"/>
    </row>
    <row r="45" customFormat="false" ht="15" hidden="false" customHeight="false" outlineLevel="0" collapsed="false">
      <c r="B45" s="53"/>
      <c r="C45" s="53"/>
      <c r="D45" s="53"/>
      <c r="E45" s="53"/>
      <c r="F45" s="102"/>
      <c r="G45" s="112"/>
      <c r="H45" s="53"/>
      <c r="I45" s="108" t="str">
        <f aca="false">IF(ResourceTable[[#This Row],[Resource Name]]="","",COUNTIFS(tsk_Resource,ResourceTable[[#This Row],[Resource Name]],tsk_IsLeaf,1)+COUNTIFS(asg_Resource,ResourceTable[[#This Row],[Resource Name]],asg_Valid,1))</f>
        <v/>
      </c>
      <c r="J45" s="110" t="str">
        <f aca="false">IF(ResourceTable[[#This Row],[Resource Name]]="","",SUMIFS(tsk_LeafWork,tsk_Resource,ResourceTable[[#This Row],[Resource Name]])+SUMIFS(asg_Work,asg_Resource,ResourceTable[[#This Row],[Resource Name]]))</f>
        <v/>
      </c>
      <c r="K45" s="111" t="str">
        <f aca="false">IF(ResourceTable[[#This Row],[Resource Name]]="","",SUMIFS(tsk_LeafCost,tsk_Resource,ResourceTable[[#This Row],[Resource Name]])+SUMIFS(asg_Cost,asg_Resource,ResourceTable[[#This Row],[Resource Name]]))</f>
        <v/>
      </c>
      <c r="L45" s="111" t="str">
        <f aca="false">IF(ResourceTable[[#This Row],[Resource Name]]="","",SUMIFS(tsk_ResourceAC,tsk_Resource,ResourceTable[[#This Row],[Resource Name]])+SUMIFS(asg_ActualCost,asg_Resource,ResourceTable[[#This Row],[Resource Name]]))</f>
        <v/>
      </c>
      <c r="M45" s="53"/>
    </row>
    <row r="46" customFormat="false" ht="15" hidden="false" customHeight="false" outlineLevel="0" collapsed="false">
      <c r="B46" s="53"/>
      <c r="C46" s="53"/>
      <c r="D46" s="53"/>
      <c r="E46" s="53"/>
      <c r="F46" s="102"/>
      <c r="G46" s="112"/>
      <c r="H46" s="53"/>
      <c r="I46" s="108" t="str">
        <f aca="false">IF(ResourceTable[[#This Row],[Resource Name]]="","",COUNTIFS(tsk_Resource,ResourceTable[[#This Row],[Resource Name]],tsk_IsLeaf,1)+COUNTIFS(asg_Resource,ResourceTable[[#This Row],[Resource Name]],asg_Valid,1))</f>
        <v/>
      </c>
      <c r="J46" s="110" t="str">
        <f aca="false">IF(ResourceTable[[#This Row],[Resource Name]]="","",SUMIFS(tsk_LeafWork,tsk_Resource,ResourceTable[[#This Row],[Resource Name]])+SUMIFS(asg_Work,asg_Resource,ResourceTable[[#This Row],[Resource Name]]))</f>
        <v/>
      </c>
      <c r="K46" s="111" t="str">
        <f aca="false">IF(ResourceTable[[#This Row],[Resource Name]]="","",SUMIFS(tsk_LeafCost,tsk_Resource,ResourceTable[[#This Row],[Resource Name]])+SUMIFS(asg_Cost,asg_Resource,ResourceTable[[#This Row],[Resource Name]]))</f>
        <v/>
      </c>
      <c r="L46" s="111" t="str">
        <f aca="false">IF(ResourceTable[[#This Row],[Resource Name]]="","",SUMIFS(tsk_ResourceAC,tsk_Resource,ResourceTable[[#This Row],[Resource Name]])+SUMIFS(asg_ActualCost,asg_Resource,ResourceTable[[#This Row],[Resource Name]]))</f>
        <v/>
      </c>
      <c r="M46" s="53"/>
    </row>
    <row r="47" customFormat="false" ht="15" hidden="false" customHeight="false" outlineLevel="0" collapsed="false">
      <c r="B47" s="53"/>
      <c r="C47" s="53"/>
      <c r="D47" s="53"/>
      <c r="E47" s="53"/>
      <c r="F47" s="102"/>
      <c r="G47" s="112"/>
      <c r="H47" s="53"/>
      <c r="I47" s="108" t="str">
        <f aca="false">IF(ResourceTable[[#This Row],[Resource Name]]="","",COUNTIFS(tsk_Resource,ResourceTable[[#This Row],[Resource Name]],tsk_IsLeaf,1)+COUNTIFS(asg_Resource,ResourceTable[[#This Row],[Resource Name]],asg_Valid,1))</f>
        <v/>
      </c>
      <c r="J47" s="110" t="str">
        <f aca="false">IF(ResourceTable[[#This Row],[Resource Name]]="","",SUMIFS(tsk_LeafWork,tsk_Resource,ResourceTable[[#This Row],[Resource Name]])+SUMIFS(asg_Work,asg_Resource,ResourceTable[[#This Row],[Resource Name]]))</f>
        <v/>
      </c>
      <c r="K47" s="111" t="str">
        <f aca="false">IF(ResourceTable[[#This Row],[Resource Name]]="","",SUMIFS(tsk_LeafCost,tsk_Resource,ResourceTable[[#This Row],[Resource Name]])+SUMIFS(asg_Cost,asg_Resource,ResourceTable[[#This Row],[Resource Name]]))</f>
        <v/>
      </c>
      <c r="L47" s="111" t="str">
        <f aca="false">IF(ResourceTable[[#This Row],[Resource Name]]="","",SUMIFS(tsk_ResourceAC,tsk_Resource,ResourceTable[[#This Row],[Resource Name]])+SUMIFS(asg_ActualCost,asg_Resource,ResourceTable[[#This Row],[Resource Name]]))</f>
        <v/>
      </c>
      <c r="M47" s="53"/>
    </row>
    <row r="48" customFormat="false" ht="15" hidden="false" customHeight="false" outlineLevel="0" collapsed="false">
      <c r="B48" s="53"/>
      <c r="C48" s="53"/>
      <c r="D48" s="53"/>
      <c r="E48" s="53"/>
      <c r="F48" s="102"/>
      <c r="G48" s="112"/>
      <c r="H48" s="53"/>
      <c r="I48" s="108" t="str">
        <f aca="false">IF(ResourceTable[[#This Row],[Resource Name]]="","",COUNTIFS(tsk_Resource,ResourceTable[[#This Row],[Resource Name]],tsk_IsLeaf,1)+COUNTIFS(asg_Resource,ResourceTable[[#This Row],[Resource Name]],asg_Valid,1))</f>
        <v/>
      </c>
      <c r="J48" s="110" t="str">
        <f aca="false">IF(ResourceTable[[#This Row],[Resource Name]]="","",SUMIFS(tsk_LeafWork,tsk_Resource,ResourceTable[[#This Row],[Resource Name]])+SUMIFS(asg_Work,asg_Resource,ResourceTable[[#This Row],[Resource Name]]))</f>
        <v/>
      </c>
      <c r="K48" s="111" t="str">
        <f aca="false">IF(ResourceTable[[#This Row],[Resource Name]]="","",SUMIFS(tsk_LeafCost,tsk_Resource,ResourceTable[[#This Row],[Resource Name]])+SUMIFS(asg_Cost,asg_Resource,ResourceTable[[#This Row],[Resource Name]]))</f>
        <v/>
      </c>
      <c r="L48" s="111" t="str">
        <f aca="false">IF(ResourceTable[[#This Row],[Resource Name]]="","",SUMIFS(tsk_ResourceAC,tsk_Resource,ResourceTable[[#This Row],[Resource Name]])+SUMIFS(asg_ActualCost,asg_Resource,ResourceTable[[#This Row],[Resource Name]]))</f>
        <v/>
      </c>
      <c r="M48" s="53"/>
    </row>
    <row r="49" customFormat="false" ht="15" hidden="false" customHeight="false" outlineLevel="0" collapsed="false">
      <c r="B49" s="53"/>
      <c r="C49" s="53"/>
      <c r="D49" s="53"/>
      <c r="E49" s="53"/>
      <c r="F49" s="102"/>
      <c r="G49" s="112"/>
      <c r="H49" s="53"/>
      <c r="I49" s="108" t="str">
        <f aca="false">IF(ResourceTable[[#This Row],[Resource Name]]="","",COUNTIFS(tsk_Resource,ResourceTable[[#This Row],[Resource Name]],tsk_IsLeaf,1)+COUNTIFS(asg_Resource,ResourceTable[[#This Row],[Resource Name]],asg_Valid,1))</f>
        <v/>
      </c>
      <c r="J49" s="110" t="str">
        <f aca="false">IF(ResourceTable[[#This Row],[Resource Name]]="","",SUMIFS(tsk_LeafWork,tsk_Resource,ResourceTable[[#This Row],[Resource Name]])+SUMIFS(asg_Work,asg_Resource,ResourceTable[[#This Row],[Resource Name]]))</f>
        <v/>
      </c>
      <c r="K49" s="111" t="str">
        <f aca="false">IF(ResourceTable[[#This Row],[Resource Name]]="","",SUMIFS(tsk_LeafCost,tsk_Resource,ResourceTable[[#This Row],[Resource Name]])+SUMIFS(asg_Cost,asg_Resource,ResourceTable[[#This Row],[Resource Name]]))</f>
        <v/>
      </c>
      <c r="L49" s="111" t="str">
        <f aca="false">IF(ResourceTable[[#This Row],[Resource Name]]="","",SUMIFS(tsk_ResourceAC,tsk_Resource,ResourceTable[[#This Row],[Resource Name]])+SUMIFS(asg_ActualCost,asg_Resource,ResourceTable[[#This Row],[Resource Name]]))</f>
        <v/>
      </c>
      <c r="M49" s="53"/>
    </row>
    <row r="50" customFormat="false" ht="15" hidden="false" customHeight="false" outlineLevel="0" collapsed="false">
      <c r="B50" s="53"/>
      <c r="C50" s="53"/>
      <c r="D50" s="53"/>
      <c r="E50" s="53"/>
      <c r="F50" s="102"/>
      <c r="G50" s="112"/>
      <c r="H50" s="53"/>
      <c r="I50" s="108" t="str">
        <f aca="false">IF(ResourceTable[[#This Row],[Resource Name]]="","",COUNTIFS(tsk_Resource,ResourceTable[[#This Row],[Resource Name]],tsk_IsLeaf,1)+COUNTIFS(asg_Resource,ResourceTable[[#This Row],[Resource Name]],asg_Valid,1))</f>
        <v/>
      </c>
      <c r="J50" s="110" t="str">
        <f aca="false">IF(ResourceTable[[#This Row],[Resource Name]]="","",SUMIFS(tsk_LeafWork,tsk_Resource,ResourceTable[[#This Row],[Resource Name]])+SUMIFS(asg_Work,asg_Resource,ResourceTable[[#This Row],[Resource Name]]))</f>
        <v/>
      </c>
      <c r="K50" s="111" t="str">
        <f aca="false">IF(ResourceTable[[#This Row],[Resource Name]]="","",SUMIFS(tsk_LeafCost,tsk_Resource,ResourceTable[[#This Row],[Resource Name]])+SUMIFS(asg_Cost,asg_Resource,ResourceTable[[#This Row],[Resource Name]]))</f>
        <v/>
      </c>
      <c r="L50" s="111" t="str">
        <f aca="false">IF(ResourceTable[[#This Row],[Resource Name]]="","",SUMIFS(tsk_ResourceAC,tsk_Resource,ResourceTable[[#This Row],[Resource Name]])+SUMIFS(asg_ActualCost,asg_Resource,ResourceTable[[#This Row],[Resource Name]]))</f>
        <v/>
      </c>
      <c r="M50" s="53"/>
    </row>
    <row r="51" customFormat="false" ht="15" hidden="false" customHeight="false" outlineLevel="0" collapsed="false">
      <c r="B51" s="53"/>
      <c r="C51" s="53"/>
      <c r="D51" s="53"/>
      <c r="E51" s="53"/>
      <c r="F51" s="102"/>
      <c r="G51" s="112"/>
      <c r="H51" s="53"/>
      <c r="I51" s="108" t="str">
        <f aca="false">IF(ResourceTable[[#This Row],[Resource Name]]="","",COUNTIFS(tsk_Resource,ResourceTable[[#This Row],[Resource Name]],tsk_IsLeaf,1)+COUNTIFS(asg_Resource,ResourceTable[[#This Row],[Resource Name]],asg_Valid,1))</f>
        <v/>
      </c>
      <c r="J51" s="110" t="str">
        <f aca="false">IF(ResourceTable[[#This Row],[Resource Name]]="","",SUMIFS(tsk_LeafWork,tsk_Resource,ResourceTable[[#This Row],[Resource Name]])+SUMIFS(asg_Work,asg_Resource,ResourceTable[[#This Row],[Resource Name]]))</f>
        <v/>
      </c>
      <c r="K51" s="111" t="str">
        <f aca="false">IF(ResourceTable[[#This Row],[Resource Name]]="","",SUMIFS(tsk_LeafCost,tsk_Resource,ResourceTable[[#This Row],[Resource Name]])+SUMIFS(asg_Cost,asg_Resource,ResourceTable[[#This Row],[Resource Name]]))</f>
        <v/>
      </c>
      <c r="L51" s="111" t="str">
        <f aca="false">IF(ResourceTable[[#This Row],[Resource Name]]="","",SUMIFS(tsk_ResourceAC,tsk_Resource,ResourceTable[[#This Row],[Resource Name]])+SUMIFS(asg_ActualCost,asg_Resource,ResourceTable[[#This Row],[Resource Name]]))</f>
        <v/>
      </c>
      <c r="M51" s="53"/>
    </row>
    <row r="52" customFormat="false" ht="15" hidden="false" customHeight="false" outlineLevel="0" collapsed="false">
      <c r="B52" s="53"/>
      <c r="C52" s="53"/>
      <c r="D52" s="53"/>
      <c r="E52" s="53"/>
      <c r="F52" s="102"/>
      <c r="G52" s="112"/>
      <c r="H52" s="53"/>
      <c r="I52" s="108" t="str">
        <f aca="false">IF(ResourceTable[[#This Row],[Resource Name]]="","",COUNTIFS(tsk_Resource,ResourceTable[[#This Row],[Resource Name]],tsk_IsLeaf,1)+COUNTIFS(asg_Resource,ResourceTable[[#This Row],[Resource Name]],asg_Valid,1))</f>
        <v/>
      </c>
      <c r="J52" s="110" t="str">
        <f aca="false">IF(ResourceTable[[#This Row],[Resource Name]]="","",SUMIFS(tsk_LeafWork,tsk_Resource,ResourceTable[[#This Row],[Resource Name]])+SUMIFS(asg_Work,asg_Resource,ResourceTable[[#This Row],[Resource Name]]))</f>
        <v/>
      </c>
      <c r="K52" s="111" t="str">
        <f aca="false">IF(ResourceTable[[#This Row],[Resource Name]]="","",SUMIFS(tsk_LeafCost,tsk_Resource,ResourceTable[[#This Row],[Resource Name]])+SUMIFS(asg_Cost,asg_Resource,ResourceTable[[#This Row],[Resource Name]]))</f>
        <v/>
      </c>
      <c r="L52" s="111" t="str">
        <f aca="false">IF(ResourceTable[[#This Row],[Resource Name]]="","",SUMIFS(tsk_ResourceAC,tsk_Resource,ResourceTable[[#This Row],[Resource Name]])+SUMIFS(asg_ActualCost,asg_Resource,ResourceTable[[#This Row],[Resource Name]]))</f>
        <v/>
      </c>
      <c r="M52" s="53"/>
    </row>
    <row r="53" customFormat="false" ht="15" hidden="false" customHeight="false" outlineLevel="0" collapsed="false">
      <c r="B53" s="53"/>
      <c r="C53" s="53"/>
      <c r="D53" s="53"/>
      <c r="E53" s="53"/>
      <c r="F53" s="102"/>
      <c r="G53" s="112"/>
      <c r="H53" s="53"/>
      <c r="I53" s="108" t="str">
        <f aca="false">IF(ResourceTable[[#This Row],[Resource Name]]="","",COUNTIFS(tsk_Resource,ResourceTable[[#This Row],[Resource Name]],tsk_IsLeaf,1)+COUNTIFS(asg_Resource,ResourceTable[[#This Row],[Resource Name]],asg_Valid,1))</f>
        <v/>
      </c>
      <c r="J53" s="110" t="str">
        <f aca="false">IF(ResourceTable[[#This Row],[Resource Name]]="","",SUMIFS(tsk_LeafWork,tsk_Resource,ResourceTable[[#This Row],[Resource Name]])+SUMIFS(asg_Work,asg_Resource,ResourceTable[[#This Row],[Resource Name]]))</f>
        <v/>
      </c>
      <c r="K53" s="111" t="str">
        <f aca="false">IF(ResourceTable[[#This Row],[Resource Name]]="","",SUMIFS(tsk_LeafCost,tsk_Resource,ResourceTable[[#This Row],[Resource Name]])+SUMIFS(asg_Cost,asg_Resource,ResourceTable[[#This Row],[Resource Name]]))</f>
        <v/>
      </c>
      <c r="L53" s="111" t="str">
        <f aca="false">IF(ResourceTable[[#This Row],[Resource Name]]="","",SUMIFS(tsk_ResourceAC,tsk_Resource,ResourceTable[[#This Row],[Resource Name]])+SUMIFS(asg_ActualCost,asg_Resource,ResourceTable[[#This Row],[Resource Name]]))</f>
        <v/>
      </c>
      <c r="M53" s="53"/>
    </row>
    <row r="54" customFormat="false" ht="15" hidden="false" customHeight="false" outlineLevel="0" collapsed="false">
      <c r="B54" s="53"/>
      <c r="C54" s="53"/>
      <c r="D54" s="53"/>
      <c r="E54" s="53"/>
      <c r="F54" s="102"/>
      <c r="G54" s="112"/>
      <c r="H54" s="53"/>
      <c r="I54" s="108" t="str">
        <f aca="false">IF(ResourceTable[[#This Row],[Resource Name]]="","",COUNTIFS(tsk_Resource,ResourceTable[[#This Row],[Resource Name]],tsk_IsLeaf,1)+COUNTIFS(asg_Resource,ResourceTable[[#This Row],[Resource Name]],asg_Valid,1))</f>
        <v/>
      </c>
      <c r="J54" s="110" t="str">
        <f aca="false">IF(ResourceTable[[#This Row],[Resource Name]]="","",SUMIFS(tsk_LeafWork,tsk_Resource,ResourceTable[[#This Row],[Resource Name]])+SUMIFS(asg_Work,asg_Resource,ResourceTable[[#This Row],[Resource Name]]))</f>
        <v/>
      </c>
      <c r="K54" s="111" t="str">
        <f aca="false">IF(ResourceTable[[#This Row],[Resource Name]]="","",SUMIFS(tsk_LeafCost,tsk_Resource,ResourceTable[[#This Row],[Resource Name]])+SUMIFS(asg_Cost,asg_Resource,ResourceTable[[#This Row],[Resource Name]]))</f>
        <v/>
      </c>
      <c r="L54" s="111" t="str">
        <f aca="false">IF(ResourceTable[[#This Row],[Resource Name]]="","",SUMIFS(tsk_ResourceAC,tsk_Resource,ResourceTable[[#This Row],[Resource Name]])+SUMIFS(asg_ActualCost,asg_Resource,ResourceTable[[#This Row],[Resource Name]]))</f>
        <v/>
      </c>
      <c r="M54" s="53"/>
    </row>
    <row r="55" customFormat="false" ht="15" hidden="false" customHeight="false" outlineLevel="0" collapsed="false">
      <c r="B55" s="53"/>
      <c r="C55" s="53"/>
      <c r="D55" s="53"/>
      <c r="E55" s="53"/>
      <c r="F55" s="102"/>
      <c r="G55" s="112"/>
      <c r="H55" s="53"/>
      <c r="I55" s="108" t="str">
        <f aca="false">IF(ResourceTable[[#This Row],[Resource Name]]="","",COUNTIFS(tsk_Resource,ResourceTable[[#This Row],[Resource Name]],tsk_IsLeaf,1)+COUNTIFS(asg_Resource,ResourceTable[[#This Row],[Resource Name]],asg_Valid,1))</f>
        <v/>
      </c>
      <c r="J55" s="110" t="str">
        <f aca="false">IF(ResourceTable[[#This Row],[Resource Name]]="","",SUMIFS(tsk_LeafWork,tsk_Resource,ResourceTable[[#This Row],[Resource Name]])+SUMIFS(asg_Work,asg_Resource,ResourceTable[[#This Row],[Resource Name]]))</f>
        <v/>
      </c>
      <c r="K55" s="111" t="str">
        <f aca="false">IF(ResourceTable[[#This Row],[Resource Name]]="","",SUMIFS(tsk_LeafCost,tsk_Resource,ResourceTable[[#This Row],[Resource Name]])+SUMIFS(asg_Cost,asg_Resource,ResourceTable[[#This Row],[Resource Name]]))</f>
        <v/>
      </c>
      <c r="L55" s="111" t="str">
        <f aca="false">IF(ResourceTable[[#This Row],[Resource Name]]="","",SUMIFS(tsk_ResourceAC,tsk_Resource,ResourceTable[[#This Row],[Resource Name]])+SUMIFS(asg_ActualCost,asg_Resource,ResourceTable[[#This Row],[Resource Name]]))</f>
        <v/>
      </c>
      <c r="M55" s="53"/>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8"/>
    <col collapsed="false" customWidth="true" hidden="false" outlineLevel="0" max="6" min="6" style="0" width="10"/>
    <col collapsed="false" customWidth="true" hidden="false" outlineLevel="0" max="7" min="7" style="0" width="11"/>
    <col collapsed="false" customWidth="true" hidden="false" outlineLevel="0" max="8" min="8" style="0" width="30"/>
    <col collapsed="false" customWidth="true" hidden="true" outlineLevel="1" max="21" min="9" style="0" width="10"/>
  </cols>
  <sheetData>
    <row r="1" customFormat="false" ht="19.7" hidden="false" customHeight="false" outlineLevel="0" collapsed="false">
      <c r="A1" s="32" t="s">
        <v>618</v>
      </c>
    </row>
    <row r="2" customFormat="false" ht="15" hidden="false" customHeight="false" outlineLevel="0" collapsed="false">
      <c r="A2" s="2" t="s">
        <v>619</v>
      </c>
    </row>
    <row r="5" customFormat="false" ht="35.05" hidden="false" customHeight="false" outlineLevel="0" collapsed="false">
      <c r="B5" s="50" t="s">
        <v>311</v>
      </c>
      <c r="C5" s="15" t="s">
        <v>227</v>
      </c>
      <c r="D5" s="50" t="s">
        <v>255</v>
      </c>
      <c r="E5" s="50" t="s">
        <v>482</v>
      </c>
      <c r="F5" s="15" t="s">
        <v>263</v>
      </c>
      <c r="G5" s="15" t="s">
        <v>266</v>
      </c>
      <c r="H5" s="15" t="s">
        <v>620</v>
      </c>
      <c r="I5" s="37" t="s">
        <v>621</v>
      </c>
      <c r="J5" s="37" t="s">
        <v>622</v>
      </c>
      <c r="K5" s="37" t="s">
        <v>623</v>
      </c>
      <c r="L5" s="37" t="s">
        <v>624</v>
      </c>
      <c r="M5" s="37" t="s">
        <v>625</v>
      </c>
      <c r="N5" s="37" t="s">
        <v>626</v>
      </c>
      <c r="O5" s="37" t="s">
        <v>627</v>
      </c>
      <c r="P5" s="37" t="s">
        <v>572</v>
      </c>
      <c r="Q5" s="37" t="s">
        <v>628</v>
      </c>
      <c r="R5" s="37" t="s">
        <v>629</v>
      </c>
      <c r="S5" s="37" t="s">
        <v>608</v>
      </c>
      <c r="T5" s="37" t="s">
        <v>610</v>
      </c>
      <c r="U5" s="37" t="s">
        <v>630</v>
      </c>
    </row>
    <row r="6" customFormat="false" ht="15" hidden="false" customHeight="false" outlineLevel="0" collapsed="false">
      <c r="B6" s="52"/>
      <c r="C6" s="30" t="str">
        <f aca="false">IF(AssignmentTable[[#This Row],[_TaskPos]]&lt;=0,"",INDEX(tsk_Name,AssignmentTable[[#This Row],[_TaskPos]])&amp;"")</f>
        <v/>
      </c>
      <c r="D6" s="53"/>
      <c r="E6" s="95"/>
      <c r="F6" s="110" t="n">
        <f aca="false">IF(AssignmentTable[[#This Row],[_Valid]]=1,N(INDEX(tsk_Duration,AssignmentTable[[#This Row],[_TaskPos]]))*HoursPerDay*IF(AssignmentTable[[#This Row],[Units]]="",DefaultUnits,AssignmentTable[[#This Row],[Units]]),0)</f>
        <v>0</v>
      </c>
      <c r="G6" s="111" t="n">
        <f aca="false">IF(AssignmentTable[[#This Row],[Work]]=0,0,AssignmentTable[[#This Row],[Work]]*IFERROR(INDEX(res_Rate,MATCH(AssignmentTable[[#This Row],[Resource]],res_Name,0)),0))</f>
        <v>0</v>
      </c>
      <c r="H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 s="38" t="n">
        <f aca="false">IF(N(AssignmentTable[[#This Row],[Task UID]])=0,0,IFERROR(MATCH(AssignmentTable[[#This Row],[Task UID]],tsk_UID,0),-1))</f>
        <v>0</v>
      </c>
      <c r="J6" s="38" t="n">
        <f aca="false">IF(AND(AssignmentTable[[#This Row],[_TaskPos]]&gt;0,AssignmentTable[[#This Row],[Resource]]&lt;&gt;"",AssignmentTable[[#This Row],[Check]]=""),1,0)</f>
        <v>0</v>
      </c>
      <c r="K6" s="38" t="str">
        <f aca="false">IF(AssignmentTable[[#This Row],[_Valid]]=1,AssignmentTable[[#This Row],[Task UID]]*1000+COUNTIFS(AssignmentTable[[#Headers],[Task UID]]:AssignmentTable[[#This Row],[Task UID]],AssignmentTable[[#This Row],[Task UID]],AssignmentTable[[#Headers],[_Valid]]:AssignmentTable[[#This Row],[_Valid]],1),"")</f>
        <v/>
      </c>
      <c r="L6" s="38" t="str">
        <f aca="false">IF(AssignmentTable[[#This Row],[_Valid]]=1,AssignmentTable[[#This Row],[Resource]]&amp;IF(OR(AssignmentTable[[#This Row],[Units]]="",AssignmentTable[[#This Row],[Units]]=1),"","["&amp;ROUND(AssignmentTable[[#This Row],[Units]]*100,0)&amp;"%]"),"")</f>
        <v/>
      </c>
      <c r="M6" s="38" t="n">
        <f aca="false">IF(AssignmentTable[[#This Row],[_Valid]]=1,N(INDEX(tsk_StartWD,AssignmentTable[[#This Row],[_TaskPos]])),0)</f>
        <v>0</v>
      </c>
      <c r="N6" s="38" t="n">
        <f aca="false">IF(AssignmentTable[[#This Row],[_Valid]]=1,N(INDEX(tsk_FinishWD,AssignmentTable[[#This Row],[_TaskPos]])),0)</f>
        <v>0</v>
      </c>
      <c r="O6" s="38" t="n">
        <f aca="false">IF(OR(AssignmentTable[[#This Row],[Work]]=0,AssignmentTable[[#This Row],[_FinishWD]]=0),0,AssignmentTable[[#This Row],[Work]]/(AssignmentTable[[#This Row],[_FinishWD]]-AssignmentTable[[#This Row],[_StartWD]]+1))</f>
        <v>0</v>
      </c>
      <c r="P6" s="38" t="n">
        <f aca="false">AssignmentTable[[#This Row],[_WorkPerWD]]*MAX(0,AssignmentTable[[#This Row],[_StartWD]]-1)</f>
        <v>0</v>
      </c>
      <c r="Q6" s="38" t="n">
        <f aca="false">IF(AssignmentTable[[#This Row],[_Valid]]=1,AssignmentTable[[#This Row],[Work]]*N(INDEX(tsk_LeafProgress,AssignmentTable[[#This Row],[_TaskPos]])),0)</f>
        <v>0</v>
      </c>
      <c r="R6" s="38" t="n">
        <f aca="false">IF(NOT(AssignmentTable[[#This Row],[_Valid]]=1),0,IF(N(INDEX(tsk_LeafTotalCost,AssignmentTable[[#This Row],[_TaskPos]]))=0,0,N(INDEX(tsk_LeafAC,AssignmentTable[[#This Row],[_TaskPos]]))*AssignmentTable[[#This Row],[Cost]]/INDEX(tsk_LeafTotalCost,AssignmentTable[[#This Row],[_TaskPos]])))</f>
        <v>0</v>
      </c>
      <c r="S6" s="38" t="n">
        <f aca="false">IF(NOT(AssignmentTable[[#This Row],[_Valid]]=1),0,IF(N(INDEX(tsk_LateKey,AssignmentTable[[#This Row],[_TaskPos]]))&gt;0,1,0))</f>
        <v>0</v>
      </c>
      <c r="T6" s="38" t="n">
        <f aca="false">IF(NOT(AssignmentTable[[#This Row],[_Valid]]=1),0,IF(INDEX(tsk_Critical,AssignmentTable[[#This Row],[_TaskPos]])="Yes",1,0))</f>
        <v>0</v>
      </c>
      <c r="U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 customFormat="false" ht="15" hidden="false" customHeight="false" outlineLevel="0" collapsed="false">
      <c r="B7" s="52"/>
      <c r="C7" s="30" t="str">
        <f aca="false">IF(AssignmentTable[[#This Row],[_TaskPos]]&lt;=0,"",INDEX(tsk_Name,AssignmentTable[[#This Row],[_TaskPos]])&amp;"")</f>
        <v/>
      </c>
      <c r="D7" s="53"/>
      <c r="E7" s="95"/>
      <c r="F7" s="110" t="n">
        <f aca="false">IF(AssignmentTable[[#This Row],[_Valid]]=1,N(INDEX(tsk_Duration,AssignmentTable[[#This Row],[_TaskPos]]))*HoursPerDay*IF(AssignmentTable[[#This Row],[Units]]="",DefaultUnits,AssignmentTable[[#This Row],[Units]]),0)</f>
        <v>0</v>
      </c>
      <c r="G7" s="111" t="n">
        <f aca="false">IF(AssignmentTable[[#This Row],[Work]]=0,0,AssignmentTable[[#This Row],[Work]]*IFERROR(INDEX(res_Rate,MATCH(AssignmentTable[[#This Row],[Resource]],res_Name,0)),0))</f>
        <v>0</v>
      </c>
      <c r="H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 s="38" t="n">
        <f aca="false">IF(N(AssignmentTable[[#This Row],[Task UID]])=0,0,IFERROR(MATCH(AssignmentTable[[#This Row],[Task UID]],tsk_UID,0),-1))</f>
        <v>0</v>
      </c>
      <c r="J7" s="38" t="n">
        <f aca="false">IF(AND(AssignmentTable[[#This Row],[_TaskPos]]&gt;0,AssignmentTable[[#This Row],[Resource]]&lt;&gt;"",AssignmentTable[[#This Row],[Check]]=""),1,0)</f>
        <v>0</v>
      </c>
      <c r="K7" s="38" t="str">
        <f aca="false">IF(AssignmentTable[[#This Row],[_Valid]]=1,AssignmentTable[[#This Row],[Task UID]]*1000+COUNTIFS(AssignmentTable[[#Headers],[Task UID]]:AssignmentTable[[#This Row],[Task UID]],AssignmentTable[[#This Row],[Task UID]],AssignmentTable[[#Headers],[_Valid]]:AssignmentTable[[#This Row],[_Valid]],1),"")</f>
        <v/>
      </c>
      <c r="L7" s="38" t="str">
        <f aca="false">IF(AssignmentTable[[#This Row],[_Valid]]=1,AssignmentTable[[#This Row],[Resource]]&amp;IF(OR(AssignmentTable[[#This Row],[Units]]="",AssignmentTable[[#This Row],[Units]]=1),"","["&amp;ROUND(AssignmentTable[[#This Row],[Units]]*100,0)&amp;"%]"),"")</f>
        <v/>
      </c>
      <c r="M7" s="38" t="n">
        <f aca="false">IF(AssignmentTable[[#This Row],[_Valid]]=1,N(INDEX(tsk_StartWD,AssignmentTable[[#This Row],[_TaskPos]])),0)</f>
        <v>0</v>
      </c>
      <c r="N7" s="38" t="n">
        <f aca="false">IF(AssignmentTable[[#This Row],[_Valid]]=1,N(INDEX(tsk_FinishWD,AssignmentTable[[#This Row],[_TaskPos]])),0)</f>
        <v>0</v>
      </c>
      <c r="O7" s="38" t="n">
        <f aca="false">IF(OR(AssignmentTable[[#This Row],[Work]]=0,AssignmentTable[[#This Row],[_FinishWD]]=0),0,AssignmentTable[[#This Row],[Work]]/(AssignmentTable[[#This Row],[_FinishWD]]-AssignmentTable[[#This Row],[_StartWD]]+1))</f>
        <v>0</v>
      </c>
      <c r="P7" s="38" t="n">
        <f aca="false">AssignmentTable[[#This Row],[_WorkPerWD]]*MAX(0,AssignmentTable[[#This Row],[_StartWD]]-1)</f>
        <v>0</v>
      </c>
      <c r="Q7" s="38" t="n">
        <f aca="false">IF(AssignmentTable[[#This Row],[_Valid]]=1,AssignmentTable[[#This Row],[Work]]*N(INDEX(tsk_LeafProgress,AssignmentTable[[#This Row],[_TaskPos]])),0)</f>
        <v>0</v>
      </c>
      <c r="R7" s="38" t="n">
        <f aca="false">IF(NOT(AssignmentTable[[#This Row],[_Valid]]=1),0,IF(N(INDEX(tsk_LeafTotalCost,AssignmentTable[[#This Row],[_TaskPos]]))=0,0,N(INDEX(tsk_LeafAC,AssignmentTable[[#This Row],[_TaskPos]]))*AssignmentTable[[#This Row],[Cost]]/INDEX(tsk_LeafTotalCost,AssignmentTable[[#This Row],[_TaskPos]])))</f>
        <v>0</v>
      </c>
      <c r="S7" s="38" t="n">
        <f aca="false">IF(NOT(AssignmentTable[[#This Row],[_Valid]]=1),0,IF(N(INDEX(tsk_LateKey,AssignmentTable[[#This Row],[_TaskPos]]))&gt;0,1,0))</f>
        <v>0</v>
      </c>
      <c r="T7" s="38" t="n">
        <f aca="false">IF(NOT(AssignmentTable[[#This Row],[_Valid]]=1),0,IF(INDEX(tsk_Critical,AssignmentTable[[#This Row],[_TaskPos]])="Yes",1,0))</f>
        <v>0</v>
      </c>
      <c r="U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 customFormat="false" ht="15" hidden="false" customHeight="false" outlineLevel="0" collapsed="false">
      <c r="B8" s="52"/>
      <c r="C8" s="30" t="str">
        <f aca="false">IF(AssignmentTable[[#This Row],[_TaskPos]]&lt;=0,"",INDEX(tsk_Name,AssignmentTable[[#This Row],[_TaskPos]])&amp;"")</f>
        <v/>
      </c>
      <c r="D8" s="53"/>
      <c r="E8" s="95"/>
      <c r="F8" s="110" t="n">
        <f aca="false">IF(AssignmentTable[[#This Row],[_Valid]]=1,N(INDEX(tsk_Duration,AssignmentTable[[#This Row],[_TaskPos]]))*HoursPerDay*IF(AssignmentTable[[#This Row],[Units]]="",DefaultUnits,AssignmentTable[[#This Row],[Units]]),0)</f>
        <v>0</v>
      </c>
      <c r="G8" s="111" t="n">
        <f aca="false">IF(AssignmentTable[[#This Row],[Work]]=0,0,AssignmentTable[[#This Row],[Work]]*IFERROR(INDEX(res_Rate,MATCH(AssignmentTable[[#This Row],[Resource]],res_Name,0)),0))</f>
        <v>0</v>
      </c>
      <c r="H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 s="38" t="n">
        <f aca="false">IF(N(AssignmentTable[[#This Row],[Task UID]])=0,0,IFERROR(MATCH(AssignmentTable[[#This Row],[Task UID]],tsk_UID,0),-1))</f>
        <v>0</v>
      </c>
      <c r="J8" s="38" t="n">
        <f aca="false">IF(AND(AssignmentTable[[#This Row],[_TaskPos]]&gt;0,AssignmentTable[[#This Row],[Resource]]&lt;&gt;"",AssignmentTable[[#This Row],[Check]]=""),1,0)</f>
        <v>0</v>
      </c>
      <c r="K8" s="38" t="str">
        <f aca="false">IF(AssignmentTable[[#This Row],[_Valid]]=1,AssignmentTable[[#This Row],[Task UID]]*1000+COUNTIFS(AssignmentTable[[#Headers],[Task UID]]:AssignmentTable[[#This Row],[Task UID]],AssignmentTable[[#This Row],[Task UID]],AssignmentTable[[#Headers],[_Valid]]:AssignmentTable[[#This Row],[_Valid]],1),"")</f>
        <v/>
      </c>
      <c r="L8" s="38" t="str">
        <f aca="false">IF(AssignmentTable[[#This Row],[_Valid]]=1,AssignmentTable[[#This Row],[Resource]]&amp;IF(OR(AssignmentTable[[#This Row],[Units]]="",AssignmentTable[[#This Row],[Units]]=1),"","["&amp;ROUND(AssignmentTable[[#This Row],[Units]]*100,0)&amp;"%]"),"")</f>
        <v/>
      </c>
      <c r="M8" s="38" t="n">
        <f aca="false">IF(AssignmentTable[[#This Row],[_Valid]]=1,N(INDEX(tsk_StartWD,AssignmentTable[[#This Row],[_TaskPos]])),0)</f>
        <v>0</v>
      </c>
      <c r="N8" s="38" t="n">
        <f aca="false">IF(AssignmentTable[[#This Row],[_Valid]]=1,N(INDEX(tsk_FinishWD,AssignmentTable[[#This Row],[_TaskPos]])),0)</f>
        <v>0</v>
      </c>
      <c r="O8" s="38" t="n">
        <f aca="false">IF(OR(AssignmentTable[[#This Row],[Work]]=0,AssignmentTable[[#This Row],[_FinishWD]]=0),0,AssignmentTable[[#This Row],[Work]]/(AssignmentTable[[#This Row],[_FinishWD]]-AssignmentTable[[#This Row],[_StartWD]]+1))</f>
        <v>0</v>
      </c>
      <c r="P8" s="38" t="n">
        <f aca="false">AssignmentTable[[#This Row],[_WorkPerWD]]*MAX(0,AssignmentTable[[#This Row],[_StartWD]]-1)</f>
        <v>0</v>
      </c>
      <c r="Q8" s="38" t="n">
        <f aca="false">IF(AssignmentTable[[#This Row],[_Valid]]=1,AssignmentTable[[#This Row],[Work]]*N(INDEX(tsk_LeafProgress,AssignmentTable[[#This Row],[_TaskPos]])),0)</f>
        <v>0</v>
      </c>
      <c r="R8" s="38" t="n">
        <f aca="false">IF(NOT(AssignmentTable[[#This Row],[_Valid]]=1),0,IF(N(INDEX(tsk_LeafTotalCost,AssignmentTable[[#This Row],[_TaskPos]]))=0,0,N(INDEX(tsk_LeafAC,AssignmentTable[[#This Row],[_TaskPos]]))*AssignmentTable[[#This Row],[Cost]]/INDEX(tsk_LeafTotalCost,AssignmentTable[[#This Row],[_TaskPos]])))</f>
        <v>0</v>
      </c>
      <c r="S8" s="38" t="n">
        <f aca="false">IF(NOT(AssignmentTable[[#This Row],[_Valid]]=1),0,IF(N(INDEX(tsk_LateKey,AssignmentTable[[#This Row],[_TaskPos]]))&gt;0,1,0))</f>
        <v>0</v>
      </c>
      <c r="T8" s="38" t="n">
        <f aca="false">IF(NOT(AssignmentTable[[#This Row],[_Valid]]=1),0,IF(INDEX(tsk_Critical,AssignmentTable[[#This Row],[_TaskPos]])="Yes",1,0))</f>
        <v>0</v>
      </c>
      <c r="U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 customFormat="false" ht="15" hidden="false" customHeight="false" outlineLevel="0" collapsed="false">
      <c r="B9" s="52"/>
      <c r="C9" s="30" t="str">
        <f aca="false">IF(AssignmentTable[[#This Row],[_TaskPos]]&lt;=0,"",INDEX(tsk_Name,AssignmentTable[[#This Row],[_TaskPos]])&amp;"")</f>
        <v/>
      </c>
      <c r="D9" s="53"/>
      <c r="E9" s="95"/>
      <c r="F9" s="110" t="n">
        <f aca="false">IF(AssignmentTable[[#This Row],[_Valid]]=1,N(INDEX(tsk_Duration,AssignmentTable[[#This Row],[_TaskPos]]))*HoursPerDay*IF(AssignmentTable[[#This Row],[Units]]="",DefaultUnits,AssignmentTable[[#This Row],[Units]]),0)</f>
        <v>0</v>
      </c>
      <c r="G9" s="111" t="n">
        <f aca="false">IF(AssignmentTable[[#This Row],[Work]]=0,0,AssignmentTable[[#This Row],[Work]]*IFERROR(INDEX(res_Rate,MATCH(AssignmentTable[[#This Row],[Resource]],res_Name,0)),0))</f>
        <v>0</v>
      </c>
      <c r="H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 s="38" t="n">
        <f aca="false">IF(N(AssignmentTable[[#This Row],[Task UID]])=0,0,IFERROR(MATCH(AssignmentTable[[#This Row],[Task UID]],tsk_UID,0),-1))</f>
        <v>0</v>
      </c>
      <c r="J9" s="38" t="n">
        <f aca="false">IF(AND(AssignmentTable[[#This Row],[_TaskPos]]&gt;0,AssignmentTable[[#This Row],[Resource]]&lt;&gt;"",AssignmentTable[[#This Row],[Check]]=""),1,0)</f>
        <v>0</v>
      </c>
      <c r="K9" s="38" t="str">
        <f aca="false">IF(AssignmentTable[[#This Row],[_Valid]]=1,AssignmentTable[[#This Row],[Task UID]]*1000+COUNTIFS(AssignmentTable[[#Headers],[Task UID]]:AssignmentTable[[#This Row],[Task UID]],AssignmentTable[[#This Row],[Task UID]],AssignmentTable[[#Headers],[_Valid]]:AssignmentTable[[#This Row],[_Valid]],1),"")</f>
        <v/>
      </c>
      <c r="L9" s="38" t="str">
        <f aca="false">IF(AssignmentTable[[#This Row],[_Valid]]=1,AssignmentTable[[#This Row],[Resource]]&amp;IF(OR(AssignmentTable[[#This Row],[Units]]="",AssignmentTable[[#This Row],[Units]]=1),"","["&amp;ROUND(AssignmentTable[[#This Row],[Units]]*100,0)&amp;"%]"),"")</f>
        <v/>
      </c>
      <c r="M9" s="38" t="n">
        <f aca="false">IF(AssignmentTable[[#This Row],[_Valid]]=1,N(INDEX(tsk_StartWD,AssignmentTable[[#This Row],[_TaskPos]])),0)</f>
        <v>0</v>
      </c>
      <c r="N9" s="38" t="n">
        <f aca="false">IF(AssignmentTable[[#This Row],[_Valid]]=1,N(INDEX(tsk_FinishWD,AssignmentTable[[#This Row],[_TaskPos]])),0)</f>
        <v>0</v>
      </c>
      <c r="O9" s="38" t="n">
        <f aca="false">IF(OR(AssignmentTable[[#This Row],[Work]]=0,AssignmentTable[[#This Row],[_FinishWD]]=0),0,AssignmentTable[[#This Row],[Work]]/(AssignmentTable[[#This Row],[_FinishWD]]-AssignmentTable[[#This Row],[_StartWD]]+1))</f>
        <v>0</v>
      </c>
      <c r="P9" s="38" t="n">
        <f aca="false">AssignmentTable[[#This Row],[_WorkPerWD]]*MAX(0,AssignmentTable[[#This Row],[_StartWD]]-1)</f>
        <v>0</v>
      </c>
      <c r="Q9" s="38" t="n">
        <f aca="false">IF(AssignmentTable[[#This Row],[_Valid]]=1,AssignmentTable[[#This Row],[Work]]*N(INDEX(tsk_LeafProgress,AssignmentTable[[#This Row],[_TaskPos]])),0)</f>
        <v>0</v>
      </c>
      <c r="R9" s="38" t="n">
        <f aca="false">IF(NOT(AssignmentTable[[#This Row],[_Valid]]=1),0,IF(N(INDEX(tsk_LeafTotalCost,AssignmentTable[[#This Row],[_TaskPos]]))=0,0,N(INDEX(tsk_LeafAC,AssignmentTable[[#This Row],[_TaskPos]]))*AssignmentTable[[#This Row],[Cost]]/INDEX(tsk_LeafTotalCost,AssignmentTable[[#This Row],[_TaskPos]])))</f>
        <v>0</v>
      </c>
      <c r="S9" s="38" t="n">
        <f aca="false">IF(NOT(AssignmentTable[[#This Row],[_Valid]]=1),0,IF(N(INDEX(tsk_LateKey,AssignmentTable[[#This Row],[_TaskPos]]))&gt;0,1,0))</f>
        <v>0</v>
      </c>
      <c r="T9" s="38" t="n">
        <f aca="false">IF(NOT(AssignmentTable[[#This Row],[_Valid]]=1),0,IF(INDEX(tsk_Critical,AssignmentTable[[#This Row],[_TaskPos]])="Yes",1,0))</f>
        <v>0</v>
      </c>
      <c r="U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 customFormat="false" ht="15" hidden="false" customHeight="false" outlineLevel="0" collapsed="false">
      <c r="B10" s="52"/>
      <c r="C10" s="30" t="str">
        <f aca="false">IF(AssignmentTable[[#This Row],[_TaskPos]]&lt;=0,"",INDEX(tsk_Name,AssignmentTable[[#This Row],[_TaskPos]])&amp;"")</f>
        <v/>
      </c>
      <c r="D10" s="53"/>
      <c r="E10" s="95"/>
      <c r="F10" s="110" t="n">
        <f aca="false">IF(AssignmentTable[[#This Row],[_Valid]]=1,N(INDEX(tsk_Duration,AssignmentTable[[#This Row],[_TaskPos]]))*HoursPerDay*IF(AssignmentTable[[#This Row],[Units]]="",DefaultUnits,AssignmentTable[[#This Row],[Units]]),0)</f>
        <v>0</v>
      </c>
      <c r="G10" s="111" t="n">
        <f aca="false">IF(AssignmentTable[[#This Row],[Work]]=0,0,AssignmentTable[[#This Row],[Work]]*IFERROR(INDEX(res_Rate,MATCH(AssignmentTable[[#This Row],[Resource]],res_Name,0)),0))</f>
        <v>0</v>
      </c>
      <c r="H1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 s="38" t="n">
        <f aca="false">IF(N(AssignmentTable[[#This Row],[Task UID]])=0,0,IFERROR(MATCH(AssignmentTable[[#This Row],[Task UID]],tsk_UID,0),-1))</f>
        <v>0</v>
      </c>
      <c r="J10" s="38" t="n">
        <f aca="false">IF(AND(AssignmentTable[[#This Row],[_TaskPos]]&gt;0,AssignmentTable[[#This Row],[Resource]]&lt;&gt;"",AssignmentTable[[#This Row],[Check]]=""),1,0)</f>
        <v>0</v>
      </c>
      <c r="K10" s="38" t="str">
        <f aca="false">IF(AssignmentTable[[#This Row],[_Valid]]=1,AssignmentTable[[#This Row],[Task UID]]*1000+COUNTIFS(AssignmentTable[[#Headers],[Task UID]]:AssignmentTable[[#This Row],[Task UID]],AssignmentTable[[#This Row],[Task UID]],AssignmentTable[[#Headers],[_Valid]]:AssignmentTable[[#This Row],[_Valid]],1),"")</f>
        <v/>
      </c>
      <c r="L10" s="38" t="str">
        <f aca="false">IF(AssignmentTable[[#This Row],[_Valid]]=1,AssignmentTable[[#This Row],[Resource]]&amp;IF(OR(AssignmentTable[[#This Row],[Units]]="",AssignmentTable[[#This Row],[Units]]=1),"","["&amp;ROUND(AssignmentTable[[#This Row],[Units]]*100,0)&amp;"%]"),"")</f>
        <v/>
      </c>
      <c r="M10" s="38" t="n">
        <f aca="false">IF(AssignmentTable[[#This Row],[_Valid]]=1,N(INDEX(tsk_StartWD,AssignmentTable[[#This Row],[_TaskPos]])),0)</f>
        <v>0</v>
      </c>
      <c r="N10" s="38" t="n">
        <f aca="false">IF(AssignmentTable[[#This Row],[_Valid]]=1,N(INDEX(tsk_FinishWD,AssignmentTable[[#This Row],[_TaskPos]])),0)</f>
        <v>0</v>
      </c>
      <c r="O10" s="38" t="n">
        <f aca="false">IF(OR(AssignmentTable[[#This Row],[Work]]=0,AssignmentTable[[#This Row],[_FinishWD]]=0),0,AssignmentTable[[#This Row],[Work]]/(AssignmentTable[[#This Row],[_FinishWD]]-AssignmentTable[[#This Row],[_StartWD]]+1))</f>
        <v>0</v>
      </c>
      <c r="P10" s="38" t="n">
        <f aca="false">AssignmentTable[[#This Row],[_WorkPerWD]]*MAX(0,AssignmentTable[[#This Row],[_StartWD]]-1)</f>
        <v>0</v>
      </c>
      <c r="Q10" s="38" t="n">
        <f aca="false">IF(AssignmentTable[[#This Row],[_Valid]]=1,AssignmentTable[[#This Row],[Work]]*N(INDEX(tsk_LeafProgress,AssignmentTable[[#This Row],[_TaskPos]])),0)</f>
        <v>0</v>
      </c>
      <c r="R10" s="38" t="n">
        <f aca="false">IF(NOT(AssignmentTable[[#This Row],[_Valid]]=1),0,IF(N(INDEX(tsk_LeafTotalCost,AssignmentTable[[#This Row],[_TaskPos]]))=0,0,N(INDEX(tsk_LeafAC,AssignmentTable[[#This Row],[_TaskPos]]))*AssignmentTable[[#This Row],[Cost]]/INDEX(tsk_LeafTotalCost,AssignmentTable[[#This Row],[_TaskPos]])))</f>
        <v>0</v>
      </c>
      <c r="S10" s="38" t="n">
        <f aca="false">IF(NOT(AssignmentTable[[#This Row],[_Valid]]=1),0,IF(N(INDEX(tsk_LateKey,AssignmentTable[[#This Row],[_TaskPos]]))&gt;0,1,0))</f>
        <v>0</v>
      </c>
      <c r="T10" s="38" t="n">
        <f aca="false">IF(NOT(AssignmentTable[[#This Row],[_Valid]]=1),0,IF(INDEX(tsk_Critical,AssignmentTable[[#This Row],[_TaskPos]])="Yes",1,0))</f>
        <v>0</v>
      </c>
      <c r="U1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1" customFormat="false" ht="15" hidden="false" customHeight="false" outlineLevel="0" collapsed="false">
      <c r="B11" s="52"/>
      <c r="C11" s="30" t="str">
        <f aca="false">IF(AssignmentTable[[#This Row],[_TaskPos]]&lt;=0,"",INDEX(tsk_Name,AssignmentTable[[#This Row],[_TaskPos]])&amp;"")</f>
        <v/>
      </c>
      <c r="D11" s="53"/>
      <c r="E11" s="95"/>
      <c r="F11" s="110" t="n">
        <f aca="false">IF(AssignmentTable[[#This Row],[_Valid]]=1,N(INDEX(tsk_Duration,AssignmentTable[[#This Row],[_TaskPos]]))*HoursPerDay*IF(AssignmentTable[[#This Row],[Units]]="",DefaultUnits,AssignmentTable[[#This Row],[Units]]),0)</f>
        <v>0</v>
      </c>
      <c r="G11" s="111" t="n">
        <f aca="false">IF(AssignmentTable[[#This Row],[Work]]=0,0,AssignmentTable[[#This Row],[Work]]*IFERROR(INDEX(res_Rate,MATCH(AssignmentTable[[#This Row],[Resource]],res_Name,0)),0))</f>
        <v>0</v>
      </c>
      <c r="H1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1" s="38" t="n">
        <f aca="false">IF(N(AssignmentTable[[#This Row],[Task UID]])=0,0,IFERROR(MATCH(AssignmentTable[[#This Row],[Task UID]],tsk_UID,0),-1))</f>
        <v>0</v>
      </c>
      <c r="J11" s="38" t="n">
        <f aca="false">IF(AND(AssignmentTable[[#This Row],[_TaskPos]]&gt;0,AssignmentTable[[#This Row],[Resource]]&lt;&gt;"",AssignmentTable[[#This Row],[Check]]=""),1,0)</f>
        <v>0</v>
      </c>
      <c r="K11" s="38" t="str">
        <f aca="false">IF(AssignmentTable[[#This Row],[_Valid]]=1,AssignmentTable[[#This Row],[Task UID]]*1000+COUNTIFS(AssignmentTable[[#Headers],[Task UID]]:AssignmentTable[[#This Row],[Task UID]],AssignmentTable[[#This Row],[Task UID]],AssignmentTable[[#Headers],[_Valid]]:AssignmentTable[[#This Row],[_Valid]],1),"")</f>
        <v/>
      </c>
      <c r="L11" s="38" t="str">
        <f aca="false">IF(AssignmentTable[[#This Row],[_Valid]]=1,AssignmentTable[[#This Row],[Resource]]&amp;IF(OR(AssignmentTable[[#This Row],[Units]]="",AssignmentTable[[#This Row],[Units]]=1),"","["&amp;ROUND(AssignmentTable[[#This Row],[Units]]*100,0)&amp;"%]"),"")</f>
        <v/>
      </c>
      <c r="M11" s="38" t="n">
        <f aca="false">IF(AssignmentTable[[#This Row],[_Valid]]=1,N(INDEX(tsk_StartWD,AssignmentTable[[#This Row],[_TaskPos]])),0)</f>
        <v>0</v>
      </c>
      <c r="N11" s="38" t="n">
        <f aca="false">IF(AssignmentTable[[#This Row],[_Valid]]=1,N(INDEX(tsk_FinishWD,AssignmentTable[[#This Row],[_TaskPos]])),0)</f>
        <v>0</v>
      </c>
      <c r="O11" s="38" t="n">
        <f aca="false">IF(OR(AssignmentTable[[#This Row],[Work]]=0,AssignmentTable[[#This Row],[_FinishWD]]=0),0,AssignmentTable[[#This Row],[Work]]/(AssignmentTable[[#This Row],[_FinishWD]]-AssignmentTable[[#This Row],[_StartWD]]+1))</f>
        <v>0</v>
      </c>
      <c r="P11" s="38" t="n">
        <f aca="false">AssignmentTable[[#This Row],[_WorkPerWD]]*MAX(0,AssignmentTable[[#This Row],[_StartWD]]-1)</f>
        <v>0</v>
      </c>
      <c r="Q11" s="38" t="n">
        <f aca="false">IF(AssignmentTable[[#This Row],[_Valid]]=1,AssignmentTable[[#This Row],[Work]]*N(INDEX(tsk_LeafProgress,AssignmentTable[[#This Row],[_TaskPos]])),0)</f>
        <v>0</v>
      </c>
      <c r="R11" s="38" t="n">
        <f aca="false">IF(NOT(AssignmentTable[[#This Row],[_Valid]]=1),0,IF(N(INDEX(tsk_LeafTotalCost,AssignmentTable[[#This Row],[_TaskPos]]))=0,0,N(INDEX(tsk_LeafAC,AssignmentTable[[#This Row],[_TaskPos]]))*AssignmentTable[[#This Row],[Cost]]/INDEX(tsk_LeafTotalCost,AssignmentTable[[#This Row],[_TaskPos]])))</f>
        <v>0</v>
      </c>
      <c r="S11" s="38" t="n">
        <f aca="false">IF(NOT(AssignmentTable[[#This Row],[_Valid]]=1),0,IF(N(INDEX(tsk_LateKey,AssignmentTable[[#This Row],[_TaskPos]]))&gt;0,1,0))</f>
        <v>0</v>
      </c>
      <c r="T11" s="38" t="n">
        <f aca="false">IF(NOT(AssignmentTable[[#This Row],[_Valid]]=1),0,IF(INDEX(tsk_Critical,AssignmentTable[[#This Row],[_TaskPos]])="Yes",1,0))</f>
        <v>0</v>
      </c>
      <c r="U1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2" customFormat="false" ht="15" hidden="false" customHeight="false" outlineLevel="0" collapsed="false">
      <c r="B12" s="52"/>
      <c r="C12" s="30" t="str">
        <f aca="false">IF(AssignmentTable[[#This Row],[_TaskPos]]&lt;=0,"",INDEX(tsk_Name,AssignmentTable[[#This Row],[_TaskPos]])&amp;"")</f>
        <v/>
      </c>
      <c r="D12" s="53"/>
      <c r="E12" s="95"/>
      <c r="F12" s="110" t="n">
        <f aca="false">IF(AssignmentTable[[#This Row],[_Valid]]=1,N(INDEX(tsk_Duration,AssignmentTable[[#This Row],[_TaskPos]]))*HoursPerDay*IF(AssignmentTable[[#This Row],[Units]]="",DefaultUnits,AssignmentTable[[#This Row],[Units]]),0)</f>
        <v>0</v>
      </c>
      <c r="G12" s="111" t="n">
        <f aca="false">IF(AssignmentTable[[#This Row],[Work]]=0,0,AssignmentTable[[#This Row],[Work]]*IFERROR(INDEX(res_Rate,MATCH(AssignmentTable[[#This Row],[Resource]],res_Name,0)),0))</f>
        <v>0</v>
      </c>
      <c r="H1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2" s="38" t="n">
        <f aca="false">IF(N(AssignmentTable[[#This Row],[Task UID]])=0,0,IFERROR(MATCH(AssignmentTable[[#This Row],[Task UID]],tsk_UID,0),-1))</f>
        <v>0</v>
      </c>
      <c r="J12" s="38" t="n">
        <f aca="false">IF(AND(AssignmentTable[[#This Row],[_TaskPos]]&gt;0,AssignmentTable[[#This Row],[Resource]]&lt;&gt;"",AssignmentTable[[#This Row],[Check]]=""),1,0)</f>
        <v>0</v>
      </c>
      <c r="K12" s="38" t="str">
        <f aca="false">IF(AssignmentTable[[#This Row],[_Valid]]=1,AssignmentTable[[#This Row],[Task UID]]*1000+COUNTIFS(AssignmentTable[[#Headers],[Task UID]]:AssignmentTable[[#This Row],[Task UID]],AssignmentTable[[#This Row],[Task UID]],AssignmentTable[[#Headers],[_Valid]]:AssignmentTable[[#This Row],[_Valid]],1),"")</f>
        <v/>
      </c>
      <c r="L12" s="38" t="str">
        <f aca="false">IF(AssignmentTable[[#This Row],[_Valid]]=1,AssignmentTable[[#This Row],[Resource]]&amp;IF(OR(AssignmentTable[[#This Row],[Units]]="",AssignmentTable[[#This Row],[Units]]=1),"","["&amp;ROUND(AssignmentTable[[#This Row],[Units]]*100,0)&amp;"%]"),"")</f>
        <v/>
      </c>
      <c r="M12" s="38" t="n">
        <f aca="false">IF(AssignmentTable[[#This Row],[_Valid]]=1,N(INDEX(tsk_StartWD,AssignmentTable[[#This Row],[_TaskPos]])),0)</f>
        <v>0</v>
      </c>
      <c r="N12" s="38" t="n">
        <f aca="false">IF(AssignmentTable[[#This Row],[_Valid]]=1,N(INDEX(tsk_FinishWD,AssignmentTable[[#This Row],[_TaskPos]])),0)</f>
        <v>0</v>
      </c>
      <c r="O12" s="38" t="n">
        <f aca="false">IF(OR(AssignmentTable[[#This Row],[Work]]=0,AssignmentTable[[#This Row],[_FinishWD]]=0),0,AssignmentTable[[#This Row],[Work]]/(AssignmentTable[[#This Row],[_FinishWD]]-AssignmentTable[[#This Row],[_StartWD]]+1))</f>
        <v>0</v>
      </c>
      <c r="P12" s="38" t="n">
        <f aca="false">AssignmentTable[[#This Row],[_WorkPerWD]]*MAX(0,AssignmentTable[[#This Row],[_StartWD]]-1)</f>
        <v>0</v>
      </c>
      <c r="Q12" s="38" t="n">
        <f aca="false">IF(AssignmentTable[[#This Row],[_Valid]]=1,AssignmentTable[[#This Row],[Work]]*N(INDEX(tsk_LeafProgress,AssignmentTable[[#This Row],[_TaskPos]])),0)</f>
        <v>0</v>
      </c>
      <c r="R12" s="38" t="n">
        <f aca="false">IF(NOT(AssignmentTable[[#This Row],[_Valid]]=1),0,IF(N(INDEX(tsk_LeafTotalCost,AssignmentTable[[#This Row],[_TaskPos]]))=0,0,N(INDEX(tsk_LeafAC,AssignmentTable[[#This Row],[_TaskPos]]))*AssignmentTable[[#This Row],[Cost]]/INDEX(tsk_LeafTotalCost,AssignmentTable[[#This Row],[_TaskPos]])))</f>
        <v>0</v>
      </c>
      <c r="S12" s="38" t="n">
        <f aca="false">IF(NOT(AssignmentTable[[#This Row],[_Valid]]=1),0,IF(N(INDEX(tsk_LateKey,AssignmentTable[[#This Row],[_TaskPos]]))&gt;0,1,0))</f>
        <v>0</v>
      </c>
      <c r="T12" s="38" t="n">
        <f aca="false">IF(NOT(AssignmentTable[[#This Row],[_Valid]]=1),0,IF(INDEX(tsk_Critical,AssignmentTable[[#This Row],[_TaskPos]])="Yes",1,0))</f>
        <v>0</v>
      </c>
      <c r="U1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3" customFormat="false" ht="15" hidden="false" customHeight="false" outlineLevel="0" collapsed="false">
      <c r="B13" s="52"/>
      <c r="C13" s="30" t="str">
        <f aca="false">IF(AssignmentTable[[#This Row],[_TaskPos]]&lt;=0,"",INDEX(tsk_Name,AssignmentTable[[#This Row],[_TaskPos]])&amp;"")</f>
        <v/>
      </c>
      <c r="D13" s="53"/>
      <c r="E13" s="95"/>
      <c r="F13" s="110" t="n">
        <f aca="false">IF(AssignmentTable[[#This Row],[_Valid]]=1,N(INDEX(tsk_Duration,AssignmentTable[[#This Row],[_TaskPos]]))*HoursPerDay*IF(AssignmentTable[[#This Row],[Units]]="",DefaultUnits,AssignmentTable[[#This Row],[Units]]),0)</f>
        <v>0</v>
      </c>
      <c r="G13" s="111" t="n">
        <f aca="false">IF(AssignmentTable[[#This Row],[Work]]=0,0,AssignmentTable[[#This Row],[Work]]*IFERROR(INDEX(res_Rate,MATCH(AssignmentTable[[#This Row],[Resource]],res_Name,0)),0))</f>
        <v>0</v>
      </c>
      <c r="H1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3" s="38" t="n">
        <f aca="false">IF(N(AssignmentTable[[#This Row],[Task UID]])=0,0,IFERROR(MATCH(AssignmentTable[[#This Row],[Task UID]],tsk_UID,0),-1))</f>
        <v>0</v>
      </c>
      <c r="J13" s="38" t="n">
        <f aca="false">IF(AND(AssignmentTable[[#This Row],[_TaskPos]]&gt;0,AssignmentTable[[#This Row],[Resource]]&lt;&gt;"",AssignmentTable[[#This Row],[Check]]=""),1,0)</f>
        <v>0</v>
      </c>
      <c r="K13" s="38" t="str">
        <f aca="false">IF(AssignmentTable[[#This Row],[_Valid]]=1,AssignmentTable[[#This Row],[Task UID]]*1000+COUNTIFS(AssignmentTable[[#Headers],[Task UID]]:AssignmentTable[[#This Row],[Task UID]],AssignmentTable[[#This Row],[Task UID]],AssignmentTable[[#Headers],[_Valid]]:AssignmentTable[[#This Row],[_Valid]],1),"")</f>
        <v/>
      </c>
      <c r="L13" s="38" t="str">
        <f aca="false">IF(AssignmentTable[[#This Row],[_Valid]]=1,AssignmentTable[[#This Row],[Resource]]&amp;IF(OR(AssignmentTable[[#This Row],[Units]]="",AssignmentTable[[#This Row],[Units]]=1),"","["&amp;ROUND(AssignmentTable[[#This Row],[Units]]*100,0)&amp;"%]"),"")</f>
        <v/>
      </c>
      <c r="M13" s="38" t="n">
        <f aca="false">IF(AssignmentTable[[#This Row],[_Valid]]=1,N(INDEX(tsk_StartWD,AssignmentTable[[#This Row],[_TaskPos]])),0)</f>
        <v>0</v>
      </c>
      <c r="N13" s="38" t="n">
        <f aca="false">IF(AssignmentTable[[#This Row],[_Valid]]=1,N(INDEX(tsk_FinishWD,AssignmentTable[[#This Row],[_TaskPos]])),0)</f>
        <v>0</v>
      </c>
      <c r="O13" s="38" t="n">
        <f aca="false">IF(OR(AssignmentTable[[#This Row],[Work]]=0,AssignmentTable[[#This Row],[_FinishWD]]=0),0,AssignmentTable[[#This Row],[Work]]/(AssignmentTable[[#This Row],[_FinishWD]]-AssignmentTable[[#This Row],[_StartWD]]+1))</f>
        <v>0</v>
      </c>
      <c r="P13" s="38" t="n">
        <f aca="false">AssignmentTable[[#This Row],[_WorkPerWD]]*MAX(0,AssignmentTable[[#This Row],[_StartWD]]-1)</f>
        <v>0</v>
      </c>
      <c r="Q13" s="38" t="n">
        <f aca="false">IF(AssignmentTable[[#This Row],[_Valid]]=1,AssignmentTable[[#This Row],[Work]]*N(INDEX(tsk_LeafProgress,AssignmentTable[[#This Row],[_TaskPos]])),0)</f>
        <v>0</v>
      </c>
      <c r="R13" s="38" t="n">
        <f aca="false">IF(NOT(AssignmentTable[[#This Row],[_Valid]]=1),0,IF(N(INDEX(tsk_LeafTotalCost,AssignmentTable[[#This Row],[_TaskPos]]))=0,0,N(INDEX(tsk_LeafAC,AssignmentTable[[#This Row],[_TaskPos]]))*AssignmentTable[[#This Row],[Cost]]/INDEX(tsk_LeafTotalCost,AssignmentTable[[#This Row],[_TaskPos]])))</f>
        <v>0</v>
      </c>
      <c r="S13" s="38" t="n">
        <f aca="false">IF(NOT(AssignmentTable[[#This Row],[_Valid]]=1),0,IF(N(INDEX(tsk_LateKey,AssignmentTable[[#This Row],[_TaskPos]]))&gt;0,1,0))</f>
        <v>0</v>
      </c>
      <c r="T13" s="38" t="n">
        <f aca="false">IF(NOT(AssignmentTable[[#This Row],[_Valid]]=1),0,IF(INDEX(tsk_Critical,AssignmentTable[[#This Row],[_TaskPos]])="Yes",1,0))</f>
        <v>0</v>
      </c>
      <c r="U1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4" customFormat="false" ht="15" hidden="false" customHeight="false" outlineLevel="0" collapsed="false">
      <c r="B14" s="52"/>
      <c r="C14" s="30" t="str">
        <f aca="false">IF(AssignmentTable[[#This Row],[_TaskPos]]&lt;=0,"",INDEX(tsk_Name,AssignmentTable[[#This Row],[_TaskPos]])&amp;"")</f>
        <v/>
      </c>
      <c r="D14" s="53"/>
      <c r="E14" s="95"/>
      <c r="F14" s="110" t="n">
        <f aca="false">IF(AssignmentTable[[#This Row],[_Valid]]=1,N(INDEX(tsk_Duration,AssignmentTable[[#This Row],[_TaskPos]]))*HoursPerDay*IF(AssignmentTable[[#This Row],[Units]]="",DefaultUnits,AssignmentTable[[#This Row],[Units]]),0)</f>
        <v>0</v>
      </c>
      <c r="G14" s="111" t="n">
        <f aca="false">IF(AssignmentTable[[#This Row],[Work]]=0,0,AssignmentTable[[#This Row],[Work]]*IFERROR(INDEX(res_Rate,MATCH(AssignmentTable[[#This Row],[Resource]],res_Name,0)),0))</f>
        <v>0</v>
      </c>
      <c r="H1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4" s="38" t="n">
        <f aca="false">IF(N(AssignmentTable[[#This Row],[Task UID]])=0,0,IFERROR(MATCH(AssignmentTable[[#This Row],[Task UID]],tsk_UID,0),-1))</f>
        <v>0</v>
      </c>
      <c r="J14" s="38" t="n">
        <f aca="false">IF(AND(AssignmentTable[[#This Row],[_TaskPos]]&gt;0,AssignmentTable[[#This Row],[Resource]]&lt;&gt;"",AssignmentTable[[#This Row],[Check]]=""),1,0)</f>
        <v>0</v>
      </c>
      <c r="K14" s="38" t="str">
        <f aca="false">IF(AssignmentTable[[#This Row],[_Valid]]=1,AssignmentTable[[#This Row],[Task UID]]*1000+COUNTIFS(AssignmentTable[[#Headers],[Task UID]]:AssignmentTable[[#This Row],[Task UID]],AssignmentTable[[#This Row],[Task UID]],AssignmentTable[[#Headers],[_Valid]]:AssignmentTable[[#This Row],[_Valid]],1),"")</f>
        <v/>
      </c>
      <c r="L14" s="38" t="str">
        <f aca="false">IF(AssignmentTable[[#This Row],[_Valid]]=1,AssignmentTable[[#This Row],[Resource]]&amp;IF(OR(AssignmentTable[[#This Row],[Units]]="",AssignmentTable[[#This Row],[Units]]=1),"","["&amp;ROUND(AssignmentTable[[#This Row],[Units]]*100,0)&amp;"%]"),"")</f>
        <v/>
      </c>
      <c r="M14" s="38" t="n">
        <f aca="false">IF(AssignmentTable[[#This Row],[_Valid]]=1,N(INDEX(tsk_StartWD,AssignmentTable[[#This Row],[_TaskPos]])),0)</f>
        <v>0</v>
      </c>
      <c r="N14" s="38" t="n">
        <f aca="false">IF(AssignmentTable[[#This Row],[_Valid]]=1,N(INDEX(tsk_FinishWD,AssignmentTable[[#This Row],[_TaskPos]])),0)</f>
        <v>0</v>
      </c>
      <c r="O14" s="38" t="n">
        <f aca="false">IF(OR(AssignmentTable[[#This Row],[Work]]=0,AssignmentTable[[#This Row],[_FinishWD]]=0),0,AssignmentTable[[#This Row],[Work]]/(AssignmentTable[[#This Row],[_FinishWD]]-AssignmentTable[[#This Row],[_StartWD]]+1))</f>
        <v>0</v>
      </c>
      <c r="P14" s="38" t="n">
        <f aca="false">AssignmentTable[[#This Row],[_WorkPerWD]]*MAX(0,AssignmentTable[[#This Row],[_StartWD]]-1)</f>
        <v>0</v>
      </c>
      <c r="Q14" s="38" t="n">
        <f aca="false">IF(AssignmentTable[[#This Row],[_Valid]]=1,AssignmentTable[[#This Row],[Work]]*N(INDEX(tsk_LeafProgress,AssignmentTable[[#This Row],[_TaskPos]])),0)</f>
        <v>0</v>
      </c>
      <c r="R14" s="38" t="n">
        <f aca="false">IF(NOT(AssignmentTable[[#This Row],[_Valid]]=1),0,IF(N(INDEX(tsk_LeafTotalCost,AssignmentTable[[#This Row],[_TaskPos]]))=0,0,N(INDEX(tsk_LeafAC,AssignmentTable[[#This Row],[_TaskPos]]))*AssignmentTable[[#This Row],[Cost]]/INDEX(tsk_LeafTotalCost,AssignmentTable[[#This Row],[_TaskPos]])))</f>
        <v>0</v>
      </c>
      <c r="S14" s="38" t="n">
        <f aca="false">IF(NOT(AssignmentTable[[#This Row],[_Valid]]=1),0,IF(N(INDEX(tsk_LateKey,AssignmentTable[[#This Row],[_TaskPos]]))&gt;0,1,0))</f>
        <v>0</v>
      </c>
      <c r="T14" s="38" t="n">
        <f aca="false">IF(NOT(AssignmentTable[[#This Row],[_Valid]]=1),0,IF(INDEX(tsk_Critical,AssignmentTable[[#This Row],[_TaskPos]])="Yes",1,0))</f>
        <v>0</v>
      </c>
      <c r="U1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5" customFormat="false" ht="15" hidden="false" customHeight="false" outlineLevel="0" collapsed="false">
      <c r="B15" s="52"/>
      <c r="C15" s="30" t="str">
        <f aca="false">IF(AssignmentTable[[#This Row],[_TaskPos]]&lt;=0,"",INDEX(tsk_Name,AssignmentTable[[#This Row],[_TaskPos]])&amp;"")</f>
        <v/>
      </c>
      <c r="D15" s="53"/>
      <c r="E15" s="95"/>
      <c r="F15" s="110" t="n">
        <f aca="false">IF(AssignmentTable[[#This Row],[_Valid]]=1,N(INDEX(tsk_Duration,AssignmentTable[[#This Row],[_TaskPos]]))*HoursPerDay*IF(AssignmentTable[[#This Row],[Units]]="",DefaultUnits,AssignmentTable[[#This Row],[Units]]),0)</f>
        <v>0</v>
      </c>
      <c r="G15" s="111" t="n">
        <f aca="false">IF(AssignmentTable[[#This Row],[Work]]=0,0,AssignmentTable[[#This Row],[Work]]*IFERROR(INDEX(res_Rate,MATCH(AssignmentTable[[#This Row],[Resource]],res_Name,0)),0))</f>
        <v>0</v>
      </c>
      <c r="H1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5" s="38" t="n">
        <f aca="false">IF(N(AssignmentTable[[#This Row],[Task UID]])=0,0,IFERROR(MATCH(AssignmentTable[[#This Row],[Task UID]],tsk_UID,0),-1))</f>
        <v>0</v>
      </c>
      <c r="J15" s="38" t="n">
        <f aca="false">IF(AND(AssignmentTable[[#This Row],[_TaskPos]]&gt;0,AssignmentTable[[#This Row],[Resource]]&lt;&gt;"",AssignmentTable[[#This Row],[Check]]=""),1,0)</f>
        <v>0</v>
      </c>
      <c r="K15" s="38" t="str">
        <f aca="false">IF(AssignmentTable[[#This Row],[_Valid]]=1,AssignmentTable[[#This Row],[Task UID]]*1000+COUNTIFS(AssignmentTable[[#Headers],[Task UID]]:AssignmentTable[[#This Row],[Task UID]],AssignmentTable[[#This Row],[Task UID]],AssignmentTable[[#Headers],[_Valid]]:AssignmentTable[[#This Row],[_Valid]],1),"")</f>
        <v/>
      </c>
      <c r="L15" s="38" t="str">
        <f aca="false">IF(AssignmentTable[[#This Row],[_Valid]]=1,AssignmentTable[[#This Row],[Resource]]&amp;IF(OR(AssignmentTable[[#This Row],[Units]]="",AssignmentTable[[#This Row],[Units]]=1),"","["&amp;ROUND(AssignmentTable[[#This Row],[Units]]*100,0)&amp;"%]"),"")</f>
        <v/>
      </c>
      <c r="M15" s="38" t="n">
        <f aca="false">IF(AssignmentTable[[#This Row],[_Valid]]=1,N(INDEX(tsk_StartWD,AssignmentTable[[#This Row],[_TaskPos]])),0)</f>
        <v>0</v>
      </c>
      <c r="N15" s="38" t="n">
        <f aca="false">IF(AssignmentTable[[#This Row],[_Valid]]=1,N(INDEX(tsk_FinishWD,AssignmentTable[[#This Row],[_TaskPos]])),0)</f>
        <v>0</v>
      </c>
      <c r="O15" s="38" t="n">
        <f aca="false">IF(OR(AssignmentTable[[#This Row],[Work]]=0,AssignmentTable[[#This Row],[_FinishWD]]=0),0,AssignmentTable[[#This Row],[Work]]/(AssignmentTable[[#This Row],[_FinishWD]]-AssignmentTable[[#This Row],[_StartWD]]+1))</f>
        <v>0</v>
      </c>
      <c r="P15" s="38" t="n">
        <f aca="false">AssignmentTable[[#This Row],[_WorkPerWD]]*MAX(0,AssignmentTable[[#This Row],[_StartWD]]-1)</f>
        <v>0</v>
      </c>
      <c r="Q15" s="38" t="n">
        <f aca="false">IF(AssignmentTable[[#This Row],[_Valid]]=1,AssignmentTable[[#This Row],[Work]]*N(INDEX(tsk_LeafProgress,AssignmentTable[[#This Row],[_TaskPos]])),0)</f>
        <v>0</v>
      </c>
      <c r="R15" s="38" t="n">
        <f aca="false">IF(NOT(AssignmentTable[[#This Row],[_Valid]]=1),0,IF(N(INDEX(tsk_LeafTotalCost,AssignmentTable[[#This Row],[_TaskPos]]))=0,0,N(INDEX(tsk_LeafAC,AssignmentTable[[#This Row],[_TaskPos]]))*AssignmentTable[[#This Row],[Cost]]/INDEX(tsk_LeafTotalCost,AssignmentTable[[#This Row],[_TaskPos]])))</f>
        <v>0</v>
      </c>
      <c r="S15" s="38" t="n">
        <f aca="false">IF(NOT(AssignmentTable[[#This Row],[_Valid]]=1),0,IF(N(INDEX(tsk_LateKey,AssignmentTable[[#This Row],[_TaskPos]]))&gt;0,1,0))</f>
        <v>0</v>
      </c>
      <c r="T15" s="38" t="n">
        <f aca="false">IF(NOT(AssignmentTable[[#This Row],[_Valid]]=1),0,IF(INDEX(tsk_Critical,AssignmentTable[[#This Row],[_TaskPos]])="Yes",1,0))</f>
        <v>0</v>
      </c>
      <c r="U1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6" customFormat="false" ht="15" hidden="false" customHeight="false" outlineLevel="0" collapsed="false">
      <c r="B16" s="52"/>
      <c r="C16" s="30" t="str">
        <f aca="false">IF(AssignmentTable[[#This Row],[_TaskPos]]&lt;=0,"",INDEX(tsk_Name,AssignmentTable[[#This Row],[_TaskPos]])&amp;"")</f>
        <v/>
      </c>
      <c r="D16" s="53"/>
      <c r="E16" s="95"/>
      <c r="F16" s="110" t="n">
        <f aca="false">IF(AssignmentTable[[#This Row],[_Valid]]=1,N(INDEX(tsk_Duration,AssignmentTable[[#This Row],[_TaskPos]]))*HoursPerDay*IF(AssignmentTable[[#This Row],[Units]]="",DefaultUnits,AssignmentTable[[#This Row],[Units]]),0)</f>
        <v>0</v>
      </c>
      <c r="G16" s="111" t="n">
        <f aca="false">IF(AssignmentTable[[#This Row],[Work]]=0,0,AssignmentTable[[#This Row],[Work]]*IFERROR(INDEX(res_Rate,MATCH(AssignmentTable[[#This Row],[Resource]],res_Name,0)),0))</f>
        <v>0</v>
      </c>
      <c r="H1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6" s="38" t="n">
        <f aca="false">IF(N(AssignmentTable[[#This Row],[Task UID]])=0,0,IFERROR(MATCH(AssignmentTable[[#This Row],[Task UID]],tsk_UID,0),-1))</f>
        <v>0</v>
      </c>
      <c r="J16" s="38" t="n">
        <f aca="false">IF(AND(AssignmentTable[[#This Row],[_TaskPos]]&gt;0,AssignmentTable[[#This Row],[Resource]]&lt;&gt;"",AssignmentTable[[#This Row],[Check]]=""),1,0)</f>
        <v>0</v>
      </c>
      <c r="K16" s="38" t="str">
        <f aca="false">IF(AssignmentTable[[#This Row],[_Valid]]=1,AssignmentTable[[#This Row],[Task UID]]*1000+COUNTIFS(AssignmentTable[[#Headers],[Task UID]]:AssignmentTable[[#This Row],[Task UID]],AssignmentTable[[#This Row],[Task UID]],AssignmentTable[[#Headers],[_Valid]]:AssignmentTable[[#This Row],[_Valid]],1),"")</f>
        <v/>
      </c>
      <c r="L16" s="38" t="str">
        <f aca="false">IF(AssignmentTable[[#This Row],[_Valid]]=1,AssignmentTable[[#This Row],[Resource]]&amp;IF(OR(AssignmentTable[[#This Row],[Units]]="",AssignmentTable[[#This Row],[Units]]=1),"","["&amp;ROUND(AssignmentTable[[#This Row],[Units]]*100,0)&amp;"%]"),"")</f>
        <v/>
      </c>
      <c r="M16" s="38" t="n">
        <f aca="false">IF(AssignmentTable[[#This Row],[_Valid]]=1,N(INDEX(tsk_StartWD,AssignmentTable[[#This Row],[_TaskPos]])),0)</f>
        <v>0</v>
      </c>
      <c r="N16" s="38" t="n">
        <f aca="false">IF(AssignmentTable[[#This Row],[_Valid]]=1,N(INDEX(tsk_FinishWD,AssignmentTable[[#This Row],[_TaskPos]])),0)</f>
        <v>0</v>
      </c>
      <c r="O16" s="38" t="n">
        <f aca="false">IF(OR(AssignmentTable[[#This Row],[Work]]=0,AssignmentTable[[#This Row],[_FinishWD]]=0),0,AssignmentTable[[#This Row],[Work]]/(AssignmentTable[[#This Row],[_FinishWD]]-AssignmentTable[[#This Row],[_StartWD]]+1))</f>
        <v>0</v>
      </c>
      <c r="P16" s="38" t="n">
        <f aca="false">AssignmentTable[[#This Row],[_WorkPerWD]]*MAX(0,AssignmentTable[[#This Row],[_StartWD]]-1)</f>
        <v>0</v>
      </c>
      <c r="Q16" s="38" t="n">
        <f aca="false">IF(AssignmentTable[[#This Row],[_Valid]]=1,AssignmentTable[[#This Row],[Work]]*N(INDEX(tsk_LeafProgress,AssignmentTable[[#This Row],[_TaskPos]])),0)</f>
        <v>0</v>
      </c>
      <c r="R16" s="38" t="n">
        <f aca="false">IF(NOT(AssignmentTable[[#This Row],[_Valid]]=1),0,IF(N(INDEX(tsk_LeafTotalCost,AssignmentTable[[#This Row],[_TaskPos]]))=0,0,N(INDEX(tsk_LeafAC,AssignmentTable[[#This Row],[_TaskPos]]))*AssignmentTable[[#This Row],[Cost]]/INDEX(tsk_LeafTotalCost,AssignmentTable[[#This Row],[_TaskPos]])))</f>
        <v>0</v>
      </c>
      <c r="S16" s="38" t="n">
        <f aca="false">IF(NOT(AssignmentTable[[#This Row],[_Valid]]=1),0,IF(N(INDEX(tsk_LateKey,AssignmentTable[[#This Row],[_TaskPos]]))&gt;0,1,0))</f>
        <v>0</v>
      </c>
      <c r="T16" s="38" t="n">
        <f aca="false">IF(NOT(AssignmentTable[[#This Row],[_Valid]]=1),0,IF(INDEX(tsk_Critical,AssignmentTable[[#This Row],[_TaskPos]])="Yes",1,0))</f>
        <v>0</v>
      </c>
      <c r="U1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7" customFormat="false" ht="15" hidden="false" customHeight="false" outlineLevel="0" collapsed="false">
      <c r="B17" s="52"/>
      <c r="C17" s="30" t="str">
        <f aca="false">IF(AssignmentTable[[#This Row],[_TaskPos]]&lt;=0,"",INDEX(tsk_Name,AssignmentTable[[#This Row],[_TaskPos]])&amp;"")</f>
        <v/>
      </c>
      <c r="D17" s="53"/>
      <c r="E17" s="95"/>
      <c r="F17" s="110" t="n">
        <f aca="false">IF(AssignmentTable[[#This Row],[_Valid]]=1,N(INDEX(tsk_Duration,AssignmentTable[[#This Row],[_TaskPos]]))*HoursPerDay*IF(AssignmentTable[[#This Row],[Units]]="",DefaultUnits,AssignmentTable[[#This Row],[Units]]),0)</f>
        <v>0</v>
      </c>
      <c r="G17" s="111" t="n">
        <f aca="false">IF(AssignmentTable[[#This Row],[Work]]=0,0,AssignmentTable[[#This Row],[Work]]*IFERROR(INDEX(res_Rate,MATCH(AssignmentTable[[#This Row],[Resource]],res_Name,0)),0))</f>
        <v>0</v>
      </c>
      <c r="H1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7" s="38" t="n">
        <f aca="false">IF(N(AssignmentTable[[#This Row],[Task UID]])=0,0,IFERROR(MATCH(AssignmentTable[[#This Row],[Task UID]],tsk_UID,0),-1))</f>
        <v>0</v>
      </c>
      <c r="J17" s="38" t="n">
        <f aca="false">IF(AND(AssignmentTable[[#This Row],[_TaskPos]]&gt;0,AssignmentTable[[#This Row],[Resource]]&lt;&gt;"",AssignmentTable[[#This Row],[Check]]=""),1,0)</f>
        <v>0</v>
      </c>
      <c r="K17" s="38" t="str">
        <f aca="false">IF(AssignmentTable[[#This Row],[_Valid]]=1,AssignmentTable[[#This Row],[Task UID]]*1000+COUNTIFS(AssignmentTable[[#Headers],[Task UID]]:AssignmentTable[[#This Row],[Task UID]],AssignmentTable[[#This Row],[Task UID]],AssignmentTable[[#Headers],[_Valid]]:AssignmentTable[[#This Row],[_Valid]],1),"")</f>
        <v/>
      </c>
      <c r="L17" s="38" t="str">
        <f aca="false">IF(AssignmentTable[[#This Row],[_Valid]]=1,AssignmentTable[[#This Row],[Resource]]&amp;IF(OR(AssignmentTable[[#This Row],[Units]]="",AssignmentTable[[#This Row],[Units]]=1),"","["&amp;ROUND(AssignmentTable[[#This Row],[Units]]*100,0)&amp;"%]"),"")</f>
        <v/>
      </c>
      <c r="M17" s="38" t="n">
        <f aca="false">IF(AssignmentTable[[#This Row],[_Valid]]=1,N(INDEX(tsk_StartWD,AssignmentTable[[#This Row],[_TaskPos]])),0)</f>
        <v>0</v>
      </c>
      <c r="N17" s="38" t="n">
        <f aca="false">IF(AssignmentTable[[#This Row],[_Valid]]=1,N(INDEX(tsk_FinishWD,AssignmentTable[[#This Row],[_TaskPos]])),0)</f>
        <v>0</v>
      </c>
      <c r="O17" s="38" t="n">
        <f aca="false">IF(OR(AssignmentTable[[#This Row],[Work]]=0,AssignmentTable[[#This Row],[_FinishWD]]=0),0,AssignmentTable[[#This Row],[Work]]/(AssignmentTable[[#This Row],[_FinishWD]]-AssignmentTable[[#This Row],[_StartWD]]+1))</f>
        <v>0</v>
      </c>
      <c r="P17" s="38" t="n">
        <f aca="false">AssignmentTable[[#This Row],[_WorkPerWD]]*MAX(0,AssignmentTable[[#This Row],[_StartWD]]-1)</f>
        <v>0</v>
      </c>
      <c r="Q17" s="38" t="n">
        <f aca="false">IF(AssignmentTable[[#This Row],[_Valid]]=1,AssignmentTable[[#This Row],[Work]]*N(INDEX(tsk_LeafProgress,AssignmentTable[[#This Row],[_TaskPos]])),0)</f>
        <v>0</v>
      </c>
      <c r="R17" s="38" t="n">
        <f aca="false">IF(NOT(AssignmentTable[[#This Row],[_Valid]]=1),0,IF(N(INDEX(tsk_LeafTotalCost,AssignmentTable[[#This Row],[_TaskPos]]))=0,0,N(INDEX(tsk_LeafAC,AssignmentTable[[#This Row],[_TaskPos]]))*AssignmentTable[[#This Row],[Cost]]/INDEX(tsk_LeafTotalCost,AssignmentTable[[#This Row],[_TaskPos]])))</f>
        <v>0</v>
      </c>
      <c r="S17" s="38" t="n">
        <f aca="false">IF(NOT(AssignmentTable[[#This Row],[_Valid]]=1),0,IF(N(INDEX(tsk_LateKey,AssignmentTable[[#This Row],[_TaskPos]]))&gt;0,1,0))</f>
        <v>0</v>
      </c>
      <c r="T17" s="38" t="n">
        <f aca="false">IF(NOT(AssignmentTable[[#This Row],[_Valid]]=1),0,IF(INDEX(tsk_Critical,AssignmentTable[[#This Row],[_TaskPos]])="Yes",1,0))</f>
        <v>0</v>
      </c>
      <c r="U1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8" customFormat="false" ht="15" hidden="false" customHeight="false" outlineLevel="0" collapsed="false">
      <c r="B18" s="52"/>
      <c r="C18" s="30" t="str">
        <f aca="false">IF(AssignmentTable[[#This Row],[_TaskPos]]&lt;=0,"",INDEX(tsk_Name,AssignmentTable[[#This Row],[_TaskPos]])&amp;"")</f>
        <v/>
      </c>
      <c r="D18" s="53"/>
      <c r="E18" s="95"/>
      <c r="F18" s="110" t="n">
        <f aca="false">IF(AssignmentTable[[#This Row],[_Valid]]=1,N(INDEX(tsk_Duration,AssignmentTable[[#This Row],[_TaskPos]]))*HoursPerDay*IF(AssignmentTable[[#This Row],[Units]]="",DefaultUnits,AssignmentTable[[#This Row],[Units]]),0)</f>
        <v>0</v>
      </c>
      <c r="G18" s="111" t="n">
        <f aca="false">IF(AssignmentTable[[#This Row],[Work]]=0,0,AssignmentTable[[#This Row],[Work]]*IFERROR(INDEX(res_Rate,MATCH(AssignmentTable[[#This Row],[Resource]],res_Name,0)),0))</f>
        <v>0</v>
      </c>
      <c r="H1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8" s="38" t="n">
        <f aca="false">IF(N(AssignmentTable[[#This Row],[Task UID]])=0,0,IFERROR(MATCH(AssignmentTable[[#This Row],[Task UID]],tsk_UID,0),-1))</f>
        <v>0</v>
      </c>
      <c r="J18" s="38" t="n">
        <f aca="false">IF(AND(AssignmentTable[[#This Row],[_TaskPos]]&gt;0,AssignmentTable[[#This Row],[Resource]]&lt;&gt;"",AssignmentTable[[#This Row],[Check]]=""),1,0)</f>
        <v>0</v>
      </c>
      <c r="K18" s="38" t="str">
        <f aca="false">IF(AssignmentTable[[#This Row],[_Valid]]=1,AssignmentTable[[#This Row],[Task UID]]*1000+COUNTIFS(AssignmentTable[[#Headers],[Task UID]]:AssignmentTable[[#This Row],[Task UID]],AssignmentTable[[#This Row],[Task UID]],AssignmentTable[[#Headers],[_Valid]]:AssignmentTable[[#This Row],[_Valid]],1),"")</f>
        <v/>
      </c>
      <c r="L18" s="38" t="str">
        <f aca="false">IF(AssignmentTable[[#This Row],[_Valid]]=1,AssignmentTable[[#This Row],[Resource]]&amp;IF(OR(AssignmentTable[[#This Row],[Units]]="",AssignmentTable[[#This Row],[Units]]=1),"","["&amp;ROUND(AssignmentTable[[#This Row],[Units]]*100,0)&amp;"%]"),"")</f>
        <v/>
      </c>
      <c r="M18" s="38" t="n">
        <f aca="false">IF(AssignmentTable[[#This Row],[_Valid]]=1,N(INDEX(tsk_StartWD,AssignmentTable[[#This Row],[_TaskPos]])),0)</f>
        <v>0</v>
      </c>
      <c r="N18" s="38" t="n">
        <f aca="false">IF(AssignmentTable[[#This Row],[_Valid]]=1,N(INDEX(tsk_FinishWD,AssignmentTable[[#This Row],[_TaskPos]])),0)</f>
        <v>0</v>
      </c>
      <c r="O18" s="38" t="n">
        <f aca="false">IF(OR(AssignmentTable[[#This Row],[Work]]=0,AssignmentTable[[#This Row],[_FinishWD]]=0),0,AssignmentTable[[#This Row],[Work]]/(AssignmentTable[[#This Row],[_FinishWD]]-AssignmentTable[[#This Row],[_StartWD]]+1))</f>
        <v>0</v>
      </c>
      <c r="P18" s="38" t="n">
        <f aca="false">AssignmentTable[[#This Row],[_WorkPerWD]]*MAX(0,AssignmentTable[[#This Row],[_StartWD]]-1)</f>
        <v>0</v>
      </c>
      <c r="Q18" s="38" t="n">
        <f aca="false">IF(AssignmentTable[[#This Row],[_Valid]]=1,AssignmentTable[[#This Row],[Work]]*N(INDEX(tsk_LeafProgress,AssignmentTable[[#This Row],[_TaskPos]])),0)</f>
        <v>0</v>
      </c>
      <c r="R18" s="38" t="n">
        <f aca="false">IF(NOT(AssignmentTable[[#This Row],[_Valid]]=1),0,IF(N(INDEX(tsk_LeafTotalCost,AssignmentTable[[#This Row],[_TaskPos]]))=0,0,N(INDEX(tsk_LeafAC,AssignmentTable[[#This Row],[_TaskPos]]))*AssignmentTable[[#This Row],[Cost]]/INDEX(tsk_LeafTotalCost,AssignmentTable[[#This Row],[_TaskPos]])))</f>
        <v>0</v>
      </c>
      <c r="S18" s="38" t="n">
        <f aca="false">IF(NOT(AssignmentTable[[#This Row],[_Valid]]=1),0,IF(N(INDEX(tsk_LateKey,AssignmentTable[[#This Row],[_TaskPos]]))&gt;0,1,0))</f>
        <v>0</v>
      </c>
      <c r="T18" s="38" t="n">
        <f aca="false">IF(NOT(AssignmentTable[[#This Row],[_Valid]]=1),0,IF(INDEX(tsk_Critical,AssignmentTable[[#This Row],[_TaskPos]])="Yes",1,0))</f>
        <v>0</v>
      </c>
      <c r="U1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9" customFormat="false" ht="15" hidden="false" customHeight="false" outlineLevel="0" collapsed="false">
      <c r="B19" s="52"/>
      <c r="C19" s="30" t="str">
        <f aca="false">IF(AssignmentTable[[#This Row],[_TaskPos]]&lt;=0,"",INDEX(tsk_Name,AssignmentTable[[#This Row],[_TaskPos]])&amp;"")</f>
        <v/>
      </c>
      <c r="D19" s="53"/>
      <c r="E19" s="95"/>
      <c r="F19" s="110" t="n">
        <f aca="false">IF(AssignmentTable[[#This Row],[_Valid]]=1,N(INDEX(tsk_Duration,AssignmentTable[[#This Row],[_TaskPos]]))*HoursPerDay*IF(AssignmentTable[[#This Row],[Units]]="",DefaultUnits,AssignmentTable[[#This Row],[Units]]),0)</f>
        <v>0</v>
      </c>
      <c r="G19" s="111" t="n">
        <f aca="false">IF(AssignmentTable[[#This Row],[Work]]=0,0,AssignmentTable[[#This Row],[Work]]*IFERROR(INDEX(res_Rate,MATCH(AssignmentTable[[#This Row],[Resource]],res_Name,0)),0))</f>
        <v>0</v>
      </c>
      <c r="H1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9" s="38" t="n">
        <f aca="false">IF(N(AssignmentTable[[#This Row],[Task UID]])=0,0,IFERROR(MATCH(AssignmentTable[[#This Row],[Task UID]],tsk_UID,0),-1))</f>
        <v>0</v>
      </c>
      <c r="J19" s="38" t="n">
        <f aca="false">IF(AND(AssignmentTable[[#This Row],[_TaskPos]]&gt;0,AssignmentTable[[#This Row],[Resource]]&lt;&gt;"",AssignmentTable[[#This Row],[Check]]=""),1,0)</f>
        <v>0</v>
      </c>
      <c r="K19" s="38" t="str">
        <f aca="false">IF(AssignmentTable[[#This Row],[_Valid]]=1,AssignmentTable[[#This Row],[Task UID]]*1000+COUNTIFS(AssignmentTable[[#Headers],[Task UID]]:AssignmentTable[[#This Row],[Task UID]],AssignmentTable[[#This Row],[Task UID]],AssignmentTable[[#Headers],[_Valid]]:AssignmentTable[[#This Row],[_Valid]],1),"")</f>
        <v/>
      </c>
      <c r="L19" s="38" t="str">
        <f aca="false">IF(AssignmentTable[[#This Row],[_Valid]]=1,AssignmentTable[[#This Row],[Resource]]&amp;IF(OR(AssignmentTable[[#This Row],[Units]]="",AssignmentTable[[#This Row],[Units]]=1),"","["&amp;ROUND(AssignmentTable[[#This Row],[Units]]*100,0)&amp;"%]"),"")</f>
        <v/>
      </c>
      <c r="M19" s="38" t="n">
        <f aca="false">IF(AssignmentTable[[#This Row],[_Valid]]=1,N(INDEX(tsk_StartWD,AssignmentTable[[#This Row],[_TaskPos]])),0)</f>
        <v>0</v>
      </c>
      <c r="N19" s="38" t="n">
        <f aca="false">IF(AssignmentTable[[#This Row],[_Valid]]=1,N(INDEX(tsk_FinishWD,AssignmentTable[[#This Row],[_TaskPos]])),0)</f>
        <v>0</v>
      </c>
      <c r="O19" s="38" t="n">
        <f aca="false">IF(OR(AssignmentTable[[#This Row],[Work]]=0,AssignmentTable[[#This Row],[_FinishWD]]=0),0,AssignmentTable[[#This Row],[Work]]/(AssignmentTable[[#This Row],[_FinishWD]]-AssignmentTable[[#This Row],[_StartWD]]+1))</f>
        <v>0</v>
      </c>
      <c r="P19" s="38" t="n">
        <f aca="false">AssignmentTable[[#This Row],[_WorkPerWD]]*MAX(0,AssignmentTable[[#This Row],[_StartWD]]-1)</f>
        <v>0</v>
      </c>
      <c r="Q19" s="38" t="n">
        <f aca="false">IF(AssignmentTable[[#This Row],[_Valid]]=1,AssignmentTable[[#This Row],[Work]]*N(INDEX(tsk_LeafProgress,AssignmentTable[[#This Row],[_TaskPos]])),0)</f>
        <v>0</v>
      </c>
      <c r="R19" s="38" t="n">
        <f aca="false">IF(NOT(AssignmentTable[[#This Row],[_Valid]]=1),0,IF(N(INDEX(tsk_LeafTotalCost,AssignmentTable[[#This Row],[_TaskPos]]))=0,0,N(INDEX(tsk_LeafAC,AssignmentTable[[#This Row],[_TaskPos]]))*AssignmentTable[[#This Row],[Cost]]/INDEX(tsk_LeafTotalCost,AssignmentTable[[#This Row],[_TaskPos]])))</f>
        <v>0</v>
      </c>
      <c r="S19" s="38" t="n">
        <f aca="false">IF(NOT(AssignmentTable[[#This Row],[_Valid]]=1),0,IF(N(INDEX(tsk_LateKey,AssignmentTable[[#This Row],[_TaskPos]]))&gt;0,1,0))</f>
        <v>0</v>
      </c>
      <c r="T19" s="38" t="n">
        <f aca="false">IF(NOT(AssignmentTable[[#This Row],[_Valid]]=1),0,IF(INDEX(tsk_Critical,AssignmentTable[[#This Row],[_TaskPos]])="Yes",1,0))</f>
        <v>0</v>
      </c>
      <c r="U1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0" customFormat="false" ht="15" hidden="false" customHeight="false" outlineLevel="0" collapsed="false">
      <c r="B20" s="52"/>
      <c r="C20" s="30" t="str">
        <f aca="false">IF(AssignmentTable[[#This Row],[_TaskPos]]&lt;=0,"",INDEX(tsk_Name,AssignmentTable[[#This Row],[_TaskPos]])&amp;"")</f>
        <v/>
      </c>
      <c r="D20" s="53"/>
      <c r="E20" s="95"/>
      <c r="F20" s="110" t="n">
        <f aca="false">IF(AssignmentTable[[#This Row],[_Valid]]=1,N(INDEX(tsk_Duration,AssignmentTable[[#This Row],[_TaskPos]]))*HoursPerDay*IF(AssignmentTable[[#This Row],[Units]]="",DefaultUnits,AssignmentTable[[#This Row],[Units]]),0)</f>
        <v>0</v>
      </c>
      <c r="G20" s="111" t="n">
        <f aca="false">IF(AssignmentTable[[#This Row],[Work]]=0,0,AssignmentTable[[#This Row],[Work]]*IFERROR(INDEX(res_Rate,MATCH(AssignmentTable[[#This Row],[Resource]],res_Name,0)),0))</f>
        <v>0</v>
      </c>
      <c r="H2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0" s="38" t="n">
        <f aca="false">IF(N(AssignmentTable[[#This Row],[Task UID]])=0,0,IFERROR(MATCH(AssignmentTable[[#This Row],[Task UID]],tsk_UID,0),-1))</f>
        <v>0</v>
      </c>
      <c r="J20" s="38" t="n">
        <f aca="false">IF(AND(AssignmentTable[[#This Row],[_TaskPos]]&gt;0,AssignmentTable[[#This Row],[Resource]]&lt;&gt;"",AssignmentTable[[#This Row],[Check]]=""),1,0)</f>
        <v>0</v>
      </c>
      <c r="K20" s="38" t="str">
        <f aca="false">IF(AssignmentTable[[#This Row],[_Valid]]=1,AssignmentTable[[#This Row],[Task UID]]*1000+COUNTIFS(AssignmentTable[[#Headers],[Task UID]]:AssignmentTable[[#This Row],[Task UID]],AssignmentTable[[#This Row],[Task UID]],AssignmentTable[[#Headers],[_Valid]]:AssignmentTable[[#This Row],[_Valid]],1),"")</f>
        <v/>
      </c>
      <c r="L20" s="38" t="str">
        <f aca="false">IF(AssignmentTable[[#This Row],[_Valid]]=1,AssignmentTable[[#This Row],[Resource]]&amp;IF(OR(AssignmentTable[[#This Row],[Units]]="",AssignmentTable[[#This Row],[Units]]=1),"","["&amp;ROUND(AssignmentTable[[#This Row],[Units]]*100,0)&amp;"%]"),"")</f>
        <v/>
      </c>
      <c r="M20" s="38" t="n">
        <f aca="false">IF(AssignmentTable[[#This Row],[_Valid]]=1,N(INDEX(tsk_StartWD,AssignmentTable[[#This Row],[_TaskPos]])),0)</f>
        <v>0</v>
      </c>
      <c r="N20" s="38" t="n">
        <f aca="false">IF(AssignmentTable[[#This Row],[_Valid]]=1,N(INDEX(tsk_FinishWD,AssignmentTable[[#This Row],[_TaskPos]])),0)</f>
        <v>0</v>
      </c>
      <c r="O20" s="38" t="n">
        <f aca="false">IF(OR(AssignmentTable[[#This Row],[Work]]=0,AssignmentTable[[#This Row],[_FinishWD]]=0),0,AssignmentTable[[#This Row],[Work]]/(AssignmentTable[[#This Row],[_FinishWD]]-AssignmentTable[[#This Row],[_StartWD]]+1))</f>
        <v>0</v>
      </c>
      <c r="P20" s="38" t="n">
        <f aca="false">AssignmentTable[[#This Row],[_WorkPerWD]]*MAX(0,AssignmentTable[[#This Row],[_StartWD]]-1)</f>
        <v>0</v>
      </c>
      <c r="Q20" s="38" t="n">
        <f aca="false">IF(AssignmentTable[[#This Row],[_Valid]]=1,AssignmentTable[[#This Row],[Work]]*N(INDEX(tsk_LeafProgress,AssignmentTable[[#This Row],[_TaskPos]])),0)</f>
        <v>0</v>
      </c>
      <c r="R20" s="38" t="n">
        <f aca="false">IF(NOT(AssignmentTable[[#This Row],[_Valid]]=1),0,IF(N(INDEX(tsk_LeafTotalCost,AssignmentTable[[#This Row],[_TaskPos]]))=0,0,N(INDEX(tsk_LeafAC,AssignmentTable[[#This Row],[_TaskPos]]))*AssignmentTable[[#This Row],[Cost]]/INDEX(tsk_LeafTotalCost,AssignmentTable[[#This Row],[_TaskPos]])))</f>
        <v>0</v>
      </c>
      <c r="S20" s="38" t="n">
        <f aca="false">IF(NOT(AssignmentTable[[#This Row],[_Valid]]=1),0,IF(N(INDEX(tsk_LateKey,AssignmentTable[[#This Row],[_TaskPos]]))&gt;0,1,0))</f>
        <v>0</v>
      </c>
      <c r="T20" s="38" t="n">
        <f aca="false">IF(NOT(AssignmentTable[[#This Row],[_Valid]]=1),0,IF(INDEX(tsk_Critical,AssignmentTable[[#This Row],[_TaskPos]])="Yes",1,0))</f>
        <v>0</v>
      </c>
      <c r="U2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1" customFormat="false" ht="15" hidden="false" customHeight="false" outlineLevel="0" collapsed="false">
      <c r="B21" s="52"/>
      <c r="C21" s="30" t="str">
        <f aca="false">IF(AssignmentTable[[#This Row],[_TaskPos]]&lt;=0,"",INDEX(tsk_Name,AssignmentTable[[#This Row],[_TaskPos]])&amp;"")</f>
        <v/>
      </c>
      <c r="D21" s="53"/>
      <c r="E21" s="95"/>
      <c r="F21" s="110" t="n">
        <f aca="false">IF(AssignmentTable[[#This Row],[_Valid]]=1,N(INDEX(tsk_Duration,AssignmentTable[[#This Row],[_TaskPos]]))*HoursPerDay*IF(AssignmentTable[[#This Row],[Units]]="",DefaultUnits,AssignmentTable[[#This Row],[Units]]),0)</f>
        <v>0</v>
      </c>
      <c r="G21" s="111" t="n">
        <f aca="false">IF(AssignmentTable[[#This Row],[Work]]=0,0,AssignmentTable[[#This Row],[Work]]*IFERROR(INDEX(res_Rate,MATCH(AssignmentTable[[#This Row],[Resource]],res_Name,0)),0))</f>
        <v>0</v>
      </c>
      <c r="H2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1" s="38" t="n">
        <f aca="false">IF(N(AssignmentTable[[#This Row],[Task UID]])=0,0,IFERROR(MATCH(AssignmentTable[[#This Row],[Task UID]],tsk_UID,0),-1))</f>
        <v>0</v>
      </c>
      <c r="J21" s="38" t="n">
        <f aca="false">IF(AND(AssignmentTable[[#This Row],[_TaskPos]]&gt;0,AssignmentTable[[#This Row],[Resource]]&lt;&gt;"",AssignmentTable[[#This Row],[Check]]=""),1,0)</f>
        <v>0</v>
      </c>
      <c r="K21" s="38" t="str">
        <f aca="false">IF(AssignmentTable[[#This Row],[_Valid]]=1,AssignmentTable[[#This Row],[Task UID]]*1000+COUNTIFS(AssignmentTable[[#Headers],[Task UID]]:AssignmentTable[[#This Row],[Task UID]],AssignmentTable[[#This Row],[Task UID]],AssignmentTable[[#Headers],[_Valid]]:AssignmentTable[[#This Row],[_Valid]],1),"")</f>
        <v/>
      </c>
      <c r="L21" s="38" t="str">
        <f aca="false">IF(AssignmentTable[[#This Row],[_Valid]]=1,AssignmentTable[[#This Row],[Resource]]&amp;IF(OR(AssignmentTable[[#This Row],[Units]]="",AssignmentTable[[#This Row],[Units]]=1),"","["&amp;ROUND(AssignmentTable[[#This Row],[Units]]*100,0)&amp;"%]"),"")</f>
        <v/>
      </c>
      <c r="M21" s="38" t="n">
        <f aca="false">IF(AssignmentTable[[#This Row],[_Valid]]=1,N(INDEX(tsk_StartWD,AssignmentTable[[#This Row],[_TaskPos]])),0)</f>
        <v>0</v>
      </c>
      <c r="N21" s="38" t="n">
        <f aca="false">IF(AssignmentTable[[#This Row],[_Valid]]=1,N(INDEX(tsk_FinishWD,AssignmentTable[[#This Row],[_TaskPos]])),0)</f>
        <v>0</v>
      </c>
      <c r="O21" s="38" t="n">
        <f aca="false">IF(OR(AssignmentTable[[#This Row],[Work]]=0,AssignmentTable[[#This Row],[_FinishWD]]=0),0,AssignmentTable[[#This Row],[Work]]/(AssignmentTable[[#This Row],[_FinishWD]]-AssignmentTable[[#This Row],[_StartWD]]+1))</f>
        <v>0</v>
      </c>
      <c r="P21" s="38" t="n">
        <f aca="false">AssignmentTable[[#This Row],[_WorkPerWD]]*MAX(0,AssignmentTable[[#This Row],[_StartWD]]-1)</f>
        <v>0</v>
      </c>
      <c r="Q21" s="38" t="n">
        <f aca="false">IF(AssignmentTable[[#This Row],[_Valid]]=1,AssignmentTable[[#This Row],[Work]]*N(INDEX(tsk_LeafProgress,AssignmentTable[[#This Row],[_TaskPos]])),0)</f>
        <v>0</v>
      </c>
      <c r="R21" s="38" t="n">
        <f aca="false">IF(NOT(AssignmentTable[[#This Row],[_Valid]]=1),0,IF(N(INDEX(tsk_LeafTotalCost,AssignmentTable[[#This Row],[_TaskPos]]))=0,0,N(INDEX(tsk_LeafAC,AssignmentTable[[#This Row],[_TaskPos]]))*AssignmentTable[[#This Row],[Cost]]/INDEX(tsk_LeafTotalCost,AssignmentTable[[#This Row],[_TaskPos]])))</f>
        <v>0</v>
      </c>
      <c r="S21" s="38" t="n">
        <f aca="false">IF(NOT(AssignmentTable[[#This Row],[_Valid]]=1),0,IF(N(INDEX(tsk_LateKey,AssignmentTable[[#This Row],[_TaskPos]]))&gt;0,1,0))</f>
        <v>0</v>
      </c>
      <c r="T21" s="38" t="n">
        <f aca="false">IF(NOT(AssignmentTable[[#This Row],[_Valid]]=1),0,IF(INDEX(tsk_Critical,AssignmentTable[[#This Row],[_TaskPos]])="Yes",1,0))</f>
        <v>0</v>
      </c>
      <c r="U2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2" customFormat="false" ht="15" hidden="false" customHeight="false" outlineLevel="0" collapsed="false">
      <c r="B22" s="52"/>
      <c r="C22" s="30" t="str">
        <f aca="false">IF(AssignmentTable[[#This Row],[_TaskPos]]&lt;=0,"",INDEX(tsk_Name,AssignmentTable[[#This Row],[_TaskPos]])&amp;"")</f>
        <v/>
      </c>
      <c r="D22" s="53"/>
      <c r="E22" s="95"/>
      <c r="F22" s="110" t="n">
        <f aca="false">IF(AssignmentTable[[#This Row],[_Valid]]=1,N(INDEX(tsk_Duration,AssignmentTable[[#This Row],[_TaskPos]]))*HoursPerDay*IF(AssignmentTable[[#This Row],[Units]]="",DefaultUnits,AssignmentTable[[#This Row],[Units]]),0)</f>
        <v>0</v>
      </c>
      <c r="G22" s="111" t="n">
        <f aca="false">IF(AssignmentTable[[#This Row],[Work]]=0,0,AssignmentTable[[#This Row],[Work]]*IFERROR(INDEX(res_Rate,MATCH(AssignmentTable[[#This Row],[Resource]],res_Name,0)),0))</f>
        <v>0</v>
      </c>
      <c r="H2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2" s="38" t="n">
        <f aca="false">IF(N(AssignmentTable[[#This Row],[Task UID]])=0,0,IFERROR(MATCH(AssignmentTable[[#This Row],[Task UID]],tsk_UID,0),-1))</f>
        <v>0</v>
      </c>
      <c r="J22" s="38" t="n">
        <f aca="false">IF(AND(AssignmentTable[[#This Row],[_TaskPos]]&gt;0,AssignmentTable[[#This Row],[Resource]]&lt;&gt;"",AssignmentTable[[#This Row],[Check]]=""),1,0)</f>
        <v>0</v>
      </c>
      <c r="K22" s="38" t="str">
        <f aca="false">IF(AssignmentTable[[#This Row],[_Valid]]=1,AssignmentTable[[#This Row],[Task UID]]*1000+COUNTIFS(AssignmentTable[[#Headers],[Task UID]]:AssignmentTable[[#This Row],[Task UID]],AssignmentTable[[#This Row],[Task UID]],AssignmentTable[[#Headers],[_Valid]]:AssignmentTable[[#This Row],[_Valid]],1),"")</f>
        <v/>
      </c>
      <c r="L22" s="38" t="str">
        <f aca="false">IF(AssignmentTable[[#This Row],[_Valid]]=1,AssignmentTable[[#This Row],[Resource]]&amp;IF(OR(AssignmentTable[[#This Row],[Units]]="",AssignmentTable[[#This Row],[Units]]=1),"","["&amp;ROUND(AssignmentTable[[#This Row],[Units]]*100,0)&amp;"%]"),"")</f>
        <v/>
      </c>
      <c r="M22" s="38" t="n">
        <f aca="false">IF(AssignmentTable[[#This Row],[_Valid]]=1,N(INDEX(tsk_StartWD,AssignmentTable[[#This Row],[_TaskPos]])),0)</f>
        <v>0</v>
      </c>
      <c r="N22" s="38" t="n">
        <f aca="false">IF(AssignmentTable[[#This Row],[_Valid]]=1,N(INDEX(tsk_FinishWD,AssignmentTable[[#This Row],[_TaskPos]])),0)</f>
        <v>0</v>
      </c>
      <c r="O22" s="38" t="n">
        <f aca="false">IF(OR(AssignmentTable[[#This Row],[Work]]=0,AssignmentTable[[#This Row],[_FinishWD]]=0),0,AssignmentTable[[#This Row],[Work]]/(AssignmentTable[[#This Row],[_FinishWD]]-AssignmentTable[[#This Row],[_StartWD]]+1))</f>
        <v>0</v>
      </c>
      <c r="P22" s="38" t="n">
        <f aca="false">AssignmentTable[[#This Row],[_WorkPerWD]]*MAX(0,AssignmentTable[[#This Row],[_StartWD]]-1)</f>
        <v>0</v>
      </c>
      <c r="Q22" s="38" t="n">
        <f aca="false">IF(AssignmentTable[[#This Row],[_Valid]]=1,AssignmentTable[[#This Row],[Work]]*N(INDEX(tsk_LeafProgress,AssignmentTable[[#This Row],[_TaskPos]])),0)</f>
        <v>0</v>
      </c>
      <c r="R22" s="38" t="n">
        <f aca="false">IF(NOT(AssignmentTable[[#This Row],[_Valid]]=1),0,IF(N(INDEX(tsk_LeafTotalCost,AssignmentTable[[#This Row],[_TaskPos]]))=0,0,N(INDEX(tsk_LeafAC,AssignmentTable[[#This Row],[_TaskPos]]))*AssignmentTable[[#This Row],[Cost]]/INDEX(tsk_LeafTotalCost,AssignmentTable[[#This Row],[_TaskPos]])))</f>
        <v>0</v>
      </c>
      <c r="S22" s="38" t="n">
        <f aca="false">IF(NOT(AssignmentTable[[#This Row],[_Valid]]=1),0,IF(N(INDEX(tsk_LateKey,AssignmentTable[[#This Row],[_TaskPos]]))&gt;0,1,0))</f>
        <v>0</v>
      </c>
      <c r="T22" s="38" t="n">
        <f aca="false">IF(NOT(AssignmentTable[[#This Row],[_Valid]]=1),0,IF(INDEX(tsk_Critical,AssignmentTable[[#This Row],[_TaskPos]])="Yes",1,0))</f>
        <v>0</v>
      </c>
      <c r="U2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3" customFormat="false" ht="15" hidden="false" customHeight="false" outlineLevel="0" collapsed="false">
      <c r="B23" s="52"/>
      <c r="C23" s="30" t="str">
        <f aca="false">IF(AssignmentTable[[#This Row],[_TaskPos]]&lt;=0,"",INDEX(tsk_Name,AssignmentTable[[#This Row],[_TaskPos]])&amp;"")</f>
        <v/>
      </c>
      <c r="D23" s="53"/>
      <c r="E23" s="95"/>
      <c r="F23" s="110" t="n">
        <f aca="false">IF(AssignmentTable[[#This Row],[_Valid]]=1,N(INDEX(tsk_Duration,AssignmentTable[[#This Row],[_TaskPos]]))*HoursPerDay*IF(AssignmentTable[[#This Row],[Units]]="",DefaultUnits,AssignmentTable[[#This Row],[Units]]),0)</f>
        <v>0</v>
      </c>
      <c r="G23" s="111" t="n">
        <f aca="false">IF(AssignmentTable[[#This Row],[Work]]=0,0,AssignmentTable[[#This Row],[Work]]*IFERROR(INDEX(res_Rate,MATCH(AssignmentTable[[#This Row],[Resource]],res_Name,0)),0))</f>
        <v>0</v>
      </c>
      <c r="H2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3" s="38" t="n">
        <f aca="false">IF(N(AssignmentTable[[#This Row],[Task UID]])=0,0,IFERROR(MATCH(AssignmentTable[[#This Row],[Task UID]],tsk_UID,0),-1))</f>
        <v>0</v>
      </c>
      <c r="J23" s="38" t="n">
        <f aca="false">IF(AND(AssignmentTable[[#This Row],[_TaskPos]]&gt;0,AssignmentTable[[#This Row],[Resource]]&lt;&gt;"",AssignmentTable[[#This Row],[Check]]=""),1,0)</f>
        <v>0</v>
      </c>
      <c r="K23" s="38" t="str">
        <f aca="false">IF(AssignmentTable[[#This Row],[_Valid]]=1,AssignmentTable[[#This Row],[Task UID]]*1000+COUNTIFS(AssignmentTable[[#Headers],[Task UID]]:AssignmentTable[[#This Row],[Task UID]],AssignmentTable[[#This Row],[Task UID]],AssignmentTable[[#Headers],[_Valid]]:AssignmentTable[[#This Row],[_Valid]],1),"")</f>
        <v/>
      </c>
      <c r="L23" s="38" t="str">
        <f aca="false">IF(AssignmentTable[[#This Row],[_Valid]]=1,AssignmentTable[[#This Row],[Resource]]&amp;IF(OR(AssignmentTable[[#This Row],[Units]]="",AssignmentTable[[#This Row],[Units]]=1),"","["&amp;ROUND(AssignmentTable[[#This Row],[Units]]*100,0)&amp;"%]"),"")</f>
        <v/>
      </c>
      <c r="M23" s="38" t="n">
        <f aca="false">IF(AssignmentTable[[#This Row],[_Valid]]=1,N(INDEX(tsk_StartWD,AssignmentTable[[#This Row],[_TaskPos]])),0)</f>
        <v>0</v>
      </c>
      <c r="N23" s="38" t="n">
        <f aca="false">IF(AssignmentTable[[#This Row],[_Valid]]=1,N(INDEX(tsk_FinishWD,AssignmentTable[[#This Row],[_TaskPos]])),0)</f>
        <v>0</v>
      </c>
      <c r="O23" s="38" t="n">
        <f aca="false">IF(OR(AssignmentTable[[#This Row],[Work]]=0,AssignmentTable[[#This Row],[_FinishWD]]=0),0,AssignmentTable[[#This Row],[Work]]/(AssignmentTable[[#This Row],[_FinishWD]]-AssignmentTable[[#This Row],[_StartWD]]+1))</f>
        <v>0</v>
      </c>
      <c r="P23" s="38" t="n">
        <f aca="false">AssignmentTable[[#This Row],[_WorkPerWD]]*MAX(0,AssignmentTable[[#This Row],[_StartWD]]-1)</f>
        <v>0</v>
      </c>
      <c r="Q23" s="38" t="n">
        <f aca="false">IF(AssignmentTable[[#This Row],[_Valid]]=1,AssignmentTable[[#This Row],[Work]]*N(INDEX(tsk_LeafProgress,AssignmentTable[[#This Row],[_TaskPos]])),0)</f>
        <v>0</v>
      </c>
      <c r="R23" s="38" t="n">
        <f aca="false">IF(NOT(AssignmentTable[[#This Row],[_Valid]]=1),0,IF(N(INDEX(tsk_LeafTotalCost,AssignmentTable[[#This Row],[_TaskPos]]))=0,0,N(INDEX(tsk_LeafAC,AssignmentTable[[#This Row],[_TaskPos]]))*AssignmentTable[[#This Row],[Cost]]/INDEX(tsk_LeafTotalCost,AssignmentTable[[#This Row],[_TaskPos]])))</f>
        <v>0</v>
      </c>
      <c r="S23" s="38" t="n">
        <f aca="false">IF(NOT(AssignmentTable[[#This Row],[_Valid]]=1),0,IF(N(INDEX(tsk_LateKey,AssignmentTable[[#This Row],[_TaskPos]]))&gt;0,1,0))</f>
        <v>0</v>
      </c>
      <c r="T23" s="38" t="n">
        <f aca="false">IF(NOT(AssignmentTable[[#This Row],[_Valid]]=1),0,IF(INDEX(tsk_Critical,AssignmentTable[[#This Row],[_TaskPos]])="Yes",1,0))</f>
        <v>0</v>
      </c>
      <c r="U2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4" customFormat="false" ht="15" hidden="false" customHeight="false" outlineLevel="0" collapsed="false">
      <c r="B24" s="52"/>
      <c r="C24" s="30" t="str">
        <f aca="false">IF(AssignmentTable[[#This Row],[_TaskPos]]&lt;=0,"",INDEX(tsk_Name,AssignmentTable[[#This Row],[_TaskPos]])&amp;"")</f>
        <v/>
      </c>
      <c r="D24" s="53"/>
      <c r="E24" s="95"/>
      <c r="F24" s="110" t="n">
        <f aca="false">IF(AssignmentTable[[#This Row],[_Valid]]=1,N(INDEX(tsk_Duration,AssignmentTable[[#This Row],[_TaskPos]]))*HoursPerDay*IF(AssignmentTable[[#This Row],[Units]]="",DefaultUnits,AssignmentTable[[#This Row],[Units]]),0)</f>
        <v>0</v>
      </c>
      <c r="G24" s="111" t="n">
        <f aca="false">IF(AssignmentTable[[#This Row],[Work]]=0,0,AssignmentTable[[#This Row],[Work]]*IFERROR(INDEX(res_Rate,MATCH(AssignmentTable[[#This Row],[Resource]],res_Name,0)),0))</f>
        <v>0</v>
      </c>
      <c r="H2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4" s="38" t="n">
        <f aca="false">IF(N(AssignmentTable[[#This Row],[Task UID]])=0,0,IFERROR(MATCH(AssignmentTable[[#This Row],[Task UID]],tsk_UID,0),-1))</f>
        <v>0</v>
      </c>
      <c r="J24" s="38" t="n">
        <f aca="false">IF(AND(AssignmentTable[[#This Row],[_TaskPos]]&gt;0,AssignmentTable[[#This Row],[Resource]]&lt;&gt;"",AssignmentTable[[#This Row],[Check]]=""),1,0)</f>
        <v>0</v>
      </c>
      <c r="K24" s="38" t="str">
        <f aca="false">IF(AssignmentTable[[#This Row],[_Valid]]=1,AssignmentTable[[#This Row],[Task UID]]*1000+COUNTIFS(AssignmentTable[[#Headers],[Task UID]]:AssignmentTable[[#This Row],[Task UID]],AssignmentTable[[#This Row],[Task UID]],AssignmentTable[[#Headers],[_Valid]]:AssignmentTable[[#This Row],[_Valid]],1),"")</f>
        <v/>
      </c>
      <c r="L24" s="38" t="str">
        <f aca="false">IF(AssignmentTable[[#This Row],[_Valid]]=1,AssignmentTable[[#This Row],[Resource]]&amp;IF(OR(AssignmentTable[[#This Row],[Units]]="",AssignmentTable[[#This Row],[Units]]=1),"","["&amp;ROUND(AssignmentTable[[#This Row],[Units]]*100,0)&amp;"%]"),"")</f>
        <v/>
      </c>
      <c r="M24" s="38" t="n">
        <f aca="false">IF(AssignmentTable[[#This Row],[_Valid]]=1,N(INDEX(tsk_StartWD,AssignmentTable[[#This Row],[_TaskPos]])),0)</f>
        <v>0</v>
      </c>
      <c r="N24" s="38" t="n">
        <f aca="false">IF(AssignmentTable[[#This Row],[_Valid]]=1,N(INDEX(tsk_FinishWD,AssignmentTable[[#This Row],[_TaskPos]])),0)</f>
        <v>0</v>
      </c>
      <c r="O24" s="38" t="n">
        <f aca="false">IF(OR(AssignmentTable[[#This Row],[Work]]=0,AssignmentTable[[#This Row],[_FinishWD]]=0),0,AssignmentTable[[#This Row],[Work]]/(AssignmentTable[[#This Row],[_FinishWD]]-AssignmentTable[[#This Row],[_StartWD]]+1))</f>
        <v>0</v>
      </c>
      <c r="P24" s="38" t="n">
        <f aca="false">AssignmentTable[[#This Row],[_WorkPerWD]]*MAX(0,AssignmentTable[[#This Row],[_StartWD]]-1)</f>
        <v>0</v>
      </c>
      <c r="Q24" s="38" t="n">
        <f aca="false">IF(AssignmentTable[[#This Row],[_Valid]]=1,AssignmentTable[[#This Row],[Work]]*N(INDEX(tsk_LeafProgress,AssignmentTable[[#This Row],[_TaskPos]])),0)</f>
        <v>0</v>
      </c>
      <c r="R24" s="38" t="n">
        <f aca="false">IF(NOT(AssignmentTable[[#This Row],[_Valid]]=1),0,IF(N(INDEX(tsk_LeafTotalCost,AssignmentTable[[#This Row],[_TaskPos]]))=0,0,N(INDEX(tsk_LeafAC,AssignmentTable[[#This Row],[_TaskPos]]))*AssignmentTable[[#This Row],[Cost]]/INDEX(tsk_LeafTotalCost,AssignmentTable[[#This Row],[_TaskPos]])))</f>
        <v>0</v>
      </c>
      <c r="S24" s="38" t="n">
        <f aca="false">IF(NOT(AssignmentTable[[#This Row],[_Valid]]=1),0,IF(N(INDEX(tsk_LateKey,AssignmentTable[[#This Row],[_TaskPos]]))&gt;0,1,0))</f>
        <v>0</v>
      </c>
      <c r="T24" s="38" t="n">
        <f aca="false">IF(NOT(AssignmentTable[[#This Row],[_Valid]]=1),0,IF(INDEX(tsk_Critical,AssignmentTable[[#This Row],[_TaskPos]])="Yes",1,0))</f>
        <v>0</v>
      </c>
      <c r="U2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5" customFormat="false" ht="15" hidden="false" customHeight="false" outlineLevel="0" collapsed="false">
      <c r="B25" s="52"/>
      <c r="C25" s="30" t="str">
        <f aca="false">IF(AssignmentTable[[#This Row],[_TaskPos]]&lt;=0,"",INDEX(tsk_Name,AssignmentTable[[#This Row],[_TaskPos]])&amp;"")</f>
        <v/>
      </c>
      <c r="D25" s="53"/>
      <c r="E25" s="95"/>
      <c r="F25" s="110" t="n">
        <f aca="false">IF(AssignmentTable[[#This Row],[_Valid]]=1,N(INDEX(tsk_Duration,AssignmentTable[[#This Row],[_TaskPos]]))*HoursPerDay*IF(AssignmentTable[[#This Row],[Units]]="",DefaultUnits,AssignmentTable[[#This Row],[Units]]),0)</f>
        <v>0</v>
      </c>
      <c r="G25" s="111" t="n">
        <f aca="false">IF(AssignmentTable[[#This Row],[Work]]=0,0,AssignmentTable[[#This Row],[Work]]*IFERROR(INDEX(res_Rate,MATCH(AssignmentTable[[#This Row],[Resource]],res_Name,0)),0))</f>
        <v>0</v>
      </c>
      <c r="H2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5" s="38" t="n">
        <f aca="false">IF(N(AssignmentTable[[#This Row],[Task UID]])=0,0,IFERROR(MATCH(AssignmentTable[[#This Row],[Task UID]],tsk_UID,0),-1))</f>
        <v>0</v>
      </c>
      <c r="J25" s="38" t="n">
        <f aca="false">IF(AND(AssignmentTable[[#This Row],[_TaskPos]]&gt;0,AssignmentTable[[#This Row],[Resource]]&lt;&gt;"",AssignmentTable[[#This Row],[Check]]=""),1,0)</f>
        <v>0</v>
      </c>
      <c r="K25" s="38" t="str">
        <f aca="false">IF(AssignmentTable[[#This Row],[_Valid]]=1,AssignmentTable[[#This Row],[Task UID]]*1000+COUNTIFS(AssignmentTable[[#Headers],[Task UID]]:AssignmentTable[[#This Row],[Task UID]],AssignmentTable[[#This Row],[Task UID]],AssignmentTable[[#Headers],[_Valid]]:AssignmentTable[[#This Row],[_Valid]],1),"")</f>
        <v/>
      </c>
      <c r="L25" s="38" t="str">
        <f aca="false">IF(AssignmentTable[[#This Row],[_Valid]]=1,AssignmentTable[[#This Row],[Resource]]&amp;IF(OR(AssignmentTable[[#This Row],[Units]]="",AssignmentTable[[#This Row],[Units]]=1),"","["&amp;ROUND(AssignmentTable[[#This Row],[Units]]*100,0)&amp;"%]"),"")</f>
        <v/>
      </c>
      <c r="M25" s="38" t="n">
        <f aca="false">IF(AssignmentTable[[#This Row],[_Valid]]=1,N(INDEX(tsk_StartWD,AssignmentTable[[#This Row],[_TaskPos]])),0)</f>
        <v>0</v>
      </c>
      <c r="N25" s="38" t="n">
        <f aca="false">IF(AssignmentTable[[#This Row],[_Valid]]=1,N(INDEX(tsk_FinishWD,AssignmentTable[[#This Row],[_TaskPos]])),0)</f>
        <v>0</v>
      </c>
      <c r="O25" s="38" t="n">
        <f aca="false">IF(OR(AssignmentTable[[#This Row],[Work]]=0,AssignmentTable[[#This Row],[_FinishWD]]=0),0,AssignmentTable[[#This Row],[Work]]/(AssignmentTable[[#This Row],[_FinishWD]]-AssignmentTable[[#This Row],[_StartWD]]+1))</f>
        <v>0</v>
      </c>
      <c r="P25" s="38" t="n">
        <f aca="false">AssignmentTable[[#This Row],[_WorkPerWD]]*MAX(0,AssignmentTable[[#This Row],[_StartWD]]-1)</f>
        <v>0</v>
      </c>
      <c r="Q25" s="38" t="n">
        <f aca="false">IF(AssignmentTable[[#This Row],[_Valid]]=1,AssignmentTable[[#This Row],[Work]]*N(INDEX(tsk_LeafProgress,AssignmentTable[[#This Row],[_TaskPos]])),0)</f>
        <v>0</v>
      </c>
      <c r="R25" s="38" t="n">
        <f aca="false">IF(NOT(AssignmentTable[[#This Row],[_Valid]]=1),0,IF(N(INDEX(tsk_LeafTotalCost,AssignmentTable[[#This Row],[_TaskPos]]))=0,0,N(INDEX(tsk_LeafAC,AssignmentTable[[#This Row],[_TaskPos]]))*AssignmentTable[[#This Row],[Cost]]/INDEX(tsk_LeafTotalCost,AssignmentTable[[#This Row],[_TaskPos]])))</f>
        <v>0</v>
      </c>
      <c r="S25" s="38" t="n">
        <f aca="false">IF(NOT(AssignmentTable[[#This Row],[_Valid]]=1),0,IF(N(INDEX(tsk_LateKey,AssignmentTable[[#This Row],[_TaskPos]]))&gt;0,1,0))</f>
        <v>0</v>
      </c>
      <c r="T25" s="38" t="n">
        <f aca="false">IF(NOT(AssignmentTable[[#This Row],[_Valid]]=1),0,IF(INDEX(tsk_Critical,AssignmentTable[[#This Row],[_TaskPos]])="Yes",1,0))</f>
        <v>0</v>
      </c>
      <c r="U2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6" customFormat="false" ht="15" hidden="false" customHeight="false" outlineLevel="0" collapsed="false">
      <c r="B26" s="52"/>
      <c r="C26" s="30" t="str">
        <f aca="false">IF(AssignmentTable[[#This Row],[_TaskPos]]&lt;=0,"",INDEX(tsk_Name,AssignmentTable[[#This Row],[_TaskPos]])&amp;"")</f>
        <v/>
      </c>
      <c r="D26" s="53"/>
      <c r="E26" s="95"/>
      <c r="F26" s="110" t="n">
        <f aca="false">IF(AssignmentTable[[#This Row],[_Valid]]=1,N(INDEX(tsk_Duration,AssignmentTable[[#This Row],[_TaskPos]]))*HoursPerDay*IF(AssignmentTable[[#This Row],[Units]]="",DefaultUnits,AssignmentTable[[#This Row],[Units]]),0)</f>
        <v>0</v>
      </c>
      <c r="G26" s="111" t="n">
        <f aca="false">IF(AssignmentTable[[#This Row],[Work]]=0,0,AssignmentTable[[#This Row],[Work]]*IFERROR(INDEX(res_Rate,MATCH(AssignmentTable[[#This Row],[Resource]],res_Name,0)),0))</f>
        <v>0</v>
      </c>
      <c r="H2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6" s="38" t="n">
        <f aca="false">IF(N(AssignmentTable[[#This Row],[Task UID]])=0,0,IFERROR(MATCH(AssignmentTable[[#This Row],[Task UID]],tsk_UID,0),-1))</f>
        <v>0</v>
      </c>
      <c r="J26" s="38" t="n">
        <f aca="false">IF(AND(AssignmentTable[[#This Row],[_TaskPos]]&gt;0,AssignmentTable[[#This Row],[Resource]]&lt;&gt;"",AssignmentTable[[#This Row],[Check]]=""),1,0)</f>
        <v>0</v>
      </c>
      <c r="K26" s="38" t="str">
        <f aca="false">IF(AssignmentTable[[#This Row],[_Valid]]=1,AssignmentTable[[#This Row],[Task UID]]*1000+COUNTIFS(AssignmentTable[[#Headers],[Task UID]]:AssignmentTable[[#This Row],[Task UID]],AssignmentTable[[#This Row],[Task UID]],AssignmentTable[[#Headers],[_Valid]]:AssignmentTable[[#This Row],[_Valid]],1),"")</f>
        <v/>
      </c>
      <c r="L26" s="38" t="str">
        <f aca="false">IF(AssignmentTable[[#This Row],[_Valid]]=1,AssignmentTable[[#This Row],[Resource]]&amp;IF(OR(AssignmentTable[[#This Row],[Units]]="",AssignmentTable[[#This Row],[Units]]=1),"","["&amp;ROUND(AssignmentTable[[#This Row],[Units]]*100,0)&amp;"%]"),"")</f>
        <v/>
      </c>
      <c r="M26" s="38" t="n">
        <f aca="false">IF(AssignmentTable[[#This Row],[_Valid]]=1,N(INDEX(tsk_StartWD,AssignmentTable[[#This Row],[_TaskPos]])),0)</f>
        <v>0</v>
      </c>
      <c r="N26" s="38" t="n">
        <f aca="false">IF(AssignmentTable[[#This Row],[_Valid]]=1,N(INDEX(tsk_FinishWD,AssignmentTable[[#This Row],[_TaskPos]])),0)</f>
        <v>0</v>
      </c>
      <c r="O26" s="38" t="n">
        <f aca="false">IF(OR(AssignmentTable[[#This Row],[Work]]=0,AssignmentTable[[#This Row],[_FinishWD]]=0),0,AssignmentTable[[#This Row],[Work]]/(AssignmentTable[[#This Row],[_FinishWD]]-AssignmentTable[[#This Row],[_StartWD]]+1))</f>
        <v>0</v>
      </c>
      <c r="P26" s="38" t="n">
        <f aca="false">AssignmentTable[[#This Row],[_WorkPerWD]]*MAX(0,AssignmentTable[[#This Row],[_StartWD]]-1)</f>
        <v>0</v>
      </c>
      <c r="Q26" s="38" t="n">
        <f aca="false">IF(AssignmentTable[[#This Row],[_Valid]]=1,AssignmentTable[[#This Row],[Work]]*N(INDEX(tsk_LeafProgress,AssignmentTable[[#This Row],[_TaskPos]])),0)</f>
        <v>0</v>
      </c>
      <c r="R26" s="38" t="n">
        <f aca="false">IF(NOT(AssignmentTable[[#This Row],[_Valid]]=1),0,IF(N(INDEX(tsk_LeafTotalCost,AssignmentTable[[#This Row],[_TaskPos]]))=0,0,N(INDEX(tsk_LeafAC,AssignmentTable[[#This Row],[_TaskPos]]))*AssignmentTable[[#This Row],[Cost]]/INDEX(tsk_LeafTotalCost,AssignmentTable[[#This Row],[_TaskPos]])))</f>
        <v>0</v>
      </c>
      <c r="S26" s="38" t="n">
        <f aca="false">IF(NOT(AssignmentTable[[#This Row],[_Valid]]=1),0,IF(N(INDEX(tsk_LateKey,AssignmentTable[[#This Row],[_TaskPos]]))&gt;0,1,0))</f>
        <v>0</v>
      </c>
      <c r="T26" s="38" t="n">
        <f aca="false">IF(NOT(AssignmentTable[[#This Row],[_Valid]]=1),0,IF(INDEX(tsk_Critical,AssignmentTable[[#This Row],[_TaskPos]])="Yes",1,0))</f>
        <v>0</v>
      </c>
      <c r="U2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7" customFormat="false" ht="15" hidden="false" customHeight="false" outlineLevel="0" collapsed="false">
      <c r="B27" s="52"/>
      <c r="C27" s="30" t="str">
        <f aca="false">IF(AssignmentTable[[#This Row],[_TaskPos]]&lt;=0,"",INDEX(tsk_Name,AssignmentTable[[#This Row],[_TaskPos]])&amp;"")</f>
        <v/>
      </c>
      <c r="D27" s="53"/>
      <c r="E27" s="95"/>
      <c r="F27" s="110" t="n">
        <f aca="false">IF(AssignmentTable[[#This Row],[_Valid]]=1,N(INDEX(tsk_Duration,AssignmentTable[[#This Row],[_TaskPos]]))*HoursPerDay*IF(AssignmentTable[[#This Row],[Units]]="",DefaultUnits,AssignmentTable[[#This Row],[Units]]),0)</f>
        <v>0</v>
      </c>
      <c r="G27" s="111" t="n">
        <f aca="false">IF(AssignmentTable[[#This Row],[Work]]=0,0,AssignmentTable[[#This Row],[Work]]*IFERROR(INDEX(res_Rate,MATCH(AssignmentTable[[#This Row],[Resource]],res_Name,0)),0))</f>
        <v>0</v>
      </c>
      <c r="H2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7" s="38" t="n">
        <f aca="false">IF(N(AssignmentTable[[#This Row],[Task UID]])=0,0,IFERROR(MATCH(AssignmentTable[[#This Row],[Task UID]],tsk_UID,0),-1))</f>
        <v>0</v>
      </c>
      <c r="J27" s="38" t="n">
        <f aca="false">IF(AND(AssignmentTable[[#This Row],[_TaskPos]]&gt;0,AssignmentTable[[#This Row],[Resource]]&lt;&gt;"",AssignmentTable[[#This Row],[Check]]=""),1,0)</f>
        <v>0</v>
      </c>
      <c r="K27" s="38" t="str">
        <f aca="false">IF(AssignmentTable[[#This Row],[_Valid]]=1,AssignmentTable[[#This Row],[Task UID]]*1000+COUNTIFS(AssignmentTable[[#Headers],[Task UID]]:AssignmentTable[[#This Row],[Task UID]],AssignmentTable[[#This Row],[Task UID]],AssignmentTable[[#Headers],[_Valid]]:AssignmentTable[[#This Row],[_Valid]],1),"")</f>
        <v/>
      </c>
      <c r="L27" s="38" t="str">
        <f aca="false">IF(AssignmentTable[[#This Row],[_Valid]]=1,AssignmentTable[[#This Row],[Resource]]&amp;IF(OR(AssignmentTable[[#This Row],[Units]]="",AssignmentTable[[#This Row],[Units]]=1),"","["&amp;ROUND(AssignmentTable[[#This Row],[Units]]*100,0)&amp;"%]"),"")</f>
        <v/>
      </c>
      <c r="M27" s="38" t="n">
        <f aca="false">IF(AssignmentTable[[#This Row],[_Valid]]=1,N(INDEX(tsk_StartWD,AssignmentTable[[#This Row],[_TaskPos]])),0)</f>
        <v>0</v>
      </c>
      <c r="N27" s="38" t="n">
        <f aca="false">IF(AssignmentTable[[#This Row],[_Valid]]=1,N(INDEX(tsk_FinishWD,AssignmentTable[[#This Row],[_TaskPos]])),0)</f>
        <v>0</v>
      </c>
      <c r="O27" s="38" t="n">
        <f aca="false">IF(OR(AssignmentTable[[#This Row],[Work]]=0,AssignmentTable[[#This Row],[_FinishWD]]=0),0,AssignmentTable[[#This Row],[Work]]/(AssignmentTable[[#This Row],[_FinishWD]]-AssignmentTable[[#This Row],[_StartWD]]+1))</f>
        <v>0</v>
      </c>
      <c r="P27" s="38" t="n">
        <f aca="false">AssignmentTable[[#This Row],[_WorkPerWD]]*MAX(0,AssignmentTable[[#This Row],[_StartWD]]-1)</f>
        <v>0</v>
      </c>
      <c r="Q27" s="38" t="n">
        <f aca="false">IF(AssignmentTable[[#This Row],[_Valid]]=1,AssignmentTable[[#This Row],[Work]]*N(INDEX(tsk_LeafProgress,AssignmentTable[[#This Row],[_TaskPos]])),0)</f>
        <v>0</v>
      </c>
      <c r="R27" s="38" t="n">
        <f aca="false">IF(NOT(AssignmentTable[[#This Row],[_Valid]]=1),0,IF(N(INDEX(tsk_LeafTotalCost,AssignmentTable[[#This Row],[_TaskPos]]))=0,0,N(INDEX(tsk_LeafAC,AssignmentTable[[#This Row],[_TaskPos]]))*AssignmentTable[[#This Row],[Cost]]/INDEX(tsk_LeafTotalCost,AssignmentTable[[#This Row],[_TaskPos]])))</f>
        <v>0</v>
      </c>
      <c r="S27" s="38" t="n">
        <f aca="false">IF(NOT(AssignmentTable[[#This Row],[_Valid]]=1),0,IF(N(INDEX(tsk_LateKey,AssignmentTable[[#This Row],[_TaskPos]]))&gt;0,1,0))</f>
        <v>0</v>
      </c>
      <c r="T27" s="38" t="n">
        <f aca="false">IF(NOT(AssignmentTable[[#This Row],[_Valid]]=1),0,IF(INDEX(tsk_Critical,AssignmentTable[[#This Row],[_TaskPos]])="Yes",1,0))</f>
        <v>0</v>
      </c>
      <c r="U2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8" customFormat="false" ht="15" hidden="false" customHeight="false" outlineLevel="0" collapsed="false">
      <c r="B28" s="52"/>
      <c r="C28" s="30" t="str">
        <f aca="false">IF(AssignmentTable[[#This Row],[_TaskPos]]&lt;=0,"",INDEX(tsk_Name,AssignmentTable[[#This Row],[_TaskPos]])&amp;"")</f>
        <v/>
      </c>
      <c r="D28" s="53"/>
      <c r="E28" s="95"/>
      <c r="F28" s="110" t="n">
        <f aca="false">IF(AssignmentTable[[#This Row],[_Valid]]=1,N(INDEX(tsk_Duration,AssignmentTable[[#This Row],[_TaskPos]]))*HoursPerDay*IF(AssignmentTable[[#This Row],[Units]]="",DefaultUnits,AssignmentTable[[#This Row],[Units]]),0)</f>
        <v>0</v>
      </c>
      <c r="G28" s="111" t="n">
        <f aca="false">IF(AssignmentTable[[#This Row],[Work]]=0,0,AssignmentTable[[#This Row],[Work]]*IFERROR(INDEX(res_Rate,MATCH(AssignmentTable[[#This Row],[Resource]],res_Name,0)),0))</f>
        <v>0</v>
      </c>
      <c r="H2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8" s="38" t="n">
        <f aca="false">IF(N(AssignmentTable[[#This Row],[Task UID]])=0,0,IFERROR(MATCH(AssignmentTable[[#This Row],[Task UID]],tsk_UID,0),-1))</f>
        <v>0</v>
      </c>
      <c r="J28" s="38" t="n">
        <f aca="false">IF(AND(AssignmentTable[[#This Row],[_TaskPos]]&gt;0,AssignmentTable[[#This Row],[Resource]]&lt;&gt;"",AssignmentTable[[#This Row],[Check]]=""),1,0)</f>
        <v>0</v>
      </c>
      <c r="K28" s="38" t="str">
        <f aca="false">IF(AssignmentTable[[#This Row],[_Valid]]=1,AssignmentTable[[#This Row],[Task UID]]*1000+COUNTIFS(AssignmentTable[[#Headers],[Task UID]]:AssignmentTable[[#This Row],[Task UID]],AssignmentTable[[#This Row],[Task UID]],AssignmentTable[[#Headers],[_Valid]]:AssignmentTable[[#This Row],[_Valid]],1),"")</f>
        <v/>
      </c>
      <c r="L28" s="38" t="str">
        <f aca="false">IF(AssignmentTable[[#This Row],[_Valid]]=1,AssignmentTable[[#This Row],[Resource]]&amp;IF(OR(AssignmentTable[[#This Row],[Units]]="",AssignmentTable[[#This Row],[Units]]=1),"","["&amp;ROUND(AssignmentTable[[#This Row],[Units]]*100,0)&amp;"%]"),"")</f>
        <v/>
      </c>
      <c r="M28" s="38" t="n">
        <f aca="false">IF(AssignmentTable[[#This Row],[_Valid]]=1,N(INDEX(tsk_StartWD,AssignmentTable[[#This Row],[_TaskPos]])),0)</f>
        <v>0</v>
      </c>
      <c r="N28" s="38" t="n">
        <f aca="false">IF(AssignmentTable[[#This Row],[_Valid]]=1,N(INDEX(tsk_FinishWD,AssignmentTable[[#This Row],[_TaskPos]])),0)</f>
        <v>0</v>
      </c>
      <c r="O28" s="38" t="n">
        <f aca="false">IF(OR(AssignmentTable[[#This Row],[Work]]=0,AssignmentTable[[#This Row],[_FinishWD]]=0),0,AssignmentTable[[#This Row],[Work]]/(AssignmentTable[[#This Row],[_FinishWD]]-AssignmentTable[[#This Row],[_StartWD]]+1))</f>
        <v>0</v>
      </c>
      <c r="P28" s="38" t="n">
        <f aca="false">AssignmentTable[[#This Row],[_WorkPerWD]]*MAX(0,AssignmentTable[[#This Row],[_StartWD]]-1)</f>
        <v>0</v>
      </c>
      <c r="Q28" s="38" t="n">
        <f aca="false">IF(AssignmentTable[[#This Row],[_Valid]]=1,AssignmentTable[[#This Row],[Work]]*N(INDEX(tsk_LeafProgress,AssignmentTable[[#This Row],[_TaskPos]])),0)</f>
        <v>0</v>
      </c>
      <c r="R28" s="38" t="n">
        <f aca="false">IF(NOT(AssignmentTable[[#This Row],[_Valid]]=1),0,IF(N(INDEX(tsk_LeafTotalCost,AssignmentTable[[#This Row],[_TaskPos]]))=0,0,N(INDEX(tsk_LeafAC,AssignmentTable[[#This Row],[_TaskPos]]))*AssignmentTable[[#This Row],[Cost]]/INDEX(tsk_LeafTotalCost,AssignmentTable[[#This Row],[_TaskPos]])))</f>
        <v>0</v>
      </c>
      <c r="S28" s="38" t="n">
        <f aca="false">IF(NOT(AssignmentTable[[#This Row],[_Valid]]=1),0,IF(N(INDEX(tsk_LateKey,AssignmentTable[[#This Row],[_TaskPos]]))&gt;0,1,0))</f>
        <v>0</v>
      </c>
      <c r="T28" s="38" t="n">
        <f aca="false">IF(NOT(AssignmentTable[[#This Row],[_Valid]]=1),0,IF(INDEX(tsk_Critical,AssignmentTable[[#This Row],[_TaskPos]])="Yes",1,0))</f>
        <v>0</v>
      </c>
      <c r="U2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9" customFormat="false" ht="15" hidden="false" customHeight="false" outlineLevel="0" collapsed="false">
      <c r="B29" s="52"/>
      <c r="C29" s="30" t="str">
        <f aca="false">IF(AssignmentTable[[#This Row],[_TaskPos]]&lt;=0,"",INDEX(tsk_Name,AssignmentTable[[#This Row],[_TaskPos]])&amp;"")</f>
        <v/>
      </c>
      <c r="D29" s="53"/>
      <c r="E29" s="95"/>
      <c r="F29" s="110" t="n">
        <f aca="false">IF(AssignmentTable[[#This Row],[_Valid]]=1,N(INDEX(tsk_Duration,AssignmentTable[[#This Row],[_TaskPos]]))*HoursPerDay*IF(AssignmentTable[[#This Row],[Units]]="",DefaultUnits,AssignmentTable[[#This Row],[Units]]),0)</f>
        <v>0</v>
      </c>
      <c r="G29" s="111" t="n">
        <f aca="false">IF(AssignmentTable[[#This Row],[Work]]=0,0,AssignmentTable[[#This Row],[Work]]*IFERROR(INDEX(res_Rate,MATCH(AssignmentTable[[#This Row],[Resource]],res_Name,0)),0))</f>
        <v>0</v>
      </c>
      <c r="H2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9" s="38" t="n">
        <f aca="false">IF(N(AssignmentTable[[#This Row],[Task UID]])=0,0,IFERROR(MATCH(AssignmentTable[[#This Row],[Task UID]],tsk_UID,0),-1))</f>
        <v>0</v>
      </c>
      <c r="J29" s="38" t="n">
        <f aca="false">IF(AND(AssignmentTable[[#This Row],[_TaskPos]]&gt;0,AssignmentTable[[#This Row],[Resource]]&lt;&gt;"",AssignmentTable[[#This Row],[Check]]=""),1,0)</f>
        <v>0</v>
      </c>
      <c r="K29" s="38" t="str">
        <f aca="false">IF(AssignmentTable[[#This Row],[_Valid]]=1,AssignmentTable[[#This Row],[Task UID]]*1000+COUNTIFS(AssignmentTable[[#Headers],[Task UID]]:AssignmentTable[[#This Row],[Task UID]],AssignmentTable[[#This Row],[Task UID]],AssignmentTable[[#Headers],[_Valid]]:AssignmentTable[[#This Row],[_Valid]],1),"")</f>
        <v/>
      </c>
      <c r="L29" s="38" t="str">
        <f aca="false">IF(AssignmentTable[[#This Row],[_Valid]]=1,AssignmentTable[[#This Row],[Resource]]&amp;IF(OR(AssignmentTable[[#This Row],[Units]]="",AssignmentTable[[#This Row],[Units]]=1),"","["&amp;ROUND(AssignmentTable[[#This Row],[Units]]*100,0)&amp;"%]"),"")</f>
        <v/>
      </c>
      <c r="M29" s="38" t="n">
        <f aca="false">IF(AssignmentTable[[#This Row],[_Valid]]=1,N(INDEX(tsk_StartWD,AssignmentTable[[#This Row],[_TaskPos]])),0)</f>
        <v>0</v>
      </c>
      <c r="N29" s="38" t="n">
        <f aca="false">IF(AssignmentTable[[#This Row],[_Valid]]=1,N(INDEX(tsk_FinishWD,AssignmentTable[[#This Row],[_TaskPos]])),0)</f>
        <v>0</v>
      </c>
      <c r="O29" s="38" t="n">
        <f aca="false">IF(OR(AssignmentTable[[#This Row],[Work]]=0,AssignmentTable[[#This Row],[_FinishWD]]=0),0,AssignmentTable[[#This Row],[Work]]/(AssignmentTable[[#This Row],[_FinishWD]]-AssignmentTable[[#This Row],[_StartWD]]+1))</f>
        <v>0</v>
      </c>
      <c r="P29" s="38" t="n">
        <f aca="false">AssignmentTable[[#This Row],[_WorkPerWD]]*MAX(0,AssignmentTable[[#This Row],[_StartWD]]-1)</f>
        <v>0</v>
      </c>
      <c r="Q29" s="38" t="n">
        <f aca="false">IF(AssignmentTable[[#This Row],[_Valid]]=1,AssignmentTable[[#This Row],[Work]]*N(INDEX(tsk_LeafProgress,AssignmentTable[[#This Row],[_TaskPos]])),0)</f>
        <v>0</v>
      </c>
      <c r="R29" s="38" t="n">
        <f aca="false">IF(NOT(AssignmentTable[[#This Row],[_Valid]]=1),0,IF(N(INDEX(tsk_LeafTotalCost,AssignmentTable[[#This Row],[_TaskPos]]))=0,0,N(INDEX(tsk_LeafAC,AssignmentTable[[#This Row],[_TaskPos]]))*AssignmentTable[[#This Row],[Cost]]/INDEX(tsk_LeafTotalCost,AssignmentTable[[#This Row],[_TaskPos]])))</f>
        <v>0</v>
      </c>
      <c r="S29" s="38" t="n">
        <f aca="false">IF(NOT(AssignmentTable[[#This Row],[_Valid]]=1),0,IF(N(INDEX(tsk_LateKey,AssignmentTable[[#This Row],[_TaskPos]]))&gt;0,1,0))</f>
        <v>0</v>
      </c>
      <c r="T29" s="38" t="n">
        <f aca="false">IF(NOT(AssignmentTable[[#This Row],[_Valid]]=1),0,IF(INDEX(tsk_Critical,AssignmentTable[[#This Row],[_TaskPos]])="Yes",1,0))</f>
        <v>0</v>
      </c>
      <c r="U2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0" customFormat="false" ht="15" hidden="false" customHeight="false" outlineLevel="0" collapsed="false">
      <c r="B30" s="52"/>
      <c r="C30" s="30" t="str">
        <f aca="false">IF(AssignmentTable[[#This Row],[_TaskPos]]&lt;=0,"",INDEX(tsk_Name,AssignmentTable[[#This Row],[_TaskPos]])&amp;"")</f>
        <v/>
      </c>
      <c r="D30" s="53"/>
      <c r="E30" s="95"/>
      <c r="F30" s="110" t="n">
        <f aca="false">IF(AssignmentTable[[#This Row],[_Valid]]=1,N(INDEX(tsk_Duration,AssignmentTable[[#This Row],[_TaskPos]]))*HoursPerDay*IF(AssignmentTable[[#This Row],[Units]]="",DefaultUnits,AssignmentTable[[#This Row],[Units]]),0)</f>
        <v>0</v>
      </c>
      <c r="G30" s="111" t="n">
        <f aca="false">IF(AssignmentTable[[#This Row],[Work]]=0,0,AssignmentTable[[#This Row],[Work]]*IFERROR(INDEX(res_Rate,MATCH(AssignmentTable[[#This Row],[Resource]],res_Name,0)),0))</f>
        <v>0</v>
      </c>
      <c r="H3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0" s="38" t="n">
        <f aca="false">IF(N(AssignmentTable[[#This Row],[Task UID]])=0,0,IFERROR(MATCH(AssignmentTable[[#This Row],[Task UID]],tsk_UID,0),-1))</f>
        <v>0</v>
      </c>
      <c r="J30" s="38" t="n">
        <f aca="false">IF(AND(AssignmentTable[[#This Row],[_TaskPos]]&gt;0,AssignmentTable[[#This Row],[Resource]]&lt;&gt;"",AssignmentTable[[#This Row],[Check]]=""),1,0)</f>
        <v>0</v>
      </c>
      <c r="K30" s="38" t="str">
        <f aca="false">IF(AssignmentTable[[#This Row],[_Valid]]=1,AssignmentTable[[#This Row],[Task UID]]*1000+COUNTIFS(AssignmentTable[[#Headers],[Task UID]]:AssignmentTable[[#This Row],[Task UID]],AssignmentTable[[#This Row],[Task UID]],AssignmentTable[[#Headers],[_Valid]]:AssignmentTable[[#This Row],[_Valid]],1),"")</f>
        <v/>
      </c>
      <c r="L30" s="38" t="str">
        <f aca="false">IF(AssignmentTable[[#This Row],[_Valid]]=1,AssignmentTable[[#This Row],[Resource]]&amp;IF(OR(AssignmentTable[[#This Row],[Units]]="",AssignmentTable[[#This Row],[Units]]=1),"","["&amp;ROUND(AssignmentTable[[#This Row],[Units]]*100,0)&amp;"%]"),"")</f>
        <v/>
      </c>
      <c r="M30" s="38" t="n">
        <f aca="false">IF(AssignmentTable[[#This Row],[_Valid]]=1,N(INDEX(tsk_StartWD,AssignmentTable[[#This Row],[_TaskPos]])),0)</f>
        <v>0</v>
      </c>
      <c r="N30" s="38" t="n">
        <f aca="false">IF(AssignmentTable[[#This Row],[_Valid]]=1,N(INDEX(tsk_FinishWD,AssignmentTable[[#This Row],[_TaskPos]])),0)</f>
        <v>0</v>
      </c>
      <c r="O30" s="38" t="n">
        <f aca="false">IF(OR(AssignmentTable[[#This Row],[Work]]=0,AssignmentTable[[#This Row],[_FinishWD]]=0),0,AssignmentTable[[#This Row],[Work]]/(AssignmentTable[[#This Row],[_FinishWD]]-AssignmentTable[[#This Row],[_StartWD]]+1))</f>
        <v>0</v>
      </c>
      <c r="P30" s="38" t="n">
        <f aca="false">AssignmentTable[[#This Row],[_WorkPerWD]]*MAX(0,AssignmentTable[[#This Row],[_StartWD]]-1)</f>
        <v>0</v>
      </c>
      <c r="Q30" s="38" t="n">
        <f aca="false">IF(AssignmentTable[[#This Row],[_Valid]]=1,AssignmentTable[[#This Row],[Work]]*N(INDEX(tsk_LeafProgress,AssignmentTable[[#This Row],[_TaskPos]])),0)</f>
        <v>0</v>
      </c>
      <c r="R30" s="38" t="n">
        <f aca="false">IF(NOT(AssignmentTable[[#This Row],[_Valid]]=1),0,IF(N(INDEX(tsk_LeafTotalCost,AssignmentTable[[#This Row],[_TaskPos]]))=0,0,N(INDEX(tsk_LeafAC,AssignmentTable[[#This Row],[_TaskPos]]))*AssignmentTable[[#This Row],[Cost]]/INDEX(tsk_LeafTotalCost,AssignmentTable[[#This Row],[_TaskPos]])))</f>
        <v>0</v>
      </c>
      <c r="S30" s="38" t="n">
        <f aca="false">IF(NOT(AssignmentTable[[#This Row],[_Valid]]=1),0,IF(N(INDEX(tsk_LateKey,AssignmentTable[[#This Row],[_TaskPos]]))&gt;0,1,0))</f>
        <v>0</v>
      </c>
      <c r="T30" s="38" t="n">
        <f aca="false">IF(NOT(AssignmentTable[[#This Row],[_Valid]]=1),0,IF(INDEX(tsk_Critical,AssignmentTable[[#This Row],[_TaskPos]])="Yes",1,0))</f>
        <v>0</v>
      </c>
      <c r="U3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1" customFormat="false" ht="15" hidden="false" customHeight="false" outlineLevel="0" collapsed="false">
      <c r="B31" s="52"/>
      <c r="C31" s="30" t="str">
        <f aca="false">IF(AssignmentTable[[#This Row],[_TaskPos]]&lt;=0,"",INDEX(tsk_Name,AssignmentTable[[#This Row],[_TaskPos]])&amp;"")</f>
        <v/>
      </c>
      <c r="D31" s="53"/>
      <c r="E31" s="95"/>
      <c r="F31" s="110" t="n">
        <f aca="false">IF(AssignmentTable[[#This Row],[_Valid]]=1,N(INDEX(tsk_Duration,AssignmentTable[[#This Row],[_TaskPos]]))*HoursPerDay*IF(AssignmentTable[[#This Row],[Units]]="",DefaultUnits,AssignmentTable[[#This Row],[Units]]),0)</f>
        <v>0</v>
      </c>
      <c r="G31" s="111" t="n">
        <f aca="false">IF(AssignmentTable[[#This Row],[Work]]=0,0,AssignmentTable[[#This Row],[Work]]*IFERROR(INDEX(res_Rate,MATCH(AssignmentTable[[#This Row],[Resource]],res_Name,0)),0))</f>
        <v>0</v>
      </c>
      <c r="H3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1" s="38" t="n">
        <f aca="false">IF(N(AssignmentTable[[#This Row],[Task UID]])=0,0,IFERROR(MATCH(AssignmentTable[[#This Row],[Task UID]],tsk_UID,0),-1))</f>
        <v>0</v>
      </c>
      <c r="J31" s="38" t="n">
        <f aca="false">IF(AND(AssignmentTable[[#This Row],[_TaskPos]]&gt;0,AssignmentTable[[#This Row],[Resource]]&lt;&gt;"",AssignmentTable[[#This Row],[Check]]=""),1,0)</f>
        <v>0</v>
      </c>
      <c r="K31" s="38" t="str">
        <f aca="false">IF(AssignmentTable[[#This Row],[_Valid]]=1,AssignmentTable[[#This Row],[Task UID]]*1000+COUNTIFS(AssignmentTable[[#Headers],[Task UID]]:AssignmentTable[[#This Row],[Task UID]],AssignmentTable[[#This Row],[Task UID]],AssignmentTable[[#Headers],[_Valid]]:AssignmentTable[[#This Row],[_Valid]],1),"")</f>
        <v/>
      </c>
      <c r="L31" s="38" t="str">
        <f aca="false">IF(AssignmentTable[[#This Row],[_Valid]]=1,AssignmentTable[[#This Row],[Resource]]&amp;IF(OR(AssignmentTable[[#This Row],[Units]]="",AssignmentTable[[#This Row],[Units]]=1),"","["&amp;ROUND(AssignmentTable[[#This Row],[Units]]*100,0)&amp;"%]"),"")</f>
        <v/>
      </c>
      <c r="M31" s="38" t="n">
        <f aca="false">IF(AssignmentTable[[#This Row],[_Valid]]=1,N(INDEX(tsk_StartWD,AssignmentTable[[#This Row],[_TaskPos]])),0)</f>
        <v>0</v>
      </c>
      <c r="N31" s="38" t="n">
        <f aca="false">IF(AssignmentTable[[#This Row],[_Valid]]=1,N(INDEX(tsk_FinishWD,AssignmentTable[[#This Row],[_TaskPos]])),0)</f>
        <v>0</v>
      </c>
      <c r="O31" s="38" t="n">
        <f aca="false">IF(OR(AssignmentTable[[#This Row],[Work]]=0,AssignmentTable[[#This Row],[_FinishWD]]=0),0,AssignmentTable[[#This Row],[Work]]/(AssignmentTable[[#This Row],[_FinishWD]]-AssignmentTable[[#This Row],[_StartWD]]+1))</f>
        <v>0</v>
      </c>
      <c r="P31" s="38" t="n">
        <f aca="false">AssignmentTable[[#This Row],[_WorkPerWD]]*MAX(0,AssignmentTable[[#This Row],[_StartWD]]-1)</f>
        <v>0</v>
      </c>
      <c r="Q31" s="38" t="n">
        <f aca="false">IF(AssignmentTable[[#This Row],[_Valid]]=1,AssignmentTable[[#This Row],[Work]]*N(INDEX(tsk_LeafProgress,AssignmentTable[[#This Row],[_TaskPos]])),0)</f>
        <v>0</v>
      </c>
      <c r="R31" s="38" t="n">
        <f aca="false">IF(NOT(AssignmentTable[[#This Row],[_Valid]]=1),0,IF(N(INDEX(tsk_LeafTotalCost,AssignmentTable[[#This Row],[_TaskPos]]))=0,0,N(INDEX(tsk_LeafAC,AssignmentTable[[#This Row],[_TaskPos]]))*AssignmentTable[[#This Row],[Cost]]/INDEX(tsk_LeafTotalCost,AssignmentTable[[#This Row],[_TaskPos]])))</f>
        <v>0</v>
      </c>
      <c r="S31" s="38" t="n">
        <f aca="false">IF(NOT(AssignmentTable[[#This Row],[_Valid]]=1),0,IF(N(INDEX(tsk_LateKey,AssignmentTable[[#This Row],[_TaskPos]]))&gt;0,1,0))</f>
        <v>0</v>
      </c>
      <c r="T31" s="38" t="n">
        <f aca="false">IF(NOT(AssignmentTable[[#This Row],[_Valid]]=1),0,IF(INDEX(tsk_Critical,AssignmentTable[[#This Row],[_TaskPos]])="Yes",1,0))</f>
        <v>0</v>
      </c>
      <c r="U3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2" customFormat="false" ht="15" hidden="false" customHeight="false" outlineLevel="0" collapsed="false">
      <c r="B32" s="52"/>
      <c r="C32" s="30" t="str">
        <f aca="false">IF(AssignmentTable[[#This Row],[_TaskPos]]&lt;=0,"",INDEX(tsk_Name,AssignmentTable[[#This Row],[_TaskPos]])&amp;"")</f>
        <v/>
      </c>
      <c r="D32" s="53"/>
      <c r="E32" s="95"/>
      <c r="F32" s="110" t="n">
        <f aca="false">IF(AssignmentTable[[#This Row],[_Valid]]=1,N(INDEX(tsk_Duration,AssignmentTable[[#This Row],[_TaskPos]]))*HoursPerDay*IF(AssignmentTable[[#This Row],[Units]]="",DefaultUnits,AssignmentTable[[#This Row],[Units]]),0)</f>
        <v>0</v>
      </c>
      <c r="G32" s="111" t="n">
        <f aca="false">IF(AssignmentTable[[#This Row],[Work]]=0,0,AssignmentTable[[#This Row],[Work]]*IFERROR(INDEX(res_Rate,MATCH(AssignmentTable[[#This Row],[Resource]],res_Name,0)),0))</f>
        <v>0</v>
      </c>
      <c r="H3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2" s="38" t="n">
        <f aca="false">IF(N(AssignmentTable[[#This Row],[Task UID]])=0,0,IFERROR(MATCH(AssignmentTable[[#This Row],[Task UID]],tsk_UID,0),-1))</f>
        <v>0</v>
      </c>
      <c r="J32" s="38" t="n">
        <f aca="false">IF(AND(AssignmentTable[[#This Row],[_TaskPos]]&gt;0,AssignmentTable[[#This Row],[Resource]]&lt;&gt;"",AssignmentTable[[#This Row],[Check]]=""),1,0)</f>
        <v>0</v>
      </c>
      <c r="K32" s="38" t="str">
        <f aca="false">IF(AssignmentTable[[#This Row],[_Valid]]=1,AssignmentTable[[#This Row],[Task UID]]*1000+COUNTIFS(AssignmentTable[[#Headers],[Task UID]]:AssignmentTable[[#This Row],[Task UID]],AssignmentTable[[#This Row],[Task UID]],AssignmentTable[[#Headers],[_Valid]]:AssignmentTable[[#This Row],[_Valid]],1),"")</f>
        <v/>
      </c>
      <c r="L32" s="38" t="str">
        <f aca="false">IF(AssignmentTable[[#This Row],[_Valid]]=1,AssignmentTable[[#This Row],[Resource]]&amp;IF(OR(AssignmentTable[[#This Row],[Units]]="",AssignmentTable[[#This Row],[Units]]=1),"","["&amp;ROUND(AssignmentTable[[#This Row],[Units]]*100,0)&amp;"%]"),"")</f>
        <v/>
      </c>
      <c r="M32" s="38" t="n">
        <f aca="false">IF(AssignmentTable[[#This Row],[_Valid]]=1,N(INDEX(tsk_StartWD,AssignmentTable[[#This Row],[_TaskPos]])),0)</f>
        <v>0</v>
      </c>
      <c r="N32" s="38" t="n">
        <f aca="false">IF(AssignmentTable[[#This Row],[_Valid]]=1,N(INDEX(tsk_FinishWD,AssignmentTable[[#This Row],[_TaskPos]])),0)</f>
        <v>0</v>
      </c>
      <c r="O32" s="38" t="n">
        <f aca="false">IF(OR(AssignmentTable[[#This Row],[Work]]=0,AssignmentTable[[#This Row],[_FinishWD]]=0),0,AssignmentTable[[#This Row],[Work]]/(AssignmentTable[[#This Row],[_FinishWD]]-AssignmentTable[[#This Row],[_StartWD]]+1))</f>
        <v>0</v>
      </c>
      <c r="P32" s="38" t="n">
        <f aca="false">AssignmentTable[[#This Row],[_WorkPerWD]]*MAX(0,AssignmentTable[[#This Row],[_StartWD]]-1)</f>
        <v>0</v>
      </c>
      <c r="Q32" s="38" t="n">
        <f aca="false">IF(AssignmentTable[[#This Row],[_Valid]]=1,AssignmentTable[[#This Row],[Work]]*N(INDEX(tsk_LeafProgress,AssignmentTable[[#This Row],[_TaskPos]])),0)</f>
        <v>0</v>
      </c>
      <c r="R32" s="38" t="n">
        <f aca="false">IF(NOT(AssignmentTable[[#This Row],[_Valid]]=1),0,IF(N(INDEX(tsk_LeafTotalCost,AssignmentTable[[#This Row],[_TaskPos]]))=0,0,N(INDEX(tsk_LeafAC,AssignmentTable[[#This Row],[_TaskPos]]))*AssignmentTable[[#This Row],[Cost]]/INDEX(tsk_LeafTotalCost,AssignmentTable[[#This Row],[_TaskPos]])))</f>
        <v>0</v>
      </c>
      <c r="S32" s="38" t="n">
        <f aca="false">IF(NOT(AssignmentTable[[#This Row],[_Valid]]=1),0,IF(N(INDEX(tsk_LateKey,AssignmentTable[[#This Row],[_TaskPos]]))&gt;0,1,0))</f>
        <v>0</v>
      </c>
      <c r="T32" s="38" t="n">
        <f aca="false">IF(NOT(AssignmentTable[[#This Row],[_Valid]]=1),0,IF(INDEX(tsk_Critical,AssignmentTable[[#This Row],[_TaskPos]])="Yes",1,0))</f>
        <v>0</v>
      </c>
      <c r="U3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3" customFormat="false" ht="15" hidden="false" customHeight="false" outlineLevel="0" collapsed="false">
      <c r="B33" s="52"/>
      <c r="C33" s="30" t="str">
        <f aca="false">IF(AssignmentTable[[#This Row],[_TaskPos]]&lt;=0,"",INDEX(tsk_Name,AssignmentTable[[#This Row],[_TaskPos]])&amp;"")</f>
        <v/>
      </c>
      <c r="D33" s="53"/>
      <c r="E33" s="95"/>
      <c r="F33" s="110" t="n">
        <f aca="false">IF(AssignmentTable[[#This Row],[_Valid]]=1,N(INDEX(tsk_Duration,AssignmentTable[[#This Row],[_TaskPos]]))*HoursPerDay*IF(AssignmentTable[[#This Row],[Units]]="",DefaultUnits,AssignmentTable[[#This Row],[Units]]),0)</f>
        <v>0</v>
      </c>
      <c r="G33" s="111" t="n">
        <f aca="false">IF(AssignmentTable[[#This Row],[Work]]=0,0,AssignmentTable[[#This Row],[Work]]*IFERROR(INDEX(res_Rate,MATCH(AssignmentTable[[#This Row],[Resource]],res_Name,0)),0))</f>
        <v>0</v>
      </c>
      <c r="H3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3" s="38" t="n">
        <f aca="false">IF(N(AssignmentTable[[#This Row],[Task UID]])=0,0,IFERROR(MATCH(AssignmentTable[[#This Row],[Task UID]],tsk_UID,0),-1))</f>
        <v>0</v>
      </c>
      <c r="J33" s="38" t="n">
        <f aca="false">IF(AND(AssignmentTable[[#This Row],[_TaskPos]]&gt;0,AssignmentTable[[#This Row],[Resource]]&lt;&gt;"",AssignmentTable[[#This Row],[Check]]=""),1,0)</f>
        <v>0</v>
      </c>
      <c r="K33" s="38" t="str">
        <f aca="false">IF(AssignmentTable[[#This Row],[_Valid]]=1,AssignmentTable[[#This Row],[Task UID]]*1000+COUNTIFS(AssignmentTable[[#Headers],[Task UID]]:AssignmentTable[[#This Row],[Task UID]],AssignmentTable[[#This Row],[Task UID]],AssignmentTable[[#Headers],[_Valid]]:AssignmentTable[[#This Row],[_Valid]],1),"")</f>
        <v/>
      </c>
      <c r="L33" s="38" t="str">
        <f aca="false">IF(AssignmentTable[[#This Row],[_Valid]]=1,AssignmentTable[[#This Row],[Resource]]&amp;IF(OR(AssignmentTable[[#This Row],[Units]]="",AssignmentTable[[#This Row],[Units]]=1),"","["&amp;ROUND(AssignmentTable[[#This Row],[Units]]*100,0)&amp;"%]"),"")</f>
        <v/>
      </c>
      <c r="M33" s="38" t="n">
        <f aca="false">IF(AssignmentTable[[#This Row],[_Valid]]=1,N(INDEX(tsk_StartWD,AssignmentTable[[#This Row],[_TaskPos]])),0)</f>
        <v>0</v>
      </c>
      <c r="N33" s="38" t="n">
        <f aca="false">IF(AssignmentTable[[#This Row],[_Valid]]=1,N(INDEX(tsk_FinishWD,AssignmentTable[[#This Row],[_TaskPos]])),0)</f>
        <v>0</v>
      </c>
      <c r="O33" s="38" t="n">
        <f aca="false">IF(OR(AssignmentTable[[#This Row],[Work]]=0,AssignmentTable[[#This Row],[_FinishWD]]=0),0,AssignmentTable[[#This Row],[Work]]/(AssignmentTable[[#This Row],[_FinishWD]]-AssignmentTable[[#This Row],[_StartWD]]+1))</f>
        <v>0</v>
      </c>
      <c r="P33" s="38" t="n">
        <f aca="false">AssignmentTable[[#This Row],[_WorkPerWD]]*MAX(0,AssignmentTable[[#This Row],[_StartWD]]-1)</f>
        <v>0</v>
      </c>
      <c r="Q33" s="38" t="n">
        <f aca="false">IF(AssignmentTable[[#This Row],[_Valid]]=1,AssignmentTable[[#This Row],[Work]]*N(INDEX(tsk_LeafProgress,AssignmentTable[[#This Row],[_TaskPos]])),0)</f>
        <v>0</v>
      </c>
      <c r="R33" s="38" t="n">
        <f aca="false">IF(NOT(AssignmentTable[[#This Row],[_Valid]]=1),0,IF(N(INDEX(tsk_LeafTotalCost,AssignmentTable[[#This Row],[_TaskPos]]))=0,0,N(INDEX(tsk_LeafAC,AssignmentTable[[#This Row],[_TaskPos]]))*AssignmentTable[[#This Row],[Cost]]/INDEX(tsk_LeafTotalCost,AssignmentTable[[#This Row],[_TaskPos]])))</f>
        <v>0</v>
      </c>
      <c r="S33" s="38" t="n">
        <f aca="false">IF(NOT(AssignmentTable[[#This Row],[_Valid]]=1),0,IF(N(INDEX(tsk_LateKey,AssignmentTable[[#This Row],[_TaskPos]]))&gt;0,1,0))</f>
        <v>0</v>
      </c>
      <c r="T33" s="38" t="n">
        <f aca="false">IF(NOT(AssignmentTable[[#This Row],[_Valid]]=1),0,IF(INDEX(tsk_Critical,AssignmentTable[[#This Row],[_TaskPos]])="Yes",1,0))</f>
        <v>0</v>
      </c>
      <c r="U3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4" customFormat="false" ht="15" hidden="false" customHeight="false" outlineLevel="0" collapsed="false">
      <c r="B34" s="52"/>
      <c r="C34" s="30" t="str">
        <f aca="false">IF(AssignmentTable[[#This Row],[_TaskPos]]&lt;=0,"",INDEX(tsk_Name,AssignmentTable[[#This Row],[_TaskPos]])&amp;"")</f>
        <v/>
      </c>
      <c r="D34" s="53"/>
      <c r="E34" s="95"/>
      <c r="F34" s="110" t="n">
        <f aca="false">IF(AssignmentTable[[#This Row],[_Valid]]=1,N(INDEX(tsk_Duration,AssignmentTable[[#This Row],[_TaskPos]]))*HoursPerDay*IF(AssignmentTable[[#This Row],[Units]]="",DefaultUnits,AssignmentTable[[#This Row],[Units]]),0)</f>
        <v>0</v>
      </c>
      <c r="G34" s="111" t="n">
        <f aca="false">IF(AssignmentTable[[#This Row],[Work]]=0,0,AssignmentTable[[#This Row],[Work]]*IFERROR(INDEX(res_Rate,MATCH(AssignmentTable[[#This Row],[Resource]],res_Name,0)),0))</f>
        <v>0</v>
      </c>
      <c r="H3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4" s="38" t="n">
        <f aca="false">IF(N(AssignmentTable[[#This Row],[Task UID]])=0,0,IFERROR(MATCH(AssignmentTable[[#This Row],[Task UID]],tsk_UID,0),-1))</f>
        <v>0</v>
      </c>
      <c r="J34" s="38" t="n">
        <f aca="false">IF(AND(AssignmentTable[[#This Row],[_TaskPos]]&gt;0,AssignmentTable[[#This Row],[Resource]]&lt;&gt;"",AssignmentTable[[#This Row],[Check]]=""),1,0)</f>
        <v>0</v>
      </c>
      <c r="K34" s="38" t="str">
        <f aca="false">IF(AssignmentTable[[#This Row],[_Valid]]=1,AssignmentTable[[#This Row],[Task UID]]*1000+COUNTIFS(AssignmentTable[[#Headers],[Task UID]]:AssignmentTable[[#This Row],[Task UID]],AssignmentTable[[#This Row],[Task UID]],AssignmentTable[[#Headers],[_Valid]]:AssignmentTable[[#This Row],[_Valid]],1),"")</f>
        <v/>
      </c>
      <c r="L34" s="38" t="str">
        <f aca="false">IF(AssignmentTable[[#This Row],[_Valid]]=1,AssignmentTable[[#This Row],[Resource]]&amp;IF(OR(AssignmentTable[[#This Row],[Units]]="",AssignmentTable[[#This Row],[Units]]=1),"","["&amp;ROUND(AssignmentTable[[#This Row],[Units]]*100,0)&amp;"%]"),"")</f>
        <v/>
      </c>
      <c r="M34" s="38" t="n">
        <f aca="false">IF(AssignmentTable[[#This Row],[_Valid]]=1,N(INDEX(tsk_StartWD,AssignmentTable[[#This Row],[_TaskPos]])),0)</f>
        <v>0</v>
      </c>
      <c r="N34" s="38" t="n">
        <f aca="false">IF(AssignmentTable[[#This Row],[_Valid]]=1,N(INDEX(tsk_FinishWD,AssignmentTable[[#This Row],[_TaskPos]])),0)</f>
        <v>0</v>
      </c>
      <c r="O34" s="38" t="n">
        <f aca="false">IF(OR(AssignmentTable[[#This Row],[Work]]=0,AssignmentTable[[#This Row],[_FinishWD]]=0),0,AssignmentTable[[#This Row],[Work]]/(AssignmentTable[[#This Row],[_FinishWD]]-AssignmentTable[[#This Row],[_StartWD]]+1))</f>
        <v>0</v>
      </c>
      <c r="P34" s="38" t="n">
        <f aca="false">AssignmentTable[[#This Row],[_WorkPerWD]]*MAX(0,AssignmentTable[[#This Row],[_StartWD]]-1)</f>
        <v>0</v>
      </c>
      <c r="Q34" s="38" t="n">
        <f aca="false">IF(AssignmentTable[[#This Row],[_Valid]]=1,AssignmentTable[[#This Row],[Work]]*N(INDEX(tsk_LeafProgress,AssignmentTable[[#This Row],[_TaskPos]])),0)</f>
        <v>0</v>
      </c>
      <c r="R34" s="38" t="n">
        <f aca="false">IF(NOT(AssignmentTable[[#This Row],[_Valid]]=1),0,IF(N(INDEX(tsk_LeafTotalCost,AssignmentTable[[#This Row],[_TaskPos]]))=0,0,N(INDEX(tsk_LeafAC,AssignmentTable[[#This Row],[_TaskPos]]))*AssignmentTable[[#This Row],[Cost]]/INDEX(tsk_LeafTotalCost,AssignmentTable[[#This Row],[_TaskPos]])))</f>
        <v>0</v>
      </c>
      <c r="S34" s="38" t="n">
        <f aca="false">IF(NOT(AssignmentTable[[#This Row],[_Valid]]=1),0,IF(N(INDEX(tsk_LateKey,AssignmentTable[[#This Row],[_TaskPos]]))&gt;0,1,0))</f>
        <v>0</v>
      </c>
      <c r="T34" s="38" t="n">
        <f aca="false">IF(NOT(AssignmentTable[[#This Row],[_Valid]]=1),0,IF(INDEX(tsk_Critical,AssignmentTable[[#This Row],[_TaskPos]])="Yes",1,0))</f>
        <v>0</v>
      </c>
      <c r="U3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5" customFormat="false" ht="15" hidden="false" customHeight="false" outlineLevel="0" collapsed="false">
      <c r="B35" s="52"/>
      <c r="C35" s="30" t="str">
        <f aca="false">IF(AssignmentTable[[#This Row],[_TaskPos]]&lt;=0,"",INDEX(tsk_Name,AssignmentTable[[#This Row],[_TaskPos]])&amp;"")</f>
        <v/>
      </c>
      <c r="D35" s="53"/>
      <c r="E35" s="95"/>
      <c r="F35" s="110" t="n">
        <f aca="false">IF(AssignmentTable[[#This Row],[_Valid]]=1,N(INDEX(tsk_Duration,AssignmentTable[[#This Row],[_TaskPos]]))*HoursPerDay*IF(AssignmentTable[[#This Row],[Units]]="",DefaultUnits,AssignmentTable[[#This Row],[Units]]),0)</f>
        <v>0</v>
      </c>
      <c r="G35" s="111" t="n">
        <f aca="false">IF(AssignmentTable[[#This Row],[Work]]=0,0,AssignmentTable[[#This Row],[Work]]*IFERROR(INDEX(res_Rate,MATCH(AssignmentTable[[#This Row],[Resource]],res_Name,0)),0))</f>
        <v>0</v>
      </c>
      <c r="H3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5" s="38" t="n">
        <f aca="false">IF(N(AssignmentTable[[#This Row],[Task UID]])=0,0,IFERROR(MATCH(AssignmentTable[[#This Row],[Task UID]],tsk_UID,0),-1))</f>
        <v>0</v>
      </c>
      <c r="J35" s="38" t="n">
        <f aca="false">IF(AND(AssignmentTable[[#This Row],[_TaskPos]]&gt;0,AssignmentTable[[#This Row],[Resource]]&lt;&gt;"",AssignmentTable[[#This Row],[Check]]=""),1,0)</f>
        <v>0</v>
      </c>
      <c r="K35" s="38" t="str">
        <f aca="false">IF(AssignmentTable[[#This Row],[_Valid]]=1,AssignmentTable[[#This Row],[Task UID]]*1000+COUNTIFS(AssignmentTable[[#Headers],[Task UID]]:AssignmentTable[[#This Row],[Task UID]],AssignmentTable[[#This Row],[Task UID]],AssignmentTable[[#Headers],[_Valid]]:AssignmentTable[[#This Row],[_Valid]],1),"")</f>
        <v/>
      </c>
      <c r="L35" s="38" t="str">
        <f aca="false">IF(AssignmentTable[[#This Row],[_Valid]]=1,AssignmentTable[[#This Row],[Resource]]&amp;IF(OR(AssignmentTable[[#This Row],[Units]]="",AssignmentTable[[#This Row],[Units]]=1),"","["&amp;ROUND(AssignmentTable[[#This Row],[Units]]*100,0)&amp;"%]"),"")</f>
        <v/>
      </c>
      <c r="M35" s="38" t="n">
        <f aca="false">IF(AssignmentTable[[#This Row],[_Valid]]=1,N(INDEX(tsk_StartWD,AssignmentTable[[#This Row],[_TaskPos]])),0)</f>
        <v>0</v>
      </c>
      <c r="N35" s="38" t="n">
        <f aca="false">IF(AssignmentTable[[#This Row],[_Valid]]=1,N(INDEX(tsk_FinishWD,AssignmentTable[[#This Row],[_TaskPos]])),0)</f>
        <v>0</v>
      </c>
      <c r="O35" s="38" t="n">
        <f aca="false">IF(OR(AssignmentTable[[#This Row],[Work]]=0,AssignmentTable[[#This Row],[_FinishWD]]=0),0,AssignmentTable[[#This Row],[Work]]/(AssignmentTable[[#This Row],[_FinishWD]]-AssignmentTable[[#This Row],[_StartWD]]+1))</f>
        <v>0</v>
      </c>
      <c r="P35" s="38" t="n">
        <f aca="false">AssignmentTable[[#This Row],[_WorkPerWD]]*MAX(0,AssignmentTable[[#This Row],[_StartWD]]-1)</f>
        <v>0</v>
      </c>
      <c r="Q35" s="38" t="n">
        <f aca="false">IF(AssignmentTable[[#This Row],[_Valid]]=1,AssignmentTable[[#This Row],[Work]]*N(INDEX(tsk_LeafProgress,AssignmentTable[[#This Row],[_TaskPos]])),0)</f>
        <v>0</v>
      </c>
      <c r="R35" s="38" t="n">
        <f aca="false">IF(NOT(AssignmentTable[[#This Row],[_Valid]]=1),0,IF(N(INDEX(tsk_LeafTotalCost,AssignmentTable[[#This Row],[_TaskPos]]))=0,0,N(INDEX(tsk_LeafAC,AssignmentTable[[#This Row],[_TaskPos]]))*AssignmentTable[[#This Row],[Cost]]/INDEX(tsk_LeafTotalCost,AssignmentTable[[#This Row],[_TaskPos]])))</f>
        <v>0</v>
      </c>
      <c r="S35" s="38" t="n">
        <f aca="false">IF(NOT(AssignmentTable[[#This Row],[_Valid]]=1),0,IF(N(INDEX(tsk_LateKey,AssignmentTable[[#This Row],[_TaskPos]]))&gt;0,1,0))</f>
        <v>0</v>
      </c>
      <c r="T35" s="38" t="n">
        <f aca="false">IF(NOT(AssignmentTable[[#This Row],[_Valid]]=1),0,IF(INDEX(tsk_Critical,AssignmentTable[[#This Row],[_TaskPos]])="Yes",1,0))</f>
        <v>0</v>
      </c>
      <c r="U3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6" customFormat="false" ht="15" hidden="false" customHeight="false" outlineLevel="0" collapsed="false">
      <c r="B36" s="52"/>
      <c r="C36" s="30" t="str">
        <f aca="false">IF(AssignmentTable[[#This Row],[_TaskPos]]&lt;=0,"",INDEX(tsk_Name,AssignmentTable[[#This Row],[_TaskPos]])&amp;"")</f>
        <v/>
      </c>
      <c r="D36" s="53"/>
      <c r="E36" s="95"/>
      <c r="F36" s="110" t="n">
        <f aca="false">IF(AssignmentTable[[#This Row],[_Valid]]=1,N(INDEX(tsk_Duration,AssignmentTable[[#This Row],[_TaskPos]]))*HoursPerDay*IF(AssignmentTable[[#This Row],[Units]]="",DefaultUnits,AssignmentTable[[#This Row],[Units]]),0)</f>
        <v>0</v>
      </c>
      <c r="G36" s="111" t="n">
        <f aca="false">IF(AssignmentTable[[#This Row],[Work]]=0,0,AssignmentTable[[#This Row],[Work]]*IFERROR(INDEX(res_Rate,MATCH(AssignmentTable[[#This Row],[Resource]],res_Name,0)),0))</f>
        <v>0</v>
      </c>
      <c r="H3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6" s="38" t="n">
        <f aca="false">IF(N(AssignmentTable[[#This Row],[Task UID]])=0,0,IFERROR(MATCH(AssignmentTable[[#This Row],[Task UID]],tsk_UID,0),-1))</f>
        <v>0</v>
      </c>
      <c r="J36" s="38" t="n">
        <f aca="false">IF(AND(AssignmentTable[[#This Row],[_TaskPos]]&gt;0,AssignmentTable[[#This Row],[Resource]]&lt;&gt;"",AssignmentTable[[#This Row],[Check]]=""),1,0)</f>
        <v>0</v>
      </c>
      <c r="K36" s="38" t="str">
        <f aca="false">IF(AssignmentTable[[#This Row],[_Valid]]=1,AssignmentTable[[#This Row],[Task UID]]*1000+COUNTIFS(AssignmentTable[[#Headers],[Task UID]]:AssignmentTable[[#This Row],[Task UID]],AssignmentTable[[#This Row],[Task UID]],AssignmentTable[[#Headers],[_Valid]]:AssignmentTable[[#This Row],[_Valid]],1),"")</f>
        <v/>
      </c>
      <c r="L36" s="38" t="str">
        <f aca="false">IF(AssignmentTable[[#This Row],[_Valid]]=1,AssignmentTable[[#This Row],[Resource]]&amp;IF(OR(AssignmentTable[[#This Row],[Units]]="",AssignmentTable[[#This Row],[Units]]=1),"","["&amp;ROUND(AssignmentTable[[#This Row],[Units]]*100,0)&amp;"%]"),"")</f>
        <v/>
      </c>
      <c r="M36" s="38" t="n">
        <f aca="false">IF(AssignmentTable[[#This Row],[_Valid]]=1,N(INDEX(tsk_StartWD,AssignmentTable[[#This Row],[_TaskPos]])),0)</f>
        <v>0</v>
      </c>
      <c r="N36" s="38" t="n">
        <f aca="false">IF(AssignmentTable[[#This Row],[_Valid]]=1,N(INDEX(tsk_FinishWD,AssignmentTable[[#This Row],[_TaskPos]])),0)</f>
        <v>0</v>
      </c>
      <c r="O36" s="38" t="n">
        <f aca="false">IF(OR(AssignmentTable[[#This Row],[Work]]=0,AssignmentTable[[#This Row],[_FinishWD]]=0),0,AssignmentTable[[#This Row],[Work]]/(AssignmentTable[[#This Row],[_FinishWD]]-AssignmentTable[[#This Row],[_StartWD]]+1))</f>
        <v>0</v>
      </c>
      <c r="P36" s="38" t="n">
        <f aca="false">AssignmentTable[[#This Row],[_WorkPerWD]]*MAX(0,AssignmentTable[[#This Row],[_StartWD]]-1)</f>
        <v>0</v>
      </c>
      <c r="Q36" s="38" t="n">
        <f aca="false">IF(AssignmentTable[[#This Row],[_Valid]]=1,AssignmentTable[[#This Row],[Work]]*N(INDEX(tsk_LeafProgress,AssignmentTable[[#This Row],[_TaskPos]])),0)</f>
        <v>0</v>
      </c>
      <c r="R36" s="38" t="n">
        <f aca="false">IF(NOT(AssignmentTable[[#This Row],[_Valid]]=1),0,IF(N(INDEX(tsk_LeafTotalCost,AssignmentTable[[#This Row],[_TaskPos]]))=0,0,N(INDEX(tsk_LeafAC,AssignmentTable[[#This Row],[_TaskPos]]))*AssignmentTable[[#This Row],[Cost]]/INDEX(tsk_LeafTotalCost,AssignmentTable[[#This Row],[_TaskPos]])))</f>
        <v>0</v>
      </c>
      <c r="S36" s="38" t="n">
        <f aca="false">IF(NOT(AssignmentTable[[#This Row],[_Valid]]=1),0,IF(N(INDEX(tsk_LateKey,AssignmentTable[[#This Row],[_TaskPos]]))&gt;0,1,0))</f>
        <v>0</v>
      </c>
      <c r="T36" s="38" t="n">
        <f aca="false">IF(NOT(AssignmentTable[[#This Row],[_Valid]]=1),0,IF(INDEX(tsk_Critical,AssignmentTable[[#This Row],[_TaskPos]])="Yes",1,0))</f>
        <v>0</v>
      </c>
      <c r="U3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7" customFormat="false" ht="15" hidden="false" customHeight="false" outlineLevel="0" collapsed="false">
      <c r="B37" s="52"/>
      <c r="C37" s="30" t="str">
        <f aca="false">IF(AssignmentTable[[#This Row],[_TaskPos]]&lt;=0,"",INDEX(tsk_Name,AssignmentTable[[#This Row],[_TaskPos]])&amp;"")</f>
        <v/>
      </c>
      <c r="D37" s="53"/>
      <c r="E37" s="95"/>
      <c r="F37" s="110" t="n">
        <f aca="false">IF(AssignmentTable[[#This Row],[_Valid]]=1,N(INDEX(tsk_Duration,AssignmentTable[[#This Row],[_TaskPos]]))*HoursPerDay*IF(AssignmentTable[[#This Row],[Units]]="",DefaultUnits,AssignmentTable[[#This Row],[Units]]),0)</f>
        <v>0</v>
      </c>
      <c r="G37" s="111" t="n">
        <f aca="false">IF(AssignmentTable[[#This Row],[Work]]=0,0,AssignmentTable[[#This Row],[Work]]*IFERROR(INDEX(res_Rate,MATCH(AssignmentTable[[#This Row],[Resource]],res_Name,0)),0))</f>
        <v>0</v>
      </c>
      <c r="H3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7" s="38" t="n">
        <f aca="false">IF(N(AssignmentTable[[#This Row],[Task UID]])=0,0,IFERROR(MATCH(AssignmentTable[[#This Row],[Task UID]],tsk_UID,0),-1))</f>
        <v>0</v>
      </c>
      <c r="J37" s="38" t="n">
        <f aca="false">IF(AND(AssignmentTable[[#This Row],[_TaskPos]]&gt;0,AssignmentTable[[#This Row],[Resource]]&lt;&gt;"",AssignmentTable[[#This Row],[Check]]=""),1,0)</f>
        <v>0</v>
      </c>
      <c r="K37" s="38" t="str">
        <f aca="false">IF(AssignmentTable[[#This Row],[_Valid]]=1,AssignmentTable[[#This Row],[Task UID]]*1000+COUNTIFS(AssignmentTable[[#Headers],[Task UID]]:AssignmentTable[[#This Row],[Task UID]],AssignmentTable[[#This Row],[Task UID]],AssignmentTable[[#Headers],[_Valid]]:AssignmentTable[[#This Row],[_Valid]],1),"")</f>
        <v/>
      </c>
      <c r="L37" s="38" t="str">
        <f aca="false">IF(AssignmentTable[[#This Row],[_Valid]]=1,AssignmentTable[[#This Row],[Resource]]&amp;IF(OR(AssignmentTable[[#This Row],[Units]]="",AssignmentTable[[#This Row],[Units]]=1),"","["&amp;ROUND(AssignmentTable[[#This Row],[Units]]*100,0)&amp;"%]"),"")</f>
        <v/>
      </c>
      <c r="M37" s="38" t="n">
        <f aca="false">IF(AssignmentTable[[#This Row],[_Valid]]=1,N(INDEX(tsk_StartWD,AssignmentTable[[#This Row],[_TaskPos]])),0)</f>
        <v>0</v>
      </c>
      <c r="N37" s="38" t="n">
        <f aca="false">IF(AssignmentTable[[#This Row],[_Valid]]=1,N(INDEX(tsk_FinishWD,AssignmentTable[[#This Row],[_TaskPos]])),0)</f>
        <v>0</v>
      </c>
      <c r="O37" s="38" t="n">
        <f aca="false">IF(OR(AssignmentTable[[#This Row],[Work]]=0,AssignmentTable[[#This Row],[_FinishWD]]=0),0,AssignmentTable[[#This Row],[Work]]/(AssignmentTable[[#This Row],[_FinishWD]]-AssignmentTable[[#This Row],[_StartWD]]+1))</f>
        <v>0</v>
      </c>
      <c r="P37" s="38" t="n">
        <f aca="false">AssignmentTable[[#This Row],[_WorkPerWD]]*MAX(0,AssignmentTable[[#This Row],[_StartWD]]-1)</f>
        <v>0</v>
      </c>
      <c r="Q37" s="38" t="n">
        <f aca="false">IF(AssignmentTable[[#This Row],[_Valid]]=1,AssignmentTable[[#This Row],[Work]]*N(INDEX(tsk_LeafProgress,AssignmentTable[[#This Row],[_TaskPos]])),0)</f>
        <v>0</v>
      </c>
      <c r="R37" s="38" t="n">
        <f aca="false">IF(NOT(AssignmentTable[[#This Row],[_Valid]]=1),0,IF(N(INDEX(tsk_LeafTotalCost,AssignmentTable[[#This Row],[_TaskPos]]))=0,0,N(INDEX(tsk_LeafAC,AssignmentTable[[#This Row],[_TaskPos]]))*AssignmentTable[[#This Row],[Cost]]/INDEX(tsk_LeafTotalCost,AssignmentTable[[#This Row],[_TaskPos]])))</f>
        <v>0</v>
      </c>
      <c r="S37" s="38" t="n">
        <f aca="false">IF(NOT(AssignmentTable[[#This Row],[_Valid]]=1),0,IF(N(INDEX(tsk_LateKey,AssignmentTable[[#This Row],[_TaskPos]]))&gt;0,1,0))</f>
        <v>0</v>
      </c>
      <c r="T37" s="38" t="n">
        <f aca="false">IF(NOT(AssignmentTable[[#This Row],[_Valid]]=1),0,IF(INDEX(tsk_Critical,AssignmentTable[[#This Row],[_TaskPos]])="Yes",1,0))</f>
        <v>0</v>
      </c>
      <c r="U3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8" customFormat="false" ht="15" hidden="false" customHeight="false" outlineLevel="0" collapsed="false">
      <c r="B38" s="52"/>
      <c r="C38" s="30" t="str">
        <f aca="false">IF(AssignmentTable[[#This Row],[_TaskPos]]&lt;=0,"",INDEX(tsk_Name,AssignmentTable[[#This Row],[_TaskPos]])&amp;"")</f>
        <v/>
      </c>
      <c r="D38" s="53"/>
      <c r="E38" s="95"/>
      <c r="F38" s="110" t="n">
        <f aca="false">IF(AssignmentTable[[#This Row],[_Valid]]=1,N(INDEX(tsk_Duration,AssignmentTable[[#This Row],[_TaskPos]]))*HoursPerDay*IF(AssignmentTable[[#This Row],[Units]]="",DefaultUnits,AssignmentTable[[#This Row],[Units]]),0)</f>
        <v>0</v>
      </c>
      <c r="G38" s="111" t="n">
        <f aca="false">IF(AssignmentTable[[#This Row],[Work]]=0,0,AssignmentTable[[#This Row],[Work]]*IFERROR(INDEX(res_Rate,MATCH(AssignmentTable[[#This Row],[Resource]],res_Name,0)),0))</f>
        <v>0</v>
      </c>
      <c r="H3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8" s="38" t="n">
        <f aca="false">IF(N(AssignmentTable[[#This Row],[Task UID]])=0,0,IFERROR(MATCH(AssignmentTable[[#This Row],[Task UID]],tsk_UID,0),-1))</f>
        <v>0</v>
      </c>
      <c r="J38" s="38" t="n">
        <f aca="false">IF(AND(AssignmentTable[[#This Row],[_TaskPos]]&gt;0,AssignmentTable[[#This Row],[Resource]]&lt;&gt;"",AssignmentTable[[#This Row],[Check]]=""),1,0)</f>
        <v>0</v>
      </c>
      <c r="K38" s="38" t="str">
        <f aca="false">IF(AssignmentTable[[#This Row],[_Valid]]=1,AssignmentTable[[#This Row],[Task UID]]*1000+COUNTIFS(AssignmentTable[[#Headers],[Task UID]]:AssignmentTable[[#This Row],[Task UID]],AssignmentTable[[#This Row],[Task UID]],AssignmentTable[[#Headers],[_Valid]]:AssignmentTable[[#This Row],[_Valid]],1),"")</f>
        <v/>
      </c>
      <c r="L38" s="38" t="str">
        <f aca="false">IF(AssignmentTable[[#This Row],[_Valid]]=1,AssignmentTable[[#This Row],[Resource]]&amp;IF(OR(AssignmentTable[[#This Row],[Units]]="",AssignmentTable[[#This Row],[Units]]=1),"","["&amp;ROUND(AssignmentTable[[#This Row],[Units]]*100,0)&amp;"%]"),"")</f>
        <v/>
      </c>
      <c r="M38" s="38" t="n">
        <f aca="false">IF(AssignmentTable[[#This Row],[_Valid]]=1,N(INDEX(tsk_StartWD,AssignmentTable[[#This Row],[_TaskPos]])),0)</f>
        <v>0</v>
      </c>
      <c r="N38" s="38" t="n">
        <f aca="false">IF(AssignmentTable[[#This Row],[_Valid]]=1,N(INDEX(tsk_FinishWD,AssignmentTable[[#This Row],[_TaskPos]])),0)</f>
        <v>0</v>
      </c>
      <c r="O38" s="38" t="n">
        <f aca="false">IF(OR(AssignmentTable[[#This Row],[Work]]=0,AssignmentTable[[#This Row],[_FinishWD]]=0),0,AssignmentTable[[#This Row],[Work]]/(AssignmentTable[[#This Row],[_FinishWD]]-AssignmentTable[[#This Row],[_StartWD]]+1))</f>
        <v>0</v>
      </c>
      <c r="P38" s="38" t="n">
        <f aca="false">AssignmentTable[[#This Row],[_WorkPerWD]]*MAX(0,AssignmentTable[[#This Row],[_StartWD]]-1)</f>
        <v>0</v>
      </c>
      <c r="Q38" s="38" t="n">
        <f aca="false">IF(AssignmentTable[[#This Row],[_Valid]]=1,AssignmentTable[[#This Row],[Work]]*N(INDEX(tsk_LeafProgress,AssignmentTable[[#This Row],[_TaskPos]])),0)</f>
        <v>0</v>
      </c>
      <c r="R38" s="38" t="n">
        <f aca="false">IF(NOT(AssignmentTable[[#This Row],[_Valid]]=1),0,IF(N(INDEX(tsk_LeafTotalCost,AssignmentTable[[#This Row],[_TaskPos]]))=0,0,N(INDEX(tsk_LeafAC,AssignmentTable[[#This Row],[_TaskPos]]))*AssignmentTable[[#This Row],[Cost]]/INDEX(tsk_LeafTotalCost,AssignmentTable[[#This Row],[_TaskPos]])))</f>
        <v>0</v>
      </c>
      <c r="S38" s="38" t="n">
        <f aca="false">IF(NOT(AssignmentTable[[#This Row],[_Valid]]=1),0,IF(N(INDEX(tsk_LateKey,AssignmentTable[[#This Row],[_TaskPos]]))&gt;0,1,0))</f>
        <v>0</v>
      </c>
      <c r="T38" s="38" t="n">
        <f aca="false">IF(NOT(AssignmentTable[[#This Row],[_Valid]]=1),0,IF(INDEX(tsk_Critical,AssignmentTable[[#This Row],[_TaskPos]])="Yes",1,0))</f>
        <v>0</v>
      </c>
      <c r="U3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9" customFormat="false" ht="15" hidden="false" customHeight="false" outlineLevel="0" collapsed="false">
      <c r="B39" s="52"/>
      <c r="C39" s="30" t="str">
        <f aca="false">IF(AssignmentTable[[#This Row],[_TaskPos]]&lt;=0,"",INDEX(tsk_Name,AssignmentTable[[#This Row],[_TaskPos]])&amp;"")</f>
        <v/>
      </c>
      <c r="D39" s="53"/>
      <c r="E39" s="95"/>
      <c r="F39" s="110" t="n">
        <f aca="false">IF(AssignmentTable[[#This Row],[_Valid]]=1,N(INDEX(tsk_Duration,AssignmentTable[[#This Row],[_TaskPos]]))*HoursPerDay*IF(AssignmentTable[[#This Row],[Units]]="",DefaultUnits,AssignmentTable[[#This Row],[Units]]),0)</f>
        <v>0</v>
      </c>
      <c r="G39" s="111" t="n">
        <f aca="false">IF(AssignmentTable[[#This Row],[Work]]=0,0,AssignmentTable[[#This Row],[Work]]*IFERROR(INDEX(res_Rate,MATCH(AssignmentTable[[#This Row],[Resource]],res_Name,0)),0))</f>
        <v>0</v>
      </c>
      <c r="H3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9" s="38" t="n">
        <f aca="false">IF(N(AssignmentTable[[#This Row],[Task UID]])=0,0,IFERROR(MATCH(AssignmentTable[[#This Row],[Task UID]],tsk_UID,0),-1))</f>
        <v>0</v>
      </c>
      <c r="J39" s="38" t="n">
        <f aca="false">IF(AND(AssignmentTable[[#This Row],[_TaskPos]]&gt;0,AssignmentTable[[#This Row],[Resource]]&lt;&gt;"",AssignmentTable[[#This Row],[Check]]=""),1,0)</f>
        <v>0</v>
      </c>
      <c r="K39" s="38" t="str">
        <f aca="false">IF(AssignmentTable[[#This Row],[_Valid]]=1,AssignmentTable[[#This Row],[Task UID]]*1000+COUNTIFS(AssignmentTable[[#Headers],[Task UID]]:AssignmentTable[[#This Row],[Task UID]],AssignmentTable[[#This Row],[Task UID]],AssignmentTable[[#Headers],[_Valid]]:AssignmentTable[[#This Row],[_Valid]],1),"")</f>
        <v/>
      </c>
      <c r="L39" s="38" t="str">
        <f aca="false">IF(AssignmentTable[[#This Row],[_Valid]]=1,AssignmentTable[[#This Row],[Resource]]&amp;IF(OR(AssignmentTable[[#This Row],[Units]]="",AssignmentTable[[#This Row],[Units]]=1),"","["&amp;ROUND(AssignmentTable[[#This Row],[Units]]*100,0)&amp;"%]"),"")</f>
        <v/>
      </c>
      <c r="M39" s="38" t="n">
        <f aca="false">IF(AssignmentTable[[#This Row],[_Valid]]=1,N(INDEX(tsk_StartWD,AssignmentTable[[#This Row],[_TaskPos]])),0)</f>
        <v>0</v>
      </c>
      <c r="N39" s="38" t="n">
        <f aca="false">IF(AssignmentTable[[#This Row],[_Valid]]=1,N(INDEX(tsk_FinishWD,AssignmentTable[[#This Row],[_TaskPos]])),0)</f>
        <v>0</v>
      </c>
      <c r="O39" s="38" t="n">
        <f aca="false">IF(OR(AssignmentTable[[#This Row],[Work]]=0,AssignmentTable[[#This Row],[_FinishWD]]=0),0,AssignmentTable[[#This Row],[Work]]/(AssignmentTable[[#This Row],[_FinishWD]]-AssignmentTable[[#This Row],[_StartWD]]+1))</f>
        <v>0</v>
      </c>
      <c r="P39" s="38" t="n">
        <f aca="false">AssignmentTable[[#This Row],[_WorkPerWD]]*MAX(0,AssignmentTable[[#This Row],[_StartWD]]-1)</f>
        <v>0</v>
      </c>
      <c r="Q39" s="38" t="n">
        <f aca="false">IF(AssignmentTable[[#This Row],[_Valid]]=1,AssignmentTable[[#This Row],[Work]]*N(INDEX(tsk_LeafProgress,AssignmentTable[[#This Row],[_TaskPos]])),0)</f>
        <v>0</v>
      </c>
      <c r="R39" s="38" t="n">
        <f aca="false">IF(NOT(AssignmentTable[[#This Row],[_Valid]]=1),0,IF(N(INDEX(tsk_LeafTotalCost,AssignmentTable[[#This Row],[_TaskPos]]))=0,0,N(INDEX(tsk_LeafAC,AssignmentTable[[#This Row],[_TaskPos]]))*AssignmentTable[[#This Row],[Cost]]/INDEX(tsk_LeafTotalCost,AssignmentTable[[#This Row],[_TaskPos]])))</f>
        <v>0</v>
      </c>
      <c r="S39" s="38" t="n">
        <f aca="false">IF(NOT(AssignmentTable[[#This Row],[_Valid]]=1),0,IF(N(INDEX(tsk_LateKey,AssignmentTable[[#This Row],[_TaskPos]]))&gt;0,1,0))</f>
        <v>0</v>
      </c>
      <c r="T39" s="38" t="n">
        <f aca="false">IF(NOT(AssignmentTable[[#This Row],[_Valid]]=1),0,IF(INDEX(tsk_Critical,AssignmentTable[[#This Row],[_TaskPos]])="Yes",1,0))</f>
        <v>0</v>
      </c>
      <c r="U3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0" customFormat="false" ht="15" hidden="false" customHeight="false" outlineLevel="0" collapsed="false">
      <c r="B40" s="52"/>
      <c r="C40" s="30" t="str">
        <f aca="false">IF(AssignmentTable[[#This Row],[_TaskPos]]&lt;=0,"",INDEX(tsk_Name,AssignmentTable[[#This Row],[_TaskPos]])&amp;"")</f>
        <v/>
      </c>
      <c r="D40" s="53"/>
      <c r="E40" s="95"/>
      <c r="F40" s="110" t="n">
        <f aca="false">IF(AssignmentTable[[#This Row],[_Valid]]=1,N(INDEX(tsk_Duration,AssignmentTable[[#This Row],[_TaskPos]]))*HoursPerDay*IF(AssignmentTable[[#This Row],[Units]]="",DefaultUnits,AssignmentTable[[#This Row],[Units]]),0)</f>
        <v>0</v>
      </c>
      <c r="G40" s="111" t="n">
        <f aca="false">IF(AssignmentTable[[#This Row],[Work]]=0,0,AssignmentTable[[#This Row],[Work]]*IFERROR(INDEX(res_Rate,MATCH(AssignmentTable[[#This Row],[Resource]],res_Name,0)),0))</f>
        <v>0</v>
      </c>
      <c r="H4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0" s="38" t="n">
        <f aca="false">IF(N(AssignmentTable[[#This Row],[Task UID]])=0,0,IFERROR(MATCH(AssignmentTable[[#This Row],[Task UID]],tsk_UID,0),-1))</f>
        <v>0</v>
      </c>
      <c r="J40" s="38" t="n">
        <f aca="false">IF(AND(AssignmentTable[[#This Row],[_TaskPos]]&gt;0,AssignmentTable[[#This Row],[Resource]]&lt;&gt;"",AssignmentTable[[#This Row],[Check]]=""),1,0)</f>
        <v>0</v>
      </c>
      <c r="K40" s="38" t="str">
        <f aca="false">IF(AssignmentTable[[#This Row],[_Valid]]=1,AssignmentTable[[#This Row],[Task UID]]*1000+COUNTIFS(AssignmentTable[[#Headers],[Task UID]]:AssignmentTable[[#This Row],[Task UID]],AssignmentTable[[#This Row],[Task UID]],AssignmentTable[[#Headers],[_Valid]]:AssignmentTable[[#This Row],[_Valid]],1),"")</f>
        <v/>
      </c>
      <c r="L40" s="38" t="str">
        <f aca="false">IF(AssignmentTable[[#This Row],[_Valid]]=1,AssignmentTable[[#This Row],[Resource]]&amp;IF(OR(AssignmentTable[[#This Row],[Units]]="",AssignmentTable[[#This Row],[Units]]=1),"","["&amp;ROUND(AssignmentTable[[#This Row],[Units]]*100,0)&amp;"%]"),"")</f>
        <v/>
      </c>
      <c r="M40" s="38" t="n">
        <f aca="false">IF(AssignmentTable[[#This Row],[_Valid]]=1,N(INDEX(tsk_StartWD,AssignmentTable[[#This Row],[_TaskPos]])),0)</f>
        <v>0</v>
      </c>
      <c r="N40" s="38" t="n">
        <f aca="false">IF(AssignmentTable[[#This Row],[_Valid]]=1,N(INDEX(tsk_FinishWD,AssignmentTable[[#This Row],[_TaskPos]])),0)</f>
        <v>0</v>
      </c>
      <c r="O40" s="38" t="n">
        <f aca="false">IF(OR(AssignmentTable[[#This Row],[Work]]=0,AssignmentTable[[#This Row],[_FinishWD]]=0),0,AssignmentTable[[#This Row],[Work]]/(AssignmentTable[[#This Row],[_FinishWD]]-AssignmentTable[[#This Row],[_StartWD]]+1))</f>
        <v>0</v>
      </c>
      <c r="P40" s="38" t="n">
        <f aca="false">AssignmentTable[[#This Row],[_WorkPerWD]]*MAX(0,AssignmentTable[[#This Row],[_StartWD]]-1)</f>
        <v>0</v>
      </c>
      <c r="Q40" s="38" t="n">
        <f aca="false">IF(AssignmentTable[[#This Row],[_Valid]]=1,AssignmentTable[[#This Row],[Work]]*N(INDEX(tsk_LeafProgress,AssignmentTable[[#This Row],[_TaskPos]])),0)</f>
        <v>0</v>
      </c>
      <c r="R40" s="38" t="n">
        <f aca="false">IF(NOT(AssignmentTable[[#This Row],[_Valid]]=1),0,IF(N(INDEX(tsk_LeafTotalCost,AssignmentTable[[#This Row],[_TaskPos]]))=0,0,N(INDEX(tsk_LeafAC,AssignmentTable[[#This Row],[_TaskPos]]))*AssignmentTable[[#This Row],[Cost]]/INDEX(tsk_LeafTotalCost,AssignmentTable[[#This Row],[_TaskPos]])))</f>
        <v>0</v>
      </c>
      <c r="S40" s="38" t="n">
        <f aca="false">IF(NOT(AssignmentTable[[#This Row],[_Valid]]=1),0,IF(N(INDEX(tsk_LateKey,AssignmentTable[[#This Row],[_TaskPos]]))&gt;0,1,0))</f>
        <v>0</v>
      </c>
      <c r="T40" s="38" t="n">
        <f aca="false">IF(NOT(AssignmentTable[[#This Row],[_Valid]]=1),0,IF(INDEX(tsk_Critical,AssignmentTable[[#This Row],[_TaskPos]])="Yes",1,0))</f>
        <v>0</v>
      </c>
      <c r="U4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1" customFormat="false" ht="15" hidden="false" customHeight="false" outlineLevel="0" collapsed="false">
      <c r="B41" s="52"/>
      <c r="C41" s="30" t="str">
        <f aca="false">IF(AssignmentTable[[#This Row],[_TaskPos]]&lt;=0,"",INDEX(tsk_Name,AssignmentTable[[#This Row],[_TaskPos]])&amp;"")</f>
        <v/>
      </c>
      <c r="D41" s="53"/>
      <c r="E41" s="95"/>
      <c r="F41" s="110" t="n">
        <f aca="false">IF(AssignmentTable[[#This Row],[_Valid]]=1,N(INDEX(tsk_Duration,AssignmentTable[[#This Row],[_TaskPos]]))*HoursPerDay*IF(AssignmentTable[[#This Row],[Units]]="",DefaultUnits,AssignmentTable[[#This Row],[Units]]),0)</f>
        <v>0</v>
      </c>
      <c r="G41" s="111" t="n">
        <f aca="false">IF(AssignmentTable[[#This Row],[Work]]=0,0,AssignmentTable[[#This Row],[Work]]*IFERROR(INDEX(res_Rate,MATCH(AssignmentTable[[#This Row],[Resource]],res_Name,0)),0))</f>
        <v>0</v>
      </c>
      <c r="H4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1" s="38" t="n">
        <f aca="false">IF(N(AssignmentTable[[#This Row],[Task UID]])=0,0,IFERROR(MATCH(AssignmentTable[[#This Row],[Task UID]],tsk_UID,0),-1))</f>
        <v>0</v>
      </c>
      <c r="J41" s="38" t="n">
        <f aca="false">IF(AND(AssignmentTable[[#This Row],[_TaskPos]]&gt;0,AssignmentTable[[#This Row],[Resource]]&lt;&gt;"",AssignmentTable[[#This Row],[Check]]=""),1,0)</f>
        <v>0</v>
      </c>
      <c r="K41" s="38" t="str">
        <f aca="false">IF(AssignmentTable[[#This Row],[_Valid]]=1,AssignmentTable[[#This Row],[Task UID]]*1000+COUNTIFS(AssignmentTable[[#Headers],[Task UID]]:AssignmentTable[[#This Row],[Task UID]],AssignmentTable[[#This Row],[Task UID]],AssignmentTable[[#Headers],[_Valid]]:AssignmentTable[[#This Row],[_Valid]],1),"")</f>
        <v/>
      </c>
      <c r="L41" s="38" t="str">
        <f aca="false">IF(AssignmentTable[[#This Row],[_Valid]]=1,AssignmentTable[[#This Row],[Resource]]&amp;IF(OR(AssignmentTable[[#This Row],[Units]]="",AssignmentTable[[#This Row],[Units]]=1),"","["&amp;ROUND(AssignmentTable[[#This Row],[Units]]*100,0)&amp;"%]"),"")</f>
        <v/>
      </c>
      <c r="M41" s="38" t="n">
        <f aca="false">IF(AssignmentTable[[#This Row],[_Valid]]=1,N(INDEX(tsk_StartWD,AssignmentTable[[#This Row],[_TaskPos]])),0)</f>
        <v>0</v>
      </c>
      <c r="N41" s="38" t="n">
        <f aca="false">IF(AssignmentTable[[#This Row],[_Valid]]=1,N(INDEX(tsk_FinishWD,AssignmentTable[[#This Row],[_TaskPos]])),0)</f>
        <v>0</v>
      </c>
      <c r="O41" s="38" t="n">
        <f aca="false">IF(OR(AssignmentTable[[#This Row],[Work]]=0,AssignmentTable[[#This Row],[_FinishWD]]=0),0,AssignmentTable[[#This Row],[Work]]/(AssignmentTable[[#This Row],[_FinishWD]]-AssignmentTable[[#This Row],[_StartWD]]+1))</f>
        <v>0</v>
      </c>
      <c r="P41" s="38" t="n">
        <f aca="false">AssignmentTable[[#This Row],[_WorkPerWD]]*MAX(0,AssignmentTable[[#This Row],[_StartWD]]-1)</f>
        <v>0</v>
      </c>
      <c r="Q41" s="38" t="n">
        <f aca="false">IF(AssignmentTable[[#This Row],[_Valid]]=1,AssignmentTable[[#This Row],[Work]]*N(INDEX(tsk_LeafProgress,AssignmentTable[[#This Row],[_TaskPos]])),0)</f>
        <v>0</v>
      </c>
      <c r="R41" s="38" t="n">
        <f aca="false">IF(NOT(AssignmentTable[[#This Row],[_Valid]]=1),0,IF(N(INDEX(tsk_LeafTotalCost,AssignmentTable[[#This Row],[_TaskPos]]))=0,0,N(INDEX(tsk_LeafAC,AssignmentTable[[#This Row],[_TaskPos]]))*AssignmentTable[[#This Row],[Cost]]/INDEX(tsk_LeafTotalCost,AssignmentTable[[#This Row],[_TaskPos]])))</f>
        <v>0</v>
      </c>
      <c r="S41" s="38" t="n">
        <f aca="false">IF(NOT(AssignmentTable[[#This Row],[_Valid]]=1),0,IF(N(INDEX(tsk_LateKey,AssignmentTable[[#This Row],[_TaskPos]]))&gt;0,1,0))</f>
        <v>0</v>
      </c>
      <c r="T41" s="38" t="n">
        <f aca="false">IF(NOT(AssignmentTable[[#This Row],[_Valid]]=1),0,IF(INDEX(tsk_Critical,AssignmentTable[[#This Row],[_TaskPos]])="Yes",1,0))</f>
        <v>0</v>
      </c>
      <c r="U4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2" customFormat="false" ht="15" hidden="false" customHeight="false" outlineLevel="0" collapsed="false">
      <c r="B42" s="52"/>
      <c r="C42" s="30" t="str">
        <f aca="false">IF(AssignmentTable[[#This Row],[_TaskPos]]&lt;=0,"",INDEX(tsk_Name,AssignmentTable[[#This Row],[_TaskPos]])&amp;"")</f>
        <v/>
      </c>
      <c r="D42" s="53"/>
      <c r="E42" s="95"/>
      <c r="F42" s="110" t="n">
        <f aca="false">IF(AssignmentTable[[#This Row],[_Valid]]=1,N(INDEX(tsk_Duration,AssignmentTable[[#This Row],[_TaskPos]]))*HoursPerDay*IF(AssignmentTable[[#This Row],[Units]]="",DefaultUnits,AssignmentTable[[#This Row],[Units]]),0)</f>
        <v>0</v>
      </c>
      <c r="G42" s="111" t="n">
        <f aca="false">IF(AssignmentTable[[#This Row],[Work]]=0,0,AssignmentTable[[#This Row],[Work]]*IFERROR(INDEX(res_Rate,MATCH(AssignmentTable[[#This Row],[Resource]],res_Name,0)),0))</f>
        <v>0</v>
      </c>
      <c r="H4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2" s="38" t="n">
        <f aca="false">IF(N(AssignmentTable[[#This Row],[Task UID]])=0,0,IFERROR(MATCH(AssignmentTable[[#This Row],[Task UID]],tsk_UID,0),-1))</f>
        <v>0</v>
      </c>
      <c r="J42" s="38" t="n">
        <f aca="false">IF(AND(AssignmentTable[[#This Row],[_TaskPos]]&gt;0,AssignmentTable[[#This Row],[Resource]]&lt;&gt;"",AssignmentTable[[#This Row],[Check]]=""),1,0)</f>
        <v>0</v>
      </c>
      <c r="K42" s="38" t="str">
        <f aca="false">IF(AssignmentTable[[#This Row],[_Valid]]=1,AssignmentTable[[#This Row],[Task UID]]*1000+COUNTIFS(AssignmentTable[[#Headers],[Task UID]]:AssignmentTable[[#This Row],[Task UID]],AssignmentTable[[#This Row],[Task UID]],AssignmentTable[[#Headers],[_Valid]]:AssignmentTable[[#This Row],[_Valid]],1),"")</f>
        <v/>
      </c>
      <c r="L42" s="38" t="str">
        <f aca="false">IF(AssignmentTable[[#This Row],[_Valid]]=1,AssignmentTable[[#This Row],[Resource]]&amp;IF(OR(AssignmentTable[[#This Row],[Units]]="",AssignmentTable[[#This Row],[Units]]=1),"","["&amp;ROUND(AssignmentTable[[#This Row],[Units]]*100,0)&amp;"%]"),"")</f>
        <v/>
      </c>
      <c r="M42" s="38" t="n">
        <f aca="false">IF(AssignmentTable[[#This Row],[_Valid]]=1,N(INDEX(tsk_StartWD,AssignmentTable[[#This Row],[_TaskPos]])),0)</f>
        <v>0</v>
      </c>
      <c r="N42" s="38" t="n">
        <f aca="false">IF(AssignmentTable[[#This Row],[_Valid]]=1,N(INDEX(tsk_FinishWD,AssignmentTable[[#This Row],[_TaskPos]])),0)</f>
        <v>0</v>
      </c>
      <c r="O42" s="38" t="n">
        <f aca="false">IF(OR(AssignmentTable[[#This Row],[Work]]=0,AssignmentTable[[#This Row],[_FinishWD]]=0),0,AssignmentTable[[#This Row],[Work]]/(AssignmentTable[[#This Row],[_FinishWD]]-AssignmentTable[[#This Row],[_StartWD]]+1))</f>
        <v>0</v>
      </c>
      <c r="P42" s="38" t="n">
        <f aca="false">AssignmentTable[[#This Row],[_WorkPerWD]]*MAX(0,AssignmentTable[[#This Row],[_StartWD]]-1)</f>
        <v>0</v>
      </c>
      <c r="Q42" s="38" t="n">
        <f aca="false">IF(AssignmentTable[[#This Row],[_Valid]]=1,AssignmentTable[[#This Row],[Work]]*N(INDEX(tsk_LeafProgress,AssignmentTable[[#This Row],[_TaskPos]])),0)</f>
        <v>0</v>
      </c>
      <c r="R42" s="38" t="n">
        <f aca="false">IF(NOT(AssignmentTable[[#This Row],[_Valid]]=1),0,IF(N(INDEX(tsk_LeafTotalCost,AssignmentTable[[#This Row],[_TaskPos]]))=0,0,N(INDEX(tsk_LeafAC,AssignmentTable[[#This Row],[_TaskPos]]))*AssignmentTable[[#This Row],[Cost]]/INDEX(tsk_LeafTotalCost,AssignmentTable[[#This Row],[_TaskPos]])))</f>
        <v>0</v>
      </c>
      <c r="S42" s="38" t="n">
        <f aca="false">IF(NOT(AssignmentTable[[#This Row],[_Valid]]=1),0,IF(N(INDEX(tsk_LateKey,AssignmentTable[[#This Row],[_TaskPos]]))&gt;0,1,0))</f>
        <v>0</v>
      </c>
      <c r="T42" s="38" t="n">
        <f aca="false">IF(NOT(AssignmentTable[[#This Row],[_Valid]]=1),0,IF(INDEX(tsk_Critical,AssignmentTable[[#This Row],[_TaskPos]])="Yes",1,0))</f>
        <v>0</v>
      </c>
      <c r="U4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3" customFormat="false" ht="15" hidden="false" customHeight="false" outlineLevel="0" collapsed="false">
      <c r="B43" s="52"/>
      <c r="C43" s="30" t="str">
        <f aca="false">IF(AssignmentTable[[#This Row],[_TaskPos]]&lt;=0,"",INDEX(tsk_Name,AssignmentTable[[#This Row],[_TaskPos]])&amp;"")</f>
        <v/>
      </c>
      <c r="D43" s="53"/>
      <c r="E43" s="95"/>
      <c r="F43" s="110" t="n">
        <f aca="false">IF(AssignmentTable[[#This Row],[_Valid]]=1,N(INDEX(tsk_Duration,AssignmentTable[[#This Row],[_TaskPos]]))*HoursPerDay*IF(AssignmentTable[[#This Row],[Units]]="",DefaultUnits,AssignmentTable[[#This Row],[Units]]),0)</f>
        <v>0</v>
      </c>
      <c r="G43" s="111" t="n">
        <f aca="false">IF(AssignmentTable[[#This Row],[Work]]=0,0,AssignmentTable[[#This Row],[Work]]*IFERROR(INDEX(res_Rate,MATCH(AssignmentTable[[#This Row],[Resource]],res_Name,0)),0))</f>
        <v>0</v>
      </c>
      <c r="H4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3" s="38" t="n">
        <f aca="false">IF(N(AssignmentTable[[#This Row],[Task UID]])=0,0,IFERROR(MATCH(AssignmentTable[[#This Row],[Task UID]],tsk_UID,0),-1))</f>
        <v>0</v>
      </c>
      <c r="J43" s="38" t="n">
        <f aca="false">IF(AND(AssignmentTable[[#This Row],[_TaskPos]]&gt;0,AssignmentTable[[#This Row],[Resource]]&lt;&gt;"",AssignmentTable[[#This Row],[Check]]=""),1,0)</f>
        <v>0</v>
      </c>
      <c r="K43" s="38" t="str">
        <f aca="false">IF(AssignmentTable[[#This Row],[_Valid]]=1,AssignmentTable[[#This Row],[Task UID]]*1000+COUNTIFS(AssignmentTable[[#Headers],[Task UID]]:AssignmentTable[[#This Row],[Task UID]],AssignmentTable[[#This Row],[Task UID]],AssignmentTable[[#Headers],[_Valid]]:AssignmentTable[[#This Row],[_Valid]],1),"")</f>
        <v/>
      </c>
      <c r="L43" s="38" t="str">
        <f aca="false">IF(AssignmentTable[[#This Row],[_Valid]]=1,AssignmentTable[[#This Row],[Resource]]&amp;IF(OR(AssignmentTable[[#This Row],[Units]]="",AssignmentTable[[#This Row],[Units]]=1),"","["&amp;ROUND(AssignmentTable[[#This Row],[Units]]*100,0)&amp;"%]"),"")</f>
        <v/>
      </c>
      <c r="M43" s="38" t="n">
        <f aca="false">IF(AssignmentTable[[#This Row],[_Valid]]=1,N(INDEX(tsk_StartWD,AssignmentTable[[#This Row],[_TaskPos]])),0)</f>
        <v>0</v>
      </c>
      <c r="N43" s="38" t="n">
        <f aca="false">IF(AssignmentTable[[#This Row],[_Valid]]=1,N(INDEX(tsk_FinishWD,AssignmentTable[[#This Row],[_TaskPos]])),0)</f>
        <v>0</v>
      </c>
      <c r="O43" s="38" t="n">
        <f aca="false">IF(OR(AssignmentTable[[#This Row],[Work]]=0,AssignmentTable[[#This Row],[_FinishWD]]=0),0,AssignmentTable[[#This Row],[Work]]/(AssignmentTable[[#This Row],[_FinishWD]]-AssignmentTable[[#This Row],[_StartWD]]+1))</f>
        <v>0</v>
      </c>
      <c r="P43" s="38" t="n">
        <f aca="false">AssignmentTable[[#This Row],[_WorkPerWD]]*MAX(0,AssignmentTable[[#This Row],[_StartWD]]-1)</f>
        <v>0</v>
      </c>
      <c r="Q43" s="38" t="n">
        <f aca="false">IF(AssignmentTable[[#This Row],[_Valid]]=1,AssignmentTable[[#This Row],[Work]]*N(INDEX(tsk_LeafProgress,AssignmentTable[[#This Row],[_TaskPos]])),0)</f>
        <v>0</v>
      </c>
      <c r="R43" s="38" t="n">
        <f aca="false">IF(NOT(AssignmentTable[[#This Row],[_Valid]]=1),0,IF(N(INDEX(tsk_LeafTotalCost,AssignmentTable[[#This Row],[_TaskPos]]))=0,0,N(INDEX(tsk_LeafAC,AssignmentTable[[#This Row],[_TaskPos]]))*AssignmentTable[[#This Row],[Cost]]/INDEX(tsk_LeafTotalCost,AssignmentTable[[#This Row],[_TaskPos]])))</f>
        <v>0</v>
      </c>
      <c r="S43" s="38" t="n">
        <f aca="false">IF(NOT(AssignmentTable[[#This Row],[_Valid]]=1),0,IF(N(INDEX(tsk_LateKey,AssignmentTable[[#This Row],[_TaskPos]]))&gt;0,1,0))</f>
        <v>0</v>
      </c>
      <c r="T43" s="38" t="n">
        <f aca="false">IF(NOT(AssignmentTable[[#This Row],[_Valid]]=1),0,IF(INDEX(tsk_Critical,AssignmentTable[[#This Row],[_TaskPos]])="Yes",1,0))</f>
        <v>0</v>
      </c>
      <c r="U4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4" customFormat="false" ht="15" hidden="false" customHeight="false" outlineLevel="0" collapsed="false">
      <c r="B44" s="52"/>
      <c r="C44" s="30" t="str">
        <f aca="false">IF(AssignmentTable[[#This Row],[_TaskPos]]&lt;=0,"",INDEX(tsk_Name,AssignmentTable[[#This Row],[_TaskPos]])&amp;"")</f>
        <v/>
      </c>
      <c r="D44" s="53"/>
      <c r="E44" s="95"/>
      <c r="F44" s="110" t="n">
        <f aca="false">IF(AssignmentTable[[#This Row],[_Valid]]=1,N(INDEX(tsk_Duration,AssignmentTable[[#This Row],[_TaskPos]]))*HoursPerDay*IF(AssignmentTable[[#This Row],[Units]]="",DefaultUnits,AssignmentTable[[#This Row],[Units]]),0)</f>
        <v>0</v>
      </c>
      <c r="G44" s="111" t="n">
        <f aca="false">IF(AssignmentTable[[#This Row],[Work]]=0,0,AssignmentTable[[#This Row],[Work]]*IFERROR(INDEX(res_Rate,MATCH(AssignmentTable[[#This Row],[Resource]],res_Name,0)),0))</f>
        <v>0</v>
      </c>
      <c r="H4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4" s="38" t="n">
        <f aca="false">IF(N(AssignmentTable[[#This Row],[Task UID]])=0,0,IFERROR(MATCH(AssignmentTable[[#This Row],[Task UID]],tsk_UID,0),-1))</f>
        <v>0</v>
      </c>
      <c r="J44" s="38" t="n">
        <f aca="false">IF(AND(AssignmentTable[[#This Row],[_TaskPos]]&gt;0,AssignmentTable[[#This Row],[Resource]]&lt;&gt;"",AssignmentTable[[#This Row],[Check]]=""),1,0)</f>
        <v>0</v>
      </c>
      <c r="K44" s="38" t="str">
        <f aca="false">IF(AssignmentTable[[#This Row],[_Valid]]=1,AssignmentTable[[#This Row],[Task UID]]*1000+COUNTIFS(AssignmentTable[[#Headers],[Task UID]]:AssignmentTable[[#This Row],[Task UID]],AssignmentTable[[#This Row],[Task UID]],AssignmentTable[[#Headers],[_Valid]]:AssignmentTable[[#This Row],[_Valid]],1),"")</f>
        <v/>
      </c>
      <c r="L44" s="38" t="str">
        <f aca="false">IF(AssignmentTable[[#This Row],[_Valid]]=1,AssignmentTable[[#This Row],[Resource]]&amp;IF(OR(AssignmentTable[[#This Row],[Units]]="",AssignmentTable[[#This Row],[Units]]=1),"","["&amp;ROUND(AssignmentTable[[#This Row],[Units]]*100,0)&amp;"%]"),"")</f>
        <v/>
      </c>
      <c r="M44" s="38" t="n">
        <f aca="false">IF(AssignmentTable[[#This Row],[_Valid]]=1,N(INDEX(tsk_StartWD,AssignmentTable[[#This Row],[_TaskPos]])),0)</f>
        <v>0</v>
      </c>
      <c r="N44" s="38" t="n">
        <f aca="false">IF(AssignmentTable[[#This Row],[_Valid]]=1,N(INDEX(tsk_FinishWD,AssignmentTable[[#This Row],[_TaskPos]])),0)</f>
        <v>0</v>
      </c>
      <c r="O44" s="38" t="n">
        <f aca="false">IF(OR(AssignmentTable[[#This Row],[Work]]=0,AssignmentTable[[#This Row],[_FinishWD]]=0),0,AssignmentTable[[#This Row],[Work]]/(AssignmentTable[[#This Row],[_FinishWD]]-AssignmentTable[[#This Row],[_StartWD]]+1))</f>
        <v>0</v>
      </c>
      <c r="P44" s="38" t="n">
        <f aca="false">AssignmentTable[[#This Row],[_WorkPerWD]]*MAX(0,AssignmentTable[[#This Row],[_StartWD]]-1)</f>
        <v>0</v>
      </c>
      <c r="Q44" s="38" t="n">
        <f aca="false">IF(AssignmentTable[[#This Row],[_Valid]]=1,AssignmentTable[[#This Row],[Work]]*N(INDEX(tsk_LeafProgress,AssignmentTable[[#This Row],[_TaskPos]])),0)</f>
        <v>0</v>
      </c>
      <c r="R44" s="38" t="n">
        <f aca="false">IF(NOT(AssignmentTable[[#This Row],[_Valid]]=1),0,IF(N(INDEX(tsk_LeafTotalCost,AssignmentTable[[#This Row],[_TaskPos]]))=0,0,N(INDEX(tsk_LeafAC,AssignmentTable[[#This Row],[_TaskPos]]))*AssignmentTable[[#This Row],[Cost]]/INDEX(tsk_LeafTotalCost,AssignmentTable[[#This Row],[_TaskPos]])))</f>
        <v>0</v>
      </c>
      <c r="S44" s="38" t="n">
        <f aca="false">IF(NOT(AssignmentTable[[#This Row],[_Valid]]=1),0,IF(N(INDEX(tsk_LateKey,AssignmentTable[[#This Row],[_TaskPos]]))&gt;0,1,0))</f>
        <v>0</v>
      </c>
      <c r="T44" s="38" t="n">
        <f aca="false">IF(NOT(AssignmentTable[[#This Row],[_Valid]]=1),0,IF(INDEX(tsk_Critical,AssignmentTable[[#This Row],[_TaskPos]])="Yes",1,0))</f>
        <v>0</v>
      </c>
      <c r="U4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5" customFormat="false" ht="15" hidden="false" customHeight="false" outlineLevel="0" collapsed="false">
      <c r="B45" s="52"/>
      <c r="C45" s="30" t="str">
        <f aca="false">IF(AssignmentTable[[#This Row],[_TaskPos]]&lt;=0,"",INDEX(tsk_Name,AssignmentTable[[#This Row],[_TaskPos]])&amp;"")</f>
        <v/>
      </c>
      <c r="D45" s="53"/>
      <c r="E45" s="95"/>
      <c r="F45" s="110" t="n">
        <f aca="false">IF(AssignmentTable[[#This Row],[_Valid]]=1,N(INDEX(tsk_Duration,AssignmentTable[[#This Row],[_TaskPos]]))*HoursPerDay*IF(AssignmentTable[[#This Row],[Units]]="",DefaultUnits,AssignmentTable[[#This Row],[Units]]),0)</f>
        <v>0</v>
      </c>
      <c r="G45" s="111" t="n">
        <f aca="false">IF(AssignmentTable[[#This Row],[Work]]=0,0,AssignmentTable[[#This Row],[Work]]*IFERROR(INDEX(res_Rate,MATCH(AssignmentTable[[#This Row],[Resource]],res_Name,0)),0))</f>
        <v>0</v>
      </c>
      <c r="H4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5" s="38" t="n">
        <f aca="false">IF(N(AssignmentTable[[#This Row],[Task UID]])=0,0,IFERROR(MATCH(AssignmentTable[[#This Row],[Task UID]],tsk_UID,0),-1))</f>
        <v>0</v>
      </c>
      <c r="J45" s="38" t="n">
        <f aca="false">IF(AND(AssignmentTable[[#This Row],[_TaskPos]]&gt;0,AssignmentTable[[#This Row],[Resource]]&lt;&gt;"",AssignmentTable[[#This Row],[Check]]=""),1,0)</f>
        <v>0</v>
      </c>
      <c r="K45" s="38" t="str">
        <f aca="false">IF(AssignmentTable[[#This Row],[_Valid]]=1,AssignmentTable[[#This Row],[Task UID]]*1000+COUNTIFS(AssignmentTable[[#Headers],[Task UID]]:AssignmentTable[[#This Row],[Task UID]],AssignmentTable[[#This Row],[Task UID]],AssignmentTable[[#Headers],[_Valid]]:AssignmentTable[[#This Row],[_Valid]],1),"")</f>
        <v/>
      </c>
      <c r="L45" s="38" t="str">
        <f aca="false">IF(AssignmentTable[[#This Row],[_Valid]]=1,AssignmentTable[[#This Row],[Resource]]&amp;IF(OR(AssignmentTable[[#This Row],[Units]]="",AssignmentTable[[#This Row],[Units]]=1),"","["&amp;ROUND(AssignmentTable[[#This Row],[Units]]*100,0)&amp;"%]"),"")</f>
        <v/>
      </c>
      <c r="M45" s="38" t="n">
        <f aca="false">IF(AssignmentTable[[#This Row],[_Valid]]=1,N(INDEX(tsk_StartWD,AssignmentTable[[#This Row],[_TaskPos]])),0)</f>
        <v>0</v>
      </c>
      <c r="N45" s="38" t="n">
        <f aca="false">IF(AssignmentTable[[#This Row],[_Valid]]=1,N(INDEX(tsk_FinishWD,AssignmentTable[[#This Row],[_TaskPos]])),0)</f>
        <v>0</v>
      </c>
      <c r="O45" s="38" t="n">
        <f aca="false">IF(OR(AssignmentTable[[#This Row],[Work]]=0,AssignmentTable[[#This Row],[_FinishWD]]=0),0,AssignmentTable[[#This Row],[Work]]/(AssignmentTable[[#This Row],[_FinishWD]]-AssignmentTable[[#This Row],[_StartWD]]+1))</f>
        <v>0</v>
      </c>
      <c r="P45" s="38" t="n">
        <f aca="false">AssignmentTable[[#This Row],[_WorkPerWD]]*MAX(0,AssignmentTable[[#This Row],[_StartWD]]-1)</f>
        <v>0</v>
      </c>
      <c r="Q45" s="38" t="n">
        <f aca="false">IF(AssignmentTable[[#This Row],[_Valid]]=1,AssignmentTable[[#This Row],[Work]]*N(INDEX(tsk_LeafProgress,AssignmentTable[[#This Row],[_TaskPos]])),0)</f>
        <v>0</v>
      </c>
      <c r="R45" s="38" t="n">
        <f aca="false">IF(NOT(AssignmentTable[[#This Row],[_Valid]]=1),0,IF(N(INDEX(tsk_LeafTotalCost,AssignmentTable[[#This Row],[_TaskPos]]))=0,0,N(INDEX(tsk_LeafAC,AssignmentTable[[#This Row],[_TaskPos]]))*AssignmentTable[[#This Row],[Cost]]/INDEX(tsk_LeafTotalCost,AssignmentTable[[#This Row],[_TaskPos]])))</f>
        <v>0</v>
      </c>
      <c r="S45" s="38" t="n">
        <f aca="false">IF(NOT(AssignmentTable[[#This Row],[_Valid]]=1),0,IF(N(INDEX(tsk_LateKey,AssignmentTable[[#This Row],[_TaskPos]]))&gt;0,1,0))</f>
        <v>0</v>
      </c>
      <c r="T45" s="38" t="n">
        <f aca="false">IF(NOT(AssignmentTable[[#This Row],[_Valid]]=1),0,IF(INDEX(tsk_Critical,AssignmentTable[[#This Row],[_TaskPos]])="Yes",1,0))</f>
        <v>0</v>
      </c>
      <c r="U4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6" customFormat="false" ht="15" hidden="false" customHeight="false" outlineLevel="0" collapsed="false">
      <c r="B46" s="52"/>
      <c r="C46" s="30" t="str">
        <f aca="false">IF(AssignmentTable[[#This Row],[_TaskPos]]&lt;=0,"",INDEX(tsk_Name,AssignmentTable[[#This Row],[_TaskPos]])&amp;"")</f>
        <v/>
      </c>
      <c r="D46" s="53"/>
      <c r="E46" s="95"/>
      <c r="F46" s="110" t="n">
        <f aca="false">IF(AssignmentTable[[#This Row],[_Valid]]=1,N(INDEX(tsk_Duration,AssignmentTable[[#This Row],[_TaskPos]]))*HoursPerDay*IF(AssignmentTable[[#This Row],[Units]]="",DefaultUnits,AssignmentTable[[#This Row],[Units]]),0)</f>
        <v>0</v>
      </c>
      <c r="G46" s="111" t="n">
        <f aca="false">IF(AssignmentTable[[#This Row],[Work]]=0,0,AssignmentTable[[#This Row],[Work]]*IFERROR(INDEX(res_Rate,MATCH(AssignmentTable[[#This Row],[Resource]],res_Name,0)),0))</f>
        <v>0</v>
      </c>
      <c r="H4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6" s="38" t="n">
        <f aca="false">IF(N(AssignmentTable[[#This Row],[Task UID]])=0,0,IFERROR(MATCH(AssignmentTable[[#This Row],[Task UID]],tsk_UID,0),-1))</f>
        <v>0</v>
      </c>
      <c r="J46" s="38" t="n">
        <f aca="false">IF(AND(AssignmentTable[[#This Row],[_TaskPos]]&gt;0,AssignmentTable[[#This Row],[Resource]]&lt;&gt;"",AssignmentTable[[#This Row],[Check]]=""),1,0)</f>
        <v>0</v>
      </c>
      <c r="K46" s="38" t="str">
        <f aca="false">IF(AssignmentTable[[#This Row],[_Valid]]=1,AssignmentTable[[#This Row],[Task UID]]*1000+COUNTIFS(AssignmentTable[[#Headers],[Task UID]]:AssignmentTable[[#This Row],[Task UID]],AssignmentTable[[#This Row],[Task UID]],AssignmentTable[[#Headers],[_Valid]]:AssignmentTable[[#This Row],[_Valid]],1),"")</f>
        <v/>
      </c>
      <c r="L46" s="38" t="str">
        <f aca="false">IF(AssignmentTable[[#This Row],[_Valid]]=1,AssignmentTable[[#This Row],[Resource]]&amp;IF(OR(AssignmentTable[[#This Row],[Units]]="",AssignmentTable[[#This Row],[Units]]=1),"","["&amp;ROUND(AssignmentTable[[#This Row],[Units]]*100,0)&amp;"%]"),"")</f>
        <v/>
      </c>
      <c r="M46" s="38" t="n">
        <f aca="false">IF(AssignmentTable[[#This Row],[_Valid]]=1,N(INDEX(tsk_StartWD,AssignmentTable[[#This Row],[_TaskPos]])),0)</f>
        <v>0</v>
      </c>
      <c r="N46" s="38" t="n">
        <f aca="false">IF(AssignmentTable[[#This Row],[_Valid]]=1,N(INDEX(tsk_FinishWD,AssignmentTable[[#This Row],[_TaskPos]])),0)</f>
        <v>0</v>
      </c>
      <c r="O46" s="38" t="n">
        <f aca="false">IF(OR(AssignmentTable[[#This Row],[Work]]=0,AssignmentTable[[#This Row],[_FinishWD]]=0),0,AssignmentTable[[#This Row],[Work]]/(AssignmentTable[[#This Row],[_FinishWD]]-AssignmentTable[[#This Row],[_StartWD]]+1))</f>
        <v>0</v>
      </c>
      <c r="P46" s="38" t="n">
        <f aca="false">AssignmentTable[[#This Row],[_WorkPerWD]]*MAX(0,AssignmentTable[[#This Row],[_StartWD]]-1)</f>
        <v>0</v>
      </c>
      <c r="Q46" s="38" t="n">
        <f aca="false">IF(AssignmentTable[[#This Row],[_Valid]]=1,AssignmentTable[[#This Row],[Work]]*N(INDEX(tsk_LeafProgress,AssignmentTable[[#This Row],[_TaskPos]])),0)</f>
        <v>0</v>
      </c>
      <c r="R46" s="38" t="n">
        <f aca="false">IF(NOT(AssignmentTable[[#This Row],[_Valid]]=1),0,IF(N(INDEX(tsk_LeafTotalCost,AssignmentTable[[#This Row],[_TaskPos]]))=0,0,N(INDEX(tsk_LeafAC,AssignmentTable[[#This Row],[_TaskPos]]))*AssignmentTable[[#This Row],[Cost]]/INDEX(tsk_LeafTotalCost,AssignmentTable[[#This Row],[_TaskPos]])))</f>
        <v>0</v>
      </c>
      <c r="S46" s="38" t="n">
        <f aca="false">IF(NOT(AssignmentTable[[#This Row],[_Valid]]=1),0,IF(N(INDEX(tsk_LateKey,AssignmentTable[[#This Row],[_TaskPos]]))&gt;0,1,0))</f>
        <v>0</v>
      </c>
      <c r="T46" s="38" t="n">
        <f aca="false">IF(NOT(AssignmentTable[[#This Row],[_Valid]]=1),0,IF(INDEX(tsk_Critical,AssignmentTable[[#This Row],[_TaskPos]])="Yes",1,0))</f>
        <v>0</v>
      </c>
      <c r="U4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7" customFormat="false" ht="15" hidden="false" customHeight="false" outlineLevel="0" collapsed="false">
      <c r="B47" s="52"/>
      <c r="C47" s="30" t="str">
        <f aca="false">IF(AssignmentTable[[#This Row],[_TaskPos]]&lt;=0,"",INDEX(tsk_Name,AssignmentTable[[#This Row],[_TaskPos]])&amp;"")</f>
        <v/>
      </c>
      <c r="D47" s="53"/>
      <c r="E47" s="95"/>
      <c r="F47" s="110" t="n">
        <f aca="false">IF(AssignmentTable[[#This Row],[_Valid]]=1,N(INDEX(tsk_Duration,AssignmentTable[[#This Row],[_TaskPos]]))*HoursPerDay*IF(AssignmentTable[[#This Row],[Units]]="",DefaultUnits,AssignmentTable[[#This Row],[Units]]),0)</f>
        <v>0</v>
      </c>
      <c r="G47" s="111" t="n">
        <f aca="false">IF(AssignmentTable[[#This Row],[Work]]=0,0,AssignmentTable[[#This Row],[Work]]*IFERROR(INDEX(res_Rate,MATCH(AssignmentTable[[#This Row],[Resource]],res_Name,0)),0))</f>
        <v>0</v>
      </c>
      <c r="H4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7" s="38" t="n">
        <f aca="false">IF(N(AssignmentTable[[#This Row],[Task UID]])=0,0,IFERROR(MATCH(AssignmentTable[[#This Row],[Task UID]],tsk_UID,0),-1))</f>
        <v>0</v>
      </c>
      <c r="J47" s="38" t="n">
        <f aca="false">IF(AND(AssignmentTable[[#This Row],[_TaskPos]]&gt;0,AssignmentTable[[#This Row],[Resource]]&lt;&gt;"",AssignmentTable[[#This Row],[Check]]=""),1,0)</f>
        <v>0</v>
      </c>
      <c r="K47" s="38" t="str">
        <f aca="false">IF(AssignmentTable[[#This Row],[_Valid]]=1,AssignmentTable[[#This Row],[Task UID]]*1000+COUNTIFS(AssignmentTable[[#Headers],[Task UID]]:AssignmentTable[[#This Row],[Task UID]],AssignmentTable[[#This Row],[Task UID]],AssignmentTable[[#Headers],[_Valid]]:AssignmentTable[[#This Row],[_Valid]],1),"")</f>
        <v/>
      </c>
      <c r="L47" s="38" t="str">
        <f aca="false">IF(AssignmentTable[[#This Row],[_Valid]]=1,AssignmentTable[[#This Row],[Resource]]&amp;IF(OR(AssignmentTable[[#This Row],[Units]]="",AssignmentTable[[#This Row],[Units]]=1),"","["&amp;ROUND(AssignmentTable[[#This Row],[Units]]*100,0)&amp;"%]"),"")</f>
        <v/>
      </c>
      <c r="M47" s="38" t="n">
        <f aca="false">IF(AssignmentTable[[#This Row],[_Valid]]=1,N(INDEX(tsk_StartWD,AssignmentTable[[#This Row],[_TaskPos]])),0)</f>
        <v>0</v>
      </c>
      <c r="N47" s="38" t="n">
        <f aca="false">IF(AssignmentTable[[#This Row],[_Valid]]=1,N(INDEX(tsk_FinishWD,AssignmentTable[[#This Row],[_TaskPos]])),0)</f>
        <v>0</v>
      </c>
      <c r="O47" s="38" t="n">
        <f aca="false">IF(OR(AssignmentTable[[#This Row],[Work]]=0,AssignmentTable[[#This Row],[_FinishWD]]=0),0,AssignmentTable[[#This Row],[Work]]/(AssignmentTable[[#This Row],[_FinishWD]]-AssignmentTable[[#This Row],[_StartWD]]+1))</f>
        <v>0</v>
      </c>
      <c r="P47" s="38" t="n">
        <f aca="false">AssignmentTable[[#This Row],[_WorkPerWD]]*MAX(0,AssignmentTable[[#This Row],[_StartWD]]-1)</f>
        <v>0</v>
      </c>
      <c r="Q47" s="38" t="n">
        <f aca="false">IF(AssignmentTable[[#This Row],[_Valid]]=1,AssignmentTable[[#This Row],[Work]]*N(INDEX(tsk_LeafProgress,AssignmentTable[[#This Row],[_TaskPos]])),0)</f>
        <v>0</v>
      </c>
      <c r="R47" s="38" t="n">
        <f aca="false">IF(NOT(AssignmentTable[[#This Row],[_Valid]]=1),0,IF(N(INDEX(tsk_LeafTotalCost,AssignmentTable[[#This Row],[_TaskPos]]))=0,0,N(INDEX(tsk_LeafAC,AssignmentTable[[#This Row],[_TaskPos]]))*AssignmentTable[[#This Row],[Cost]]/INDEX(tsk_LeafTotalCost,AssignmentTable[[#This Row],[_TaskPos]])))</f>
        <v>0</v>
      </c>
      <c r="S47" s="38" t="n">
        <f aca="false">IF(NOT(AssignmentTable[[#This Row],[_Valid]]=1),0,IF(N(INDEX(tsk_LateKey,AssignmentTable[[#This Row],[_TaskPos]]))&gt;0,1,0))</f>
        <v>0</v>
      </c>
      <c r="T47" s="38" t="n">
        <f aca="false">IF(NOT(AssignmentTable[[#This Row],[_Valid]]=1),0,IF(INDEX(tsk_Critical,AssignmentTable[[#This Row],[_TaskPos]])="Yes",1,0))</f>
        <v>0</v>
      </c>
      <c r="U4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8" customFormat="false" ht="15" hidden="false" customHeight="false" outlineLevel="0" collapsed="false">
      <c r="B48" s="52"/>
      <c r="C48" s="30" t="str">
        <f aca="false">IF(AssignmentTable[[#This Row],[_TaskPos]]&lt;=0,"",INDEX(tsk_Name,AssignmentTable[[#This Row],[_TaskPos]])&amp;"")</f>
        <v/>
      </c>
      <c r="D48" s="53"/>
      <c r="E48" s="95"/>
      <c r="F48" s="110" t="n">
        <f aca="false">IF(AssignmentTable[[#This Row],[_Valid]]=1,N(INDEX(tsk_Duration,AssignmentTable[[#This Row],[_TaskPos]]))*HoursPerDay*IF(AssignmentTable[[#This Row],[Units]]="",DefaultUnits,AssignmentTable[[#This Row],[Units]]),0)</f>
        <v>0</v>
      </c>
      <c r="G48" s="111" t="n">
        <f aca="false">IF(AssignmentTable[[#This Row],[Work]]=0,0,AssignmentTable[[#This Row],[Work]]*IFERROR(INDEX(res_Rate,MATCH(AssignmentTable[[#This Row],[Resource]],res_Name,0)),0))</f>
        <v>0</v>
      </c>
      <c r="H4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8" s="38" t="n">
        <f aca="false">IF(N(AssignmentTable[[#This Row],[Task UID]])=0,0,IFERROR(MATCH(AssignmentTable[[#This Row],[Task UID]],tsk_UID,0),-1))</f>
        <v>0</v>
      </c>
      <c r="J48" s="38" t="n">
        <f aca="false">IF(AND(AssignmentTable[[#This Row],[_TaskPos]]&gt;0,AssignmentTable[[#This Row],[Resource]]&lt;&gt;"",AssignmentTable[[#This Row],[Check]]=""),1,0)</f>
        <v>0</v>
      </c>
      <c r="K48" s="38" t="str">
        <f aca="false">IF(AssignmentTable[[#This Row],[_Valid]]=1,AssignmentTable[[#This Row],[Task UID]]*1000+COUNTIFS(AssignmentTable[[#Headers],[Task UID]]:AssignmentTable[[#This Row],[Task UID]],AssignmentTable[[#This Row],[Task UID]],AssignmentTable[[#Headers],[_Valid]]:AssignmentTable[[#This Row],[_Valid]],1),"")</f>
        <v/>
      </c>
      <c r="L48" s="38" t="str">
        <f aca="false">IF(AssignmentTable[[#This Row],[_Valid]]=1,AssignmentTable[[#This Row],[Resource]]&amp;IF(OR(AssignmentTable[[#This Row],[Units]]="",AssignmentTable[[#This Row],[Units]]=1),"","["&amp;ROUND(AssignmentTable[[#This Row],[Units]]*100,0)&amp;"%]"),"")</f>
        <v/>
      </c>
      <c r="M48" s="38" t="n">
        <f aca="false">IF(AssignmentTable[[#This Row],[_Valid]]=1,N(INDEX(tsk_StartWD,AssignmentTable[[#This Row],[_TaskPos]])),0)</f>
        <v>0</v>
      </c>
      <c r="N48" s="38" t="n">
        <f aca="false">IF(AssignmentTable[[#This Row],[_Valid]]=1,N(INDEX(tsk_FinishWD,AssignmentTable[[#This Row],[_TaskPos]])),0)</f>
        <v>0</v>
      </c>
      <c r="O48" s="38" t="n">
        <f aca="false">IF(OR(AssignmentTable[[#This Row],[Work]]=0,AssignmentTable[[#This Row],[_FinishWD]]=0),0,AssignmentTable[[#This Row],[Work]]/(AssignmentTable[[#This Row],[_FinishWD]]-AssignmentTable[[#This Row],[_StartWD]]+1))</f>
        <v>0</v>
      </c>
      <c r="P48" s="38" t="n">
        <f aca="false">AssignmentTable[[#This Row],[_WorkPerWD]]*MAX(0,AssignmentTable[[#This Row],[_StartWD]]-1)</f>
        <v>0</v>
      </c>
      <c r="Q48" s="38" t="n">
        <f aca="false">IF(AssignmentTable[[#This Row],[_Valid]]=1,AssignmentTable[[#This Row],[Work]]*N(INDEX(tsk_LeafProgress,AssignmentTable[[#This Row],[_TaskPos]])),0)</f>
        <v>0</v>
      </c>
      <c r="R48" s="38" t="n">
        <f aca="false">IF(NOT(AssignmentTable[[#This Row],[_Valid]]=1),0,IF(N(INDEX(tsk_LeafTotalCost,AssignmentTable[[#This Row],[_TaskPos]]))=0,0,N(INDEX(tsk_LeafAC,AssignmentTable[[#This Row],[_TaskPos]]))*AssignmentTable[[#This Row],[Cost]]/INDEX(tsk_LeafTotalCost,AssignmentTable[[#This Row],[_TaskPos]])))</f>
        <v>0</v>
      </c>
      <c r="S48" s="38" t="n">
        <f aca="false">IF(NOT(AssignmentTable[[#This Row],[_Valid]]=1),0,IF(N(INDEX(tsk_LateKey,AssignmentTable[[#This Row],[_TaskPos]]))&gt;0,1,0))</f>
        <v>0</v>
      </c>
      <c r="T48" s="38" t="n">
        <f aca="false">IF(NOT(AssignmentTable[[#This Row],[_Valid]]=1),0,IF(INDEX(tsk_Critical,AssignmentTable[[#This Row],[_TaskPos]])="Yes",1,0))</f>
        <v>0</v>
      </c>
      <c r="U4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9" customFormat="false" ht="15" hidden="false" customHeight="false" outlineLevel="0" collapsed="false">
      <c r="B49" s="52"/>
      <c r="C49" s="30" t="str">
        <f aca="false">IF(AssignmentTable[[#This Row],[_TaskPos]]&lt;=0,"",INDEX(tsk_Name,AssignmentTable[[#This Row],[_TaskPos]])&amp;"")</f>
        <v/>
      </c>
      <c r="D49" s="53"/>
      <c r="E49" s="95"/>
      <c r="F49" s="110" t="n">
        <f aca="false">IF(AssignmentTable[[#This Row],[_Valid]]=1,N(INDEX(tsk_Duration,AssignmentTable[[#This Row],[_TaskPos]]))*HoursPerDay*IF(AssignmentTable[[#This Row],[Units]]="",DefaultUnits,AssignmentTable[[#This Row],[Units]]),0)</f>
        <v>0</v>
      </c>
      <c r="G49" s="111" t="n">
        <f aca="false">IF(AssignmentTable[[#This Row],[Work]]=0,0,AssignmentTable[[#This Row],[Work]]*IFERROR(INDEX(res_Rate,MATCH(AssignmentTable[[#This Row],[Resource]],res_Name,0)),0))</f>
        <v>0</v>
      </c>
      <c r="H4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9" s="38" t="n">
        <f aca="false">IF(N(AssignmentTable[[#This Row],[Task UID]])=0,0,IFERROR(MATCH(AssignmentTable[[#This Row],[Task UID]],tsk_UID,0),-1))</f>
        <v>0</v>
      </c>
      <c r="J49" s="38" t="n">
        <f aca="false">IF(AND(AssignmentTable[[#This Row],[_TaskPos]]&gt;0,AssignmentTable[[#This Row],[Resource]]&lt;&gt;"",AssignmentTable[[#This Row],[Check]]=""),1,0)</f>
        <v>0</v>
      </c>
      <c r="K49" s="38" t="str">
        <f aca="false">IF(AssignmentTable[[#This Row],[_Valid]]=1,AssignmentTable[[#This Row],[Task UID]]*1000+COUNTIFS(AssignmentTable[[#Headers],[Task UID]]:AssignmentTable[[#This Row],[Task UID]],AssignmentTable[[#This Row],[Task UID]],AssignmentTable[[#Headers],[_Valid]]:AssignmentTable[[#This Row],[_Valid]],1),"")</f>
        <v/>
      </c>
      <c r="L49" s="38" t="str">
        <f aca="false">IF(AssignmentTable[[#This Row],[_Valid]]=1,AssignmentTable[[#This Row],[Resource]]&amp;IF(OR(AssignmentTable[[#This Row],[Units]]="",AssignmentTable[[#This Row],[Units]]=1),"","["&amp;ROUND(AssignmentTable[[#This Row],[Units]]*100,0)&amp;"%]"),"")</f>
        <v/>
      </c>
      <c r="M49" s="38" t="n">
        <f aca="false">IF(AssignmentTable[[#This Row],[_Valid]]=1,N(INDEX(tsk_StartWD,AssignmentTable[[#This Row],[_TaskPos]])),0)</f>
        <v>0</v>
      </c>
      <c r="N49" s="38" t="n">
        <f aca="false">IF(AssignmentTable[[#This Row],[_Valid]]=1,N(INDEX(tsk_FinishWD,AssignmentTable[[#This Row],[_TaskPos]])),0)</f>
        <v>0</v>
      </c>
      <c r="O49" s="38" t="n">
        <f aca="false">IF(OR(AssignmentTable[[#This Row],[Work]]=0,AssignmentTable[[#This Row],[_FinishWD]]=0),0,AssignmentTable[[#This Row],[Work]]/(AssignmentTable[[#This Row],[_FinishWD]]-AssignmentTable[[#This Row],[_StartWD]]+1))</f>
        <v>0</v>
      </c>
      <c r="P49" s="38" t="n">
        <f aca="false">AssignmentTable[[#This Row],[_WorkPerWD]]*MAX(0,AssignmentTable[[#This Row],[_StartWD]]-1)</f>
        <v>0</v>
      </c>
      <c r="Q49" s="38" t="n">
        <f aca="false">IF(AssignmentTable[[#This Row],[_Valid]]=1,AssignmentTable[[#This Row],[Work]]*N(INDEX(tsk_LeafProgress,AssignmentTable[[#This Row],[_TaskPos]])),0)</f>
        <v>0</v>
      </c>
      <c r="R49" s="38" t="n">
        <f aca="false">IF(NOT(AssignmentTable[[#This Row],[_Valid]]=1),0,IF(N(INDEX(tsk_LeafTotalCost,AssignmentTable[[#This Row],[_TaskPos]]))=0,0,N(INDEX(tsk_LeafAC,AssignmentTable[[#This Row],[_TaskPos]]))*AssignmentTable[[#This Row],[Cost]]/INDEX(tsk_LeafTotalCost,AssignmentTable[[#This Row],[_TaskPos]])))</f>
        <v>0</v>
      </c>
      <c r="S49" s="38" t="n">
        <f aca="false">IF(NOT(AssignmentTable[[#This Row],[_Valid]]=1),0,IF(N(INDEX(tsk_LateKey,AssignmentTable[[#This Row],[_TaskPos]]))&gt;0,1,0))</f>
        <v>0</v>
      </c>
      <c r="T49" s="38" t="n">
        <f aca="false">IF(NOT(AssignmentTable[[#This Row],[_Valid]]=1),0,IF(INDEX(tsk_Critical,AssignmentTable[[#This Row],[_TaskPos]])="Yes",1,0))</f>
        <v>0</v>
      </c>
      <c r="U4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0" customFormat="false" ht="15" hidden="false" customHeight="false" outlineLevel="0" collapsed="false">
      <c r="B50" s="52"/>
      <c r="C50" s="30" t="str">
        <f aca="false">IF(AssignmentTable[[#This Row],[_TaskPos]]&lt;=0,"",INDEX(tsk_Name,AssignmentTable[[#This Row],[_TaskPos]])&amp;"")</f>
        <v/>
      </c>
      <c r="D50" s="53"/>
      <c r="E50" s="95"/>
      <c r="F50" s="110" t="n">
        <f aca="false">IF(AssignmentTable[[#This Row],[_Valid]]=1,N(INDEX(tsk_Duration,AssignmentTable[[#This Row],[_TaskPos]]))*HoursPerDay*IF(AssignmentTable[[#This Row],[Units]]="",DefaultUnits,AssignmentTable[[#This Row],[Units]]),0)</f>
        <v>0</v>
      </c>
      <c r="G50" s="111" t="n">
        <f aca="false">IF(AssignmentTable[[#This Row],[Work]]=0,0,AssignmentTable[[#This Row],[Work]]*IFERROR(INDEX(res_Rate,MATCH(AssignmentTable[[#This Row],[Resource]],res_Name,0)),0))</f>
        <v>0</v>
      </c>
      <c r="H5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0" s="38" t="n">
        <f aca="false">IF(N(AssignmentTable[[#This Row],[Task UID]])=0,0,IFERROR(MATCH(AssignmentTable[[#This Row],[Task UID]],tsk_UID,0),-1))</f>
        <v>0</v>
      </c>
      <c r="J50" s="38" t="n">
        <f aca="false">IF(AND(AssignmentTable[[#This Row],[_TaskPos]]&gt;0,AssignmentTable[[#This Row],[Resource]]&lt;&gt;"",AssignmentTable[[#This Row],[Check]]=""),1,0)</f>
        <v>0</v>
      </c>
      <c r="K50" s="38" t="str">
        <f aca="false">IF(AssignmentTable[[#This Row],[_Valid]]=1,AssignmentTable[[#This Row],[Task UID]]*1000+COUNTIFS(AssignmentTable[[#Headers],[Task UID]]:AssignmentTable[[#This Row],[Task UID]],AssignmentTable[[#This Row],[Task UID]],AssignmentTable[[#Headers],[_Valid]]:AssignmentTable[[#This Row],[_Valid]],1),"")</f>
        <v/>
      </c>
      <c r="L50" s="38" t="str">
        <f aca="false">IF(AssignmentTable[[#This Row],[_Valid]]=1,AssignmentTable[[#This Row],[Resource]]&amp;IF(OR(AssignmentTable[[#This Row],[Units]]="",AssignmentTable[[#This Row],[Units]]=1),"","["&amp;ROUND(AssignmentTable[[#This Row],[Units]]*100,0)&amp;"%]"),"")</f>
        <v/>
      </c>
      <c r="M50" s="38" t="n">
        <f aca="false">IF(AssignmentTable[[#This Row],[_Valid]]=1,N(INDEX(tsk_StartWD,AssignmentTable[[#This Row],[_TaskPos]])),0)</f>
        <v>0</v>
      </c>
      <c r="N50" s="38" t="n">
        <f aca="false">IF(AssignmentTable[[#This Row],[_Valid]]=1,N(INDEX(tsk_FinishWD,AssignmentTable[[#This Row],[_TaskPos]])),0)</f>
        <v>0</v>
      </c>
      <c r="O50" s="38" t="n">
        <f aca="false">IF(OR(AssignmentTable[[#This Row],[Work]]=0,AssignmentTable[[#This Row],[_FinishWD]]=0),0,AssignmentTable[[#This Row],[Work]]/(AssignmentTable[[#This Row],[_FinishWD]]-AssignmentTable[[#This Row],[_StartWD]]+1))</f>
        <v>0</v>
      </c>
      <c r="P50" s="38" t="n">
        <f aca="false">AssignmentTable[[#This Row],[_WorkPerWD]]*MAX(0,AssignmentTable[[#This Row],[_StartWD]]-1)</f>
        <v>0</v>
      </c>
      <c r="Q50" s="38" t="n">
        <f aca="false">IF(AssignmentTable[[#This Row],[_Valid]]=1,AssignmentTable[[#This Row],[Work]]*N(INDEX(tsk_LeafProgress,AssignmentTable[[#This Row],[_TaskPos]])),0)</f>
        <v>0</v>
      </c>
      <c r="R50" s="38" t="n">
        <f aca="false">IF(NOT(AssignmentTable[[#This Row],[_Valid]]=1),0,IF(N(INDEX(tsk_LeafTotalCost,AssignmentTable[[#This Row],[_TaskPos]]))=0,0,N(INDEX(tsk_LeafAC,AssignmentTable[[#This Row],[_TaskPos]]))*AssignmentTable[[#This Row],[Cost]]/INDEX(tsk_LeafTotalCost,AssignmentTable[[#This Row],[_TaskPos]])))</f>
        <v>0</v>
      </c>
      <c r="S50" s="38" t="n">
        <f aca="false">IF(NOT(AssignmentTable[[#This Row],[_Valid]]=1),0,IF(N(INDEX(tsk_LateKey,AssignmentTable[[#This Row],[_TaskPos]]))&gt;0,1,0))</f>
        <v>0</v>
      </c>
      <c r="T50" s="38" t="n">
        <f aca="false">IF(NOT(AssignmentTable[[#This Row],[_Valid]]=1),0,IF(INDEX(tsk_Critical,AssignmentTable[[#This Row],[_TaskPos]])="Yes",1,0))</f>
        <v>0</v>
      </c>
      <c r="U5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1" customFormat="false" ht="15" hidden="false" customHeight="false" outlineLevel="0" collapsed="false">
      <c r="B51" s="52"/>
      <c r="C51" s="30" t="str">
        <f aca="false">IF(AssignmentTable[[#This Row],[_TaskPos]]&lt;=0,"",INDEX(tsk_Name,AssignmentTable[[#This Row],[_TaskPos]])&amp;"")</f>
        <v/>
      </c>
      <c r="D51" s="53"/>
      <c r="E51" s="95"/>
      <c r="F51" s="110" t="n">
        <f aca="false">IF(AssignmentTable[[#This Row],[_Valid]]=1,N(INDEX(tsk_Duration,AssignmentTable[[#This Row],[_TaskPos]]))*HoursPerDay*IF(AssignmentTable[[#This Row],[Units]]="",DefaultUnits,AssignmentTable[[#This Row],[Units]]),0)</f>
        <v>0</v>
      </c>
      <c r="G51" s="111" t="n">
        <f aca="false">IF(AssignmentTable[[#This Row],[Work]]=0,0,AssignmentTable[[#This Row],[Work]]*IFERROR(INDEX(res_Rate,MATCH(AssignmentTable[[#This Row],[Resource]],res_Name,0)),0))</f>
        <v>0</v>
      </c>
      <c r="H5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1" s="38" t="n">
        <f aca="false">IF(N(AssignmentTable[[#This Row],[Task UID]])=0,0,IFERROR(MATCH(AssignmentTable[[#This Row],[Task UID]],tsk_UID,0),-1))</f>
        <v>0</v>
      </c>
      <c r="J51" s="38" t="n">
        <f aca="false">IF(AND(AssignmentTable[[#This Row],[_TaskPos]]&gt;0,AssignmentTable[[#This Row],[Resource]]&lt;&gt;"",AssignmentTable[[#This Row],[Check]]=""),1,0)</f>
        <v>0</v>
      </c>
      <c r="K51" s="38" t="str">
        <f aca="false">IF(AssignmentTable[[#This Row],[_Valid]]=1,AssignmentTable[[#This Row],[Task UID]]*1000+COUNTIFS(AssignmentTable[[#Headers],[Task UID]]:AssignmentTable[[#This Row],[Task UID]],AssignmentTable[[#This Row],[Task UID]],AssignmentTable[[#Headers],[_Valid]]:AssignmentTable[[#This Row],[_Valid]],1),"")</f>
        <v/>
      </c>
      <c r="L51" s="38" t="str">
        <f aca="false">IF(AssignmentTable[[#This Row],[_Valid]]=1,AssignmentTable[[#This Row],[Resource]]&amp;IF(OR(AssignmentTable[[#This Row],[Units]]="",AssignmentTable[[#This Row],[Units]]=1),"","["&amp;ROUND(AssignmentTable[[#This Row],[Units]]*100,0)&amp;"%]"),"")</f>
        <v/>
      </c>
      <c r="M51" s="38" t="n">
        <f aca="false">IF(AssignmentTable[[#This Row],[_Valid]]=1,N(INDEX(tsk_StartWD,AssignmentTable[[#This Row],[_TaskPos]])),0)</f>
        <v>0</v>
      </c>
      <c r="N51" s="38" t="n">
        <f aca="false">IF(AssignmentTable[[#This Row],[_Valid]]=1,N(INDEX(tsk_FinishWD,AssignmentTable[[#This Row],[_TaskPos]])),0)</f>
        <v>0</v>
      </c>
      <c r="O51" s="38" t="n">
        <f aca="false">IF(OR(AssignmentTable[[#This Row],[Work]]=0,AssignmentTable[[#This Row],[_FinishWD]]=0),0,AssignmentTable[[#This Row],[Work]]/(AssignmentTable[[#This Row],[_FinishWD]]-AssignmentTable[[#This Row],[_StartWD]]+1))</f>
        <v>0</v>
      </c>
      <c r="P51" s="38" t="n">
        <f aca="false">AssignmentTable[[#This Row],[_WorkPerWD]]*MAX(0,AssignmentTable[[#This Row],[_StartWD]]-1)</f>
        <v>0</v>
      </c>
      <c r="Q51" s="38" t="n">
        <f aca="false">IF(AssignmentTable[[#This Row],[_Valid]]=1,AssignmentTable[[#This Row],[Work]]*N(INDEX(tsk_LeafProgress,AssignmentTable[[#This Row],[_TaskPos]])),0)</f>
        <v>0</v>
      </c>
      <c r="R51" s="38" t="n">
        <f aca="false">IF(NOT(AssignmentTable[[#This Row],[_Valid]]=1),0,IF(N(INDEX(tsk_LeafTotalCost,AssignmentTable[[#This Row],[_TaskPos]]))=0,0,N(INDEX(tsk_LeafAC,AssignmentTable[[#This Row],[_TaskPos]]))*AssignmentTable[[#This Row],[Cost]]/INDEX(tsk_LeafTotalCost,AssignmentTable[[#This Row],[_TaskPos]])))</f>
        <v>0</v>
      </c>
      <c r="S51" s="38" t="n">
        <f aca="false">IF(NOT(AssignmentTable[[#This Row],[_Valid]]=1),0,IF(N(INDEX(tsk_LateKey,AssignmentTable[[#This Row],[_TaskPos]]))&gt;0,1,0))</f>
        <v>0</v>
      </c>
      <c r="T51" s="38" t="n">
        <f aca="false">IF(NOT(AssignmentTable[[#This Row],[_Valid]]=1),0,IF(INDEX(tsk_Critical,AssignmentTable[[#This Row],[_TaskPos]])="Yes",1,0))</f>
        <v>0</v>
      </c>
      <c r="U5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2" customFormat="false" ht="15" hidden="false" customHeight="false" outlineLevel="0" collapsed="false">
      <c r="B52" s="52"/>
      <c r="C52" s="30" t="str">
        <f aca="false">IF(AssignmentTable[[#This Row],[_TaskPos]]&lt;=0,"",INDEX(tsk_Name,AssignmentTable[[#This Row],[_TaskPos]])&amp;"")</f>
        <v/>
      </c>
      <c r="D52" s="53"/>
      <c r="E52" s="95"/>
      <c r="F52" s="110" t="n">
        <f aca="false">IF(AssignmentTable[[#This Row],[_Valid]]=1,N(INDEX(tsk_Duration,AssignmentTable[[#This Row],[_TaskPos]]))*HoursPerDay*IF(AssignmentTable[[#This Row],[Units]]="",DefaultUnits,AssignmentTable[[#This Row],[Units]]),0)</f>
        <v>0</v>
      </c>
      <c r="G52" s="111" t="n">
        <f aca="false">IF(AssignmentTable[[#This Row],[Work]]=0,0,AssignmentTable[[#This Row],[Work]]*IFERROR(INDEX(res_Rate,MATCH(AssignmentTable[[#This Row],[Resource]],res_Name,0)),0))</f>
        <v>0</v>
      </c>
      <c r="H5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2" s="38" t="n">
        <f aca="false">IF(N(AssignmentTable[[#This Row],[Task UID]])=0,0,IFERROR(MATCH(AssignmentTable[[#This Row],[Task UID]],tsk_UID,0),-1))</f>
        <v>0</v>
      </c>
      <c r="J52" s="38" t="n">
        <f aca="false">IF(AND(AssignmentTable[[#This Row],[_TaskPos]]&gt;0,AssignmentTable[[#This Row],[Resource]]&lt;&gt;"",AssignmentTable[[#This Row],[Check]]=""),1,0)</f>
        <v>0</v>
      </c>
      <c r="K52" s="38" t="str">
        <f aca="false">IF(AssignmentTable[[#This Row],[_Valid]]=1,AssignmentTable[[#This Row],[Task UID]]*1000+COUNTIFS(AssignmentTable[[#Headers],[Task UID]]:AssignmentTable[[#This Row],[Task UID]],AssignmentTable[[#This Row],[Task UID]],AssignmentTable[[#Headers],[_Valid]]:AssignmentTable[[#This Row],[_Valid]],1),"")</f>
        <v/>
      </c>
      <c r="L52" s="38" t="str">
        <f aca="false">IF(AssignmentTable[[#This Row],[_Valid]]=1,AssignmentTable[[#This Row],[Resource]]&amp;IF(OR(AssignmentTable[[#This Row],[Units]]="",AssignmentTable[[#This Row],[Units]]=1),"","["&amp;ROUND(AssignmentTable[[#This Row],[Units]]*100,0)&amp;"%]"),"")</f>
        <v/>
      </c>
      <c r="M52" s="38" t="n">
        <f aca="false">IF(AssignmentTable[[#This Row],[_Valid]]=1,N(INDEX(tsk_StartWD,AssignmentTable[[#This Row],[_TaskPos]])),0)</f>
        <v>0</v>
      </c>
      <c r="N52" s="38" t="n">
        <f aca="false">IF(AssignmentTable[[#This Row],[_Valid]]=1,N(INDEX(tsk_FinishWD,AssignmentTable[[#This Row],[_TaskPos]])),0)</f>
        <v>0</v>
      </c>
      <c r="O52" s="38" t="n">
        <f aca="false">IF(OR(AssignmentTable[[#This Row],[Work]]=0,AssignmentTable[[#This Row],[_FinishWD]]=0),0,AssignmentTable[[#This Row],[Work]]/(AssignmentTable[[#This Row],[_FinishWD]]-AssignmentTable[[#This Row],[_StartWD]]+1))</f>
        <v>0</v>
      </c>
      <c r="P52" s="38" t="n">
        <f aca="false">AssignmentTable[[#This Row],[_WorkPerWD]]*MAX(0,AssignmentTable[[#This Row],[_StartWD]]-1)</f>
        <v>0</v>
      </c>
      <c r="Q52" s="38" t="n">
        <f aca="false">IF(AssignmentTable[[#This Row],[_Valid]]=1,AssignmentTable[[#This Row],[Work]]*N(INDEX(tsk_LeafProgress,AssignmentTable[[#This Row],[_TaskPos]])),0)</f>
        <v>0</v>
      </c>
      <c r="R52" s="38" t="n">
        <f aca="false">IF(NOT(AssignmentTable[[#This Row],[_Valid]]=1),0,IF(N(INDEX(tsk_LeafTotalCost,AssignmentTable[[#This Row],[_TaskPos]]))=0,0,N(INDEX(tsk_LeafAC,AssignmentTable[[#This Row],[_TaskPos]]))*AssignmentTable[[#This Row],[Cost]]/INDEX(tsk_LeafTotalCost,AssignmentTable[[#This Row],[_TaskPos]])))</f>
        <v>0</v>
      </c>
      <c r="S52" s="38" t="n">
        <f aca="false">IF(NOT(AssignmentTable[[#This Row],[_Valid]]=1),0,IF(N(INDEX(tsk_LateKey,AssignmentTable[[#This Row],[_TaskPos]]))&gt;0,1,0))</f>
        <v>0</v>
      </c>
      <c r="T52" s="38" t="n">
        <f aca="false">IF(NOT(AssignmentTable[[#This Row],[_Valid]]=1),0,IF(INDEX(tsk_Critical,AssignmentTable[[#This Row],[_TaskPos]])="Yes",1,0))</f>
        <v>0</v>
      </c>
      <c r="U5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3" customFormat="false" ht="15" hidden="false" customHeight="false" outlineLevel="0" collapsed="false">
      <c r="B53" s="52"/>
      <c r="C53" s="30" t="str">
        <f aca="false">IF(AssignmentTable[[#This Row],[_TaskPos]]&lt;=0,"",INDEX(tsk_Name,AssignmentTable[[#This Row],[_TaskPos]])&amp;"")</f>
        <v/>
      </c>
      <c r="D53" s="53"/>
      <c r="E53" s="95"/>
      <c r="F53" s="110" t="n">
        <f aca="false">IF(AssignmentTable[[#This Row],[_Valid]]=1,N(INDEX(tsk_Duration,AssignmentTable[[#This Row],[_TaskPos]]))*HoursPerDay*IF(AssignmentTable[[#This Row],[Units]]="",DefaultUnits,AssignmentTable[[#This Row],[Units]]),0)</f>
        <v>0</v>
      </c>
      <c r="G53" s="111" t="n">
        <f aca="false">IF(AssignmentTable[[#This Row],[Work]]=0,0,AssignmentTable[[#This Row],[Work]]*IFERROR(INDEX(res_Rate,MATCH(AssignmentTable[[#This Row],[Resource]],res_Name,0)),0))</f>
        <v>0</v>
      </c>
      <c r="H5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3" s="38" t="n">
        <f aca="false">IF(N(AssignmentTable[[#This Row],[Task UID]])=0,0,IFERROR(MATCH(AssignmentTable[[#This Row],[Task UID]],tsk_UID,0),-1))</f>
        <v>0</v>
      </c>
      <c r="J53" s="38" t="n">
        <f aca="false">IF(AND(AssignmentTable[[#This Row],[_TaskPos]]&gt;0,AssignmentTable[[#This Row],[Resource]]&lt;&gt;"",AssignmentTable[[#This Row],[Check]]=""),1,0)</f>
        <v>0</v>
      </c>
      <c r="K53" s="38" t="str">
        <f aca="false">IF(AssignmentTable[[#This Row],[_Valid]]=1,AssignmentTable[[#This Row],[Task UID]]*1000+COUNTIFS(AssignmentTable[[#Headers],[Task UID]]:AssignmentTable[[#This Row],[Task UID]],AssignmentTable[[#This Row],[Task UID]],AssignmentTable[[#Headers],[_Valid]]:AssignmentTable[[#This Row],[_Valid]],1),"")</f>
        <v/>
      </c>
      <c r="L53" s="38" t="str">
        <f aca="false">IF(AssignmentTable[[#This Row],[_Valid]]=1,AssignmentTable[[#This Row],[Resource]]&amp;IF(OR(AssignmentTable[[#This Row],[Units]]="",AssignmentTable[[#This Row],[Units]]=1),"","["&amp;ROUND(AssignmentTable[[#This Row],[Units]]*100,0)&amp;"%]"),"")</f>
        <v/>
      </c>
      <c r="M53" s="38" t="n">
        <f aca="false">IF(AssignmentTable[[#This Row],[_Valid]]=1,N(INDEX(tsk_StartWD,AssignmentTable[[#This Row],[_TaskPos]])),0)</f>
        <v>0</v>
      </c>
      <c r="N53" s="38" t="n">
        <f aca="false">IF(AssignmentTable[[#This Row],[_Valid]]=1,N(INDEX(tsk_FinishWD,AssignmentTable[[#This Row],[_TaskPos]])),0)</f>
        <v>0</v>
      </c>
      <c r="O53" s="38" t="n">
        <f aca="false">IF(OR(AssignmentTable[[#This Row],[Work]]=0,AssignmentTable[[#This Row],[_FinishWD]]=0),0,AssignmentTable[[#This Row],[Work]]/(AssignmentTable[[#This Row],[_FinishWD]]-AssignmentTable[[#This Row],[_StartWD]]+1))</f>
        <v>0</v>
      </c>
      <c r="P53" s="38" t="n">
        <f aca="false">AssignmentTable[[#This Row],[_WorkPerWD]]*MAX(0,AssignmentTable[[#This Row],[_StartWD]]-1)</f>
        <v>0</v>
      </c>
      <c r="Q53" s="38" t="n">
        <f aca="false">IF(AssignmentTable[[#This Row],[_Valid]]=1,AssignmentTable[[#This Row],[Work]]*N(INDEX(tsk_LeafProgress,AssignmentTable[[#This Row],[_TaskPos]])),0)</f>
        <v>0</v>
      </c>
      <c r="R53" s="38" t="n">
        <f aca="false">IF(NOT(AssignmentTable[[#This Row],[_Valid]]=1),0,IF(N(INDEX(tsk_LeafTotalCost,AssignmentTable[[#This Row],[_TaskPos]]))=0,0,N(INDEX(tsk_LeafAC,AssignmentTable[[#This Row],[_TaskPos]]))*AssignmentTable[[#This Row],[Cost]]/INDEX(tsk_LeafTotalCost,AssignmentTable[[#This Row],[_TaskPos]])))</f>
        <v>0</v>
      </c>
      <c r="S53" s="38" t="n">
        <f aca="false">IF(NOT(AssignmentTable[[#This Row],[_Valid]]=1),0,IF(N(INDEX(tsk_LateKey,AssignmentTable[[#This Row],[_TaskPos]]))&gt;0,1,0))</f>
        <v>0</v>
      </c>
      <c r="T53" s="38" t="n">
        <f aca="false">IF(NOT(AssignmentTable[[#This Row],[_Valid]]=1),0,IF(INDEX(tsk_Critical,AssignmentTable[[#This Row],[_TaskPos]])="Yes",1,0))</f>
        <v>0</v>
      </c>
      <c r="U5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4" customFormat="false" ht="15" hidden="false" customHeight="false" outlineLevel="0" collapsed="false">
      <c r="B54" s="52"/>
      <c r="C54" s="30" t="str">
        <f aca="false">IF(AssignmentTable[[#This Row],[_TaskPos]]&lt;=0,"",INDEX(tsk_Name,AssignmentTable[[#This Row],[_TaskPos]])&amp;"")</f>
        <v/>
      </c>
      <c r="D54" s="53"/>
      <c r="E54" s="95"/>
      <c r="F54" s="110" t="n">
        <f aca="false">IF(AssignmentTable[[#This Row],[_Valid]]=1,N(INDEX(tsk_Duration,AssignmentTable[[#This Row],[_TaskPos]]))*HoursPerDay*IF(AssignmentTable[[#This Row],[Units]]="",DefaultUnits,AssignmentTable[[#This Row],[Units]]),0)</f>
        <v>0</v>
      </c>
      <c r="G54" s="111" t="n">
        <f aca="false">IF(AssignmentTable[[#This Row],[Work]]=0,0,AssignmentTable[[#This Row],[Work]]*IFERROR(INDEX(res_Rate,MATCH(AssignmentTable[[#This Row],[Resource]],res_Name,0)),0))</f>
        <v>0</v>
      </c>
      <c r="H5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4" s="38" t="n">
        <f aca="false">IF(N(AssignmentTable[[#This Row],[Task UID]])=0,0,IFERROR(MATCH(AssignmentTable[[#This Row],[Task UID]],tsk_UID,0),-1))</f>
        <v>0</v>
      </c>
      <c r="J54" s="38" t="n">
        <f aca="false">IF(AND(AssignmentTable[[#This Row],[_TaskPos]]&gt;0,AssignmentTable[[#This Row],[Resource]]&lt;&gt;"",AssignmentTable[[#This Row],[Check]]=""),1,0)</f>
        <v>0</v>
      </c>
      <c r="K54" s="38" t="str">
        <f aca="false">IF(AssignmentTable[[#This Row],[_Valid]]=1,AssignmentTable[[#This Row],[Task UID]]*1000+COUNTIFS(AssignmentTable[[#Headers],[Task UID]]:AssignmentTable[[#This Row],[Task UID]],AssignmentTable[[#This Row],[Task UID]],AssignmentTable[[#Headers],[_Valid]]:AssignmentTable[[#This Row],[_Valid]],1),"")</f>
        <v/>
      </c>
      <c r="L54" s="38" t="str">
        <f aca="false">IF(AssignmentTable[[#This Row],[_Valid]]=1,AssignmentTable[[#This Row],[Resource]]&amp;IF(OR(AssignmentTable[[#This Row],[Units]]="",AssignmentTable[[#This Row],[Units]]=1),"","["&amp;ROUND(AssignmentTable[[#This Row],[Units]]*100,0)&amp;"%]"),"")</f>
        <v/>
      </c>
      <c r="M54" s="38" t="n">
        <f aca="false">IF(AssignmentTable[[#This Row],[_Valid]]=1,N(INDEX(tsk_StartWD,AssignmentTable[[#This Row],[_TaskPos]])),0)</f>
        <v>0</v>
      </c>
      <c r="N54" s="38" t="n">
        <f aca="false">IF(AssignmentTable[[#This Row],[_Valid]]=1,N(INDEX(tsk_FinishWD,AssignmentTable[[#This Row],[_TaskPos]])),0)</f>
        <v>0</v>
      </c>
      <c r="O54" s="38" t="n">
        <f aca="false">IF(OR(AssignmentTable[[#This Row],[Work]]=0,AssignmentTable[[#This Row],[_FinishWD]]=0),0,AssignmentTable[[#This Row],[Work]]/(AssignmentTable[[#This Row],[_FinishWD]]-AssignmentTable[[#This Row],[_StartWD]]+1))</f>
        <v>0</v>
      </c>
      <c r="P54" s="38" t="n">
        <f aca="false">AssignmentTable[[#This Row],[_WorkPerWD]]*MAX(0,AssignmentTable[[#This Row],[_StartWD]]-1)</f>
        <v>0</v>
      </c>
      <c r="Q54" s="38" t="n">
        <f aca="false">IF(AssignmentTable[[#This Row],[_Valid]]=1,AssignmentTable[[#This Row],[Work]]*N(INDEX(tsk_LeafProgress,AssignmentTable[[#This Row],[_TaskPos]])),0)</f>
        <v>0</v>
      </c>
      <c r="R54" s="38" t="n">
        <f aca="false">IF(NOT(AssignmentTable[[#This Row],[_Valid]]=1),0,IF(N(INDEX(tsk_LeafTotalCost,AssignmentTable[[#This Row],[_TaskPos]]))=0,0,N(INDEX(tsk_LeafAC,AssignmentTable[[#This Row],[_TaskPos]]))*AssignmentTable[[#This Row],[Cost]]/INDEX(tsk_LeafTotalCost,AssignmentTable[[#This Row],[_TaskPos]])))</f>
        <v>0</v>
      </c>
      <c r="S54" s="38" t="n">
        <f aca="false">IF(NOT(AssignmentTable[[#This Row],[_Valid]]=1),0,IF(N(INDEX(tsk_LateKey,AssignmentTable[[#This Row],[_TaskPos]]))&gt;0,1,0))</f>
        <v>0</v>
      </c>
      <c r="T54" s="38" t="n">
        <f aca="false">IF(NOT(AssignmentTable[[#This Row],[_Valid]]=1),0,IF(INDEX(tsk_Critical,AssignmentTable[[#This Row],[_TaskPos]])="Yes",1,0))</f>
        <v>0</v>
      </c>
      <c r="U5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5" customFormat="false" ht="15" hidden="false" customHeight="false" outlineLevel="0" collapsed="false">
      <c r="B55" s="52"/>
      <c r="C55" s="30" t="str">
        <f aca="false">IF(AssignmentTable[[#This Row],[_TaskPos]]&lt;=0,"",INDEX(tsk_Name,AssignmentTable[[#This Row],[_TaskPos]])&amp;"")</f>
        <v/>
      </c>
      <c r="D55" s="53"/>
      <c r="E55" s="95"/>
      <c r="F55" s="110" t="n">
        <f aca="false">IF(AssignmentTable[[#This Row],[_Valid]]=1,N(INDEX(tsk_Duration,AssignmentTable[[#This Row],[_TaskPos]]))*HoursPerDay*IF(AssignmentTable[[#This Row],[Units]]="",DefaultUnits,AssignmentTable[[#This Row],[Units]]),0)</f>
        <v>0</v>
      </c>
      <c r="G55" s="111" t="n">
        <f aca="false">IF(AssignmentTable[[#This Row],[Work]]=0,0,AssignmentTable[[#This Row],[Work]]*IFERROR(INDEX(res_Rate,MATCH(AssignmentTable[[#This Row],[Resource]],res_Name,0)),0))</f>
        <v>0</v>
      </c>
      <c r="H5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5" s="38" t="n">
        <f aca="false">IF(N(AssignmentTable[[#This Row],[Task UID]])=0,0,IFERROR(MATCH(AssignmentTable[[#This Row],[Task UID]],tsk_UID,0),-1))</f>
        <v>0</v>
      </c>
      <c r="J55" s="38" t="n">
        <f aca="false">IF(AND(AssignmentTable[[#This Row],[_TaskPos]]&gt;0,AssignmentTable[[#This Row],[Resource]]&lt;&gt;"",AssignmentTable[[#This Row],[Check]]=""),1,0)</f>
        <v>0</v>
      </c>
      <c r="K55" s="38" t="str">
        <f aca="false">IF(AssignmentTable[[#This Row],[_Valid]]=1,AssignmentTable[[#This Row],[Task UID]]*1000+COUNTIFS(AssignmentTable[[#Headers],[Task UID]]:AssignmentTable[[#This Row],[Task UID]],AssignmentTable[[#This Row],[Task UID]],AssignmentTable[[#Headers],[_Valid]]:AssignmentTable[[#This Row],[_Valid]],1),"")</f>
        <v/>
      </c>
      <c r="L55" s="38" t="str">
        <f aca="false">IF(AssignmentTable[[#This Row],[_Valid]]=1,AssignmentTable[[#This Row],[Resource]]&amp;IF(OR(AssignmentTable[[#This Row],[Units]]="",AssignmentTable[[#This Row],[Units]]=1),"","["&amp;ROUND(AssignmentTable[[#This Row],[Units]]*100,0)&amp;"%]"),"")</f>
        <v/>
      </c>
      <c r="M55" s="38" t="n">
        <f aca="false">IF(AssignmentTable[[#This Row],[_Valid]]=1,N(INDEX(tsk_StartWD,AssignmentTable[[#This Row],[_TaskPos]])),0)</f>
        <v>0</v>
      </c>
      <c r="N55" s="38" t="n">
        <f aca="false">IF(AssignmentTable[[#This Row],[_Valid]]=1,N(INDEX(tsk_FinishWD,AssignmentTable[[#This Row],[_TaskPos]])),0)</f>
        <v>0</v>
      </c>
      <c r="O55" s="38" t="n">
        <f aca="false">IF(OR(AssignmentTable[[#This Row],[Work]]=0,AssignmentTable[[#This Row],[_FinishWD]]=0),0,AssignmentTable[[#This Row],[Work]]/(AssignmentTable[[#This Row],[_FinishWD]]-AssignmentTable[[#This Row],[_StartWD]]+1))</f>
        <v>0</v>
      </c>
      <c r="P55" s="38" t="n">
        <f aca="false">AssignmentTable[[#This Row],[_WorkPerWD]]*MAX(0,AssignmentTable[[#This Row],[_StartWD]]-1)</f>
        <v>0</v>
      </c>
      <c r="Q55" s="38" t="n">
        <f aca="false">IF(AssignmentTable[[#This Row],[_Valid]]=1,AssignmentTable[[#This Row],[Work]]*N(INDEX(tsk_LeafProgress,AssignmentTable[[#This Row],[_TaskPos]])),0)</f>
        <v>0</v>
      </c>
      <c r="R55" s="38" t="n">
        <f aca="false">IF(NOT(AssignmentTable[[#This Row],[_Valid]]=1),0,IF(N(INDEX(tsk_LeafTotalCost,AssignmentTable[[#This Row],[_TaskPos]]))=0,0,N(INDEX(tsk_LeafAC,AssignmentTable[[#This Row],[_TaskPos]]))*AssignmentTable[[#This Row],[Cost]]/INDEX(tsk_LeafTotalCost,AssignmentTable[[#This Row],[_TaskPos]])))</f>
        <v>0</v>
      </c>
      <c r="S55" s="38" t="n">
        <f aca="false">IF(NOT(AssignmentTable[[#This Row],[_Valid]]=1),0,IF(N(INDEX(tsk_LateKey,AssignmentTable[[#This Row],[_TaskPos]]))&gt;0,1,0))</f>
        <v>0</v>
      </c>
      <c r="T55" s="38" t="n">
        <f aca="false">IF(NOT(AssignmentTable[[#This Row],[_Valid]]=1),0,IF(INDEX(tsk_Critical,AssignmentTable[[#This Row],[_TaskPos]])="Yes",1,0))</f>
        <v>0</v>
      </c>
      <c r="U5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6" customFormat="false" ht="15" hidden="false" customHeight="false" outlineLevel="0" collapsed="false">
      <c r="B56" s="52"/>
      <c r="C56" s="30" t="str">
        <f aca="false">IF(AssignmentTable[[#This Row],[_TaskPos]]&lt;=0,"",INDEX(tsk_Name,AssignmentTable[[#This Row],[_TaskPos]])&amp;"")</f>
        <v/>
      </c>
      <c r="D56" s="53"/>
      <c r="E56" s="95"/>
      <c r="F56" s="110" t="n">
        <f aca="false">IF(AssignmentTable[[#This Row],[_Valid]]=1,N(INDEX(tsk_Duration,AssignmentTable[[#This Row],[_TaskPos]]))*HoursPerDay*IF(AssignmentTable[[#This Row],[Units]]="",DefaultUnits,AssignmentTable[[#This Row],[Units]]),0)</f>
        <v>0</v>
      </c>
      <c r="G56" s="111" t="n">
        <f aca="false">IF(AssignmentTable[[#This Row],[Work]]=0,0,AssignmentTable[[#This Row],[Work]]*IFERROR(INDEX(res_Rate,MATCH(AssignmentTable[[#This Row],[Resource]],res_Name,0)),0))</f>
        <v>0</v>
      </c>
      <c r="H5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6" s="38" t="n">
        <f aca="false">IF(N(AssignmentTable[[#This Row],[Task UID]])=0,0,IFERROR(MATCH(AssignmentTable[[#This Row],[Task UID]],tsk_UID,0),-1))</f>
        <v>0</v>
      </c>
      <c r="J56" s="38" t="n">
        <f aca="false">IF(AND(AssignmentTable[[#This Row],[_TaskPos]]&gt;0,AssignmentTable[[#This Row],[Resource]]&lt;&gt;"",AssignmentTable[[#This Row],[Check]]=""),1,0)</f>
        <v>0</v>
      </c>
      <c r="K56" s="38" t="str">
        <f aca="false">IF(AssignmentTable[[#This Row],[_Valid]]=1,AssignmentTable[[#This Row],[Task UID]]*1000+COUNTIFS(AssignmentTable[[#Headers],[Task UID]]:AssignmentTable[[#This Row],[Task UID]],AssignmentTable[[#This Row],[Task UID]],AssignmentTable[[#Headers],[_Valid]]:AssignmentTable[[#This Row],[_Valid]],1),"")</f>
        <v/>
      </c>
      <c r="L56" s="38" t="str">
        <f aca="false">IF(AssignmentTable[[#This Row],[_Valid]]=1,AssignmentTable[[#This Row],[Resource]]&amp;IF(OR(AssignmentTable[[#This Row],[Units]]="",AssignmentTable[[#This Row],[Units]]=1),"","["&amp;ROUND(AssignmentTable[[#This Row],[Units]]*100,0)&amp;"%]"),"")</f>
        <v/>
      </c>
      <c r="M56" s="38" t="n">
        <f aca="false">IF(AssignmentTable[[#This Row],[_Valid]]=1,N(INDEX(tsk_StartWD,AssignmentTable[[#This Row],[_TaskPos]])),0)</f>
        <v>0</v>
      </c>
      <c r="N56" s="38" t="n">
        <f aca="false">IF(AssignmentTable[[#This Row],[_Valid]]=1,N(INDEX(tsk_FinishWD,AssignmentTable[[#This Row],[_TaskPos]])),0)</f>
        <v>0</v>
      </c>
      <c r="O56" s="38" t="n">
        <f aca="false">IF(OR(AssignmentTable[[#This Row],[Work]]=0,AssignmentTable[[#This Row],[_FinishWD]]=0),0,AssignmentTable[[#This Row],[Work]]/(AssignmentTable[[#This Row],[_FinishWD]]-AssignmentTable[[#This Row],[_StartWD]]+1))</f>
        <v>0</v>
      </c>
      <c r="P56" s="38" t="n">
        <f aca="false">AssignmentTable[[#This Row],[_WorkPerWD]]*MAX(0,AssignmentTable[[#This Row],[_StartWD]]-1)</f>
        <v>0</v>
      </c>
      <c r="Q56" s="38" t="n">
        <f aca="false">IF(AssignmentTable[[#This Row],[_Valid]]=1,AssignmentTable[[#This Row],[Work]]*N(INDEX(tsk_LeafProgress,AssignmentTable[[#This Row],[_TaskPos]])),0)</f>
        <v>0</v>
      </c>
      <c r="R56" s="38" t="n">
        <f aca="false">IF(NOT(AssignmentTable[[#This Row],[_Valid]]=1),0,IF(N(INDEX(tsk_LeafTotalCost,AssignmentTable[[#This Row],[_TaskPos]]))=0,0,N(INDEX(tsk_LeafAC,AssignmentTable[[#This Row],[_TaskPos]]))*AssignmentTable[[#This Row],[Cost]]/INDEX(tsk_LeafTotalCost,AssignmentTable[[#This Row],[_TaskPos]])))</f>
        <v>0</v>
      </c>
      <c r="S56" s="38" t="n">
        <f aca="false">IF(NOT(AssignmentTable[[#This Row],[_Valid]]=1),0,IF(N(INDEX(tsk_LateKey,AssignmentTable[[#This Row],[_TaskPos]]))&gt;0,1,0))</f>
        <v>0</v>
      </c>
      <c r="T56" s="38" t="n">
        <f aca="false">IF(NOT(AssignmentTable[[#This Row],[_Valid]]=1),0,IF(INDEX(tsk_Critical,AssignmentTable[[#This Row],[_TaskPos]])="Yes",1,0))</f>
        <v>0</v>
      </c>
      <c r="U5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7" customFormat="false" ht="15" hidden="false" customHeight="false" outlineLevel="0" collapsed="false">
      <c r="B57" s="52"/>
      <c r="C57" s="30" t="str">
        <f aca="false">IF(AssignmentTable[[#This Row],[_TaskPos]]&lt;=0,"",INDEX(tsk_Name,AssignmentTable[[#This Row],[_TaskPos]])&amp;"")</f>
        <v/>
      </c>
      <c r="D57" s="53"/>
      <c r="E57" s="95"/>
      <c r="F57" s="110" t="n">
        <f aca="false">IF(AssignmentTable[[#This Row],[_Valid]]=1,N(INDEX(tsk_Duration,AssignmentTable[[#This Row],[_TaskPos]]))*HoursPerDay*IF(AssignmentTable[[#This Row],[Units]]="",DefaultUnits,AssignmentTable[[#This Row],[Units]]),0)</f>
        <v>0</v>
      </c>
      <c r="G57" s="111" t="n">
        <f aca="false">IF(AssignmentTable[[#This Row],[Work]]=0,0,AssignmentTable[[#This Row],[Work]]*IFERROR(INDEX(res_Rate,MATCH(AssignmentTable[[#This Row],[Resource]],res_Name,0)),0))</f>
        <v>0</v>
      </c>
      <c r="H5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7" s="38" t="n">
        <f aca="false">IF(N(AssignmentTable[[#This Row],[Task UID]])=0,0,IFERROR(MATCH(AssignmentTable[[#This Row],[Task UID]],tsk_UID,0),-1))</f>
        <v>0</v>
      </c>
      <c r="J57" s="38" t="n">
        <f aca="false">IF(AND(AssignmentTable[[#This Row],[_TaskPos]]&gt;0,AssignmentTable[[#This Row],[Resource]]&lt;&gt;"",AssignmentTable[[#This Row],[Check]]=""),1,0)</f>
        <v>0</v>
      </c>
      <c r="K57" s="38" t="str">
        <f aca="false">IF(AssignmentTable[[#This Row],[_Valid]]=1,AssignmentTable[[#This Row],[Task UID]]*1000+COUNTIFS(AssignmentTable[[#Headers],[Task UID]]:AssignmentTable[[#This Row],[Task UID]],AssignmentTable[[#This Row],[Task UID]],AssignmentTable[[#Headers],[_Valid]]:AssignmentTable[[#This Row],[_Valid]],1),"")</f>
        <v/>
      </c>
      <c r="L57" s="38" t="str">
        <f aca="false">IF(AssignmentTable[[#This Row],[_Valid]]=1,AssignmentTable[[#This Row],[Resource]]&amp;IF(OR(AssignmentTable[[#This Row],[Units]]="",AssignmentTable[[#This Row],[Units]]=1),"","["&amp;ROUND(AssignmentTable[[#This Row],[Units]]*100,0)&amp;"%]"),"")</f>
        <v/>
      </c>
      <c r="M57" s="38" t="n">
        <f aca="false">IF(AssignmentTable[[#This Row],[_Valid]]=1,N(INDEX(tsk_StartWD,AssignmentTable[[#This Row],[_TaskPos]])),0)</f>
        <v>0</v>
      </c>
      <c r="N57" s="38" t="n">
        <f aca="false">IF(AssignmentTable[[#This Row],[_Valid]]=1,N(INDEX(tsk_FinishWD,AssignmentTable[[#This Row],[_TaskPos]])),0)</f>
        <v>0</v>
      </c>
      <c r="O57" s="38" t="n">
        <f aca="false">IF(OR(AssignmentTable[[#This Row],[Work]]=0,AssignmentTable[[#This Row],[_FinishWD]]=0),0,AssignmentTable[[#This Row],[Work]]/(AssignmentTable[[#This Row],[_FinishWD]]-AssignmentTable[[#This Row],[_StartWD]]+1))</f>
        <v>0</v>
      </c>
      <c r="P57" s="38" t="n">
        <f aca="false">AssignmentTable[[#This Row],[_WorkPerWD]]*MAX(0,AssignmentTable[[#This Row],[_StartWD]]-1)</f>
        <v>0</v>
      </c>
      <c r="Q57" s="38" t="n">
        <f aca="false">IF(AssignmentTable[[#This Row],[_Valid]]=1,AssignmentTable[[#This Row],[Work]]*N(INDEX(tsk_LeafProgress,AssignmentTable[[#This Row],[_TaskPos]])),0)</f>
        <v>0</v>
      </c>
      <c r="R57" s="38" t="n">
        <f aca="false">IF(NOT(AssignmentTable[[#This Row],[_Valid]]=1),0,IF(N(INDEX(tsk_LeafTotalCost,AssignmentTable[[#This Row],[_TaskPos]]))=0,0,N(INDEX(tsk_LeafAC,AssignmentTable[[#This Row],[_TaskPos]]))*AssignmentTable[[#This Row],[Cost]]/INDEX(tsk_LeafTotalCost,AssignmentTable[[#This Row],[_TaskPos]])))</f>
        <v>0</v>
      </c>
      <c r="S57" s="38" t="n">
        <f aca="false">IF(NOT(AssignmentTable[[#This Row],[_Valid]]=1),0,IF(N(INDEX(tsk_LateKey,AssignmentTable[[#This Row],[_TaskPos]]))&gt;0,1,0))</f>
        <v>0</v>
      </c>
      <c r="T57" s="38" t="n">
        <f aca="false">IF(NOT(AssignmentTable[[#This Row],[_Valid]]=1),0,IF(INDEX(tsk_Critical,AssignmentTable[[#This Row],[_TaskPos]])="Yes",1,0))</f>
        <v>0</v>
      </c>
      <c r="U5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8" customFormat="false" ht="15" hidden="false" customHeight="false" outlineLevel="0" collapsed="false">
      <c r="B58" s="52"/>
      <c r="C58" s="30" t="str">
        <f aca="false">IF(AssignmentTable[[#This Row],[_TaskPos]]&lt;=0,"",INDEX(tsk_Name,AssignmentTable[[#This Row],[_TaskPos]])&amp;"")</f>
        <v/>
      </c>
      <c r="D58" s="53"/>
      <c r="E58" s="95"/>
      <c r="F58" s="110" t="n">
        <f aca="false">IF(AssignmentTable[[#This Row],[_Valid]]=1,N(INDEX(tsk_Duration,AssignmentTable[[#This Row],[_TaskPos]]))*HoursPerDay*IF(AssignmentTable[[#This Row],[Units]]="",DefaultUnits,AssignmentTable[[#This Row],[Units]]),0)</f>
        <v>0</v>
      </c>
      <c r="G58" s="111" t="n">
        <f aca="false">IF(AssignmentTable[[#This Row],[Work]]=0,0,AssignmentTable[[#This Row],[Work]]*IFERROR(INDEX(res_Rate,MATCH(AssignmentTable[[#This Row],[Resource]],res_Name,0)),0))</f>
        <v>0</v>
      </c>
      <c r="H5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8" s="38" t="n">
        <f aca="false">IF(N(AssignmentTable[[#This Row],[Task UID]])=0,0,IFERROR(MATCH(AssignmentTable[[#This Row],[Task UID]],tsk_UID,0),-1))</f>
        <v>0</v>
      </c>
      <c r="J58" s="38" t="n">
        <f aca="false">IF(AND(AssignmentTable[[#This Row],[_TaskPos]]&gt;0,AssignmentTable[[#This Row],[Resource]]&lt;&gt;"",AssignmentTable[[#This Row],[Check]]=""),1,0)</f>
        <v>0</v>
      </c>
      <c r="K58" s="38" t="str">
        <f aca="false">IF(AssignmentTable[[#This Row],[_Valid]]=1,AssignmentTable[[#This Row],[Task UID]]*1000+COUNTIFS(AssignmentTable[[#Headers],[Task UID]]:AssignmentTable[[#This Row],[Task UID]],AssignmentTable[[#This Row],[Task UID]],AssignmentTable[[#Headers],[_Valid]]:AssignmentTable[[#This Row],[_Valid]],1),"")</f>
        <v/>
      </c>
      <c r="L58" s="38" t="str">
        <f aca="false">IF(AssignmentTable[[#This Row],[_Valid]]=1,AssignmentTable[[#This Row],[Resource]]&amp;IF(OR(AssignmentTable[[#This Row],[Units]]="",AssignmentTable[[#This Row],[Units]]=1),"","["&amp;ROUND(AssignmentTable[[#This Row],[Units]]*100,0)&amp;"%]"),"")</f>
        <v/>
      </c>
      <c r="M58" s="38" t="n">
        <f aca="false">IF(AssignmentTable[[#This Row],[_Valid]]=1,N(INDEX(tsk_StartWD,AssignmentTable[[#This Row],[_TaskPos]])),0)</f>
        <v>0</v>
      </c>
      <c r="N58" s="38" t="n">
        <f aca="false">IF(AssignmentTable[[#This Row],[_Valid]]=1,N(INDEX(tsk_FinishWD,AssignmentTable[[#This Row],[_TaskPos]])),0)</f>
        <v>0</v>
      </c>
      <c r="O58" s="38" t="n">
        <f aca="false">IF(OR(AssignmentTable[[#This Row],[Work]]=0,AssignmentTable[[#This Row],[_FinishWD]]=0),0,AssignmentTable[[#This Row],[Work]]/(AssignmentTable[[#This Row],[_FinishWD]]-AssignmentTable[[#This Row],[_StartWD]]+1))</f>
        <v>0</v>
      </c>
      <c r="P58" s="38" t="n">
        <f aca="false">AssignmentTable[[#This Row],[_WorkPerWD]]*MAX(0,AssignmentTable[[#This Row],[_StartWD]]-1)</f>
        <v>0</v>
      </c>
      <c r="Q58" s="38" t="n">
        <f aca="false">IF(AssignmentTable[[#This Row],[_Valid]]=1,AssignmentTable[[#This Row],[Work]]*N(INDEX(tsk_LeafProgress,AssignmentTable[[#This Row],[_TaskPos]])),0)</f>
        <v>0</v>
      </c>
      <c r="R58" s="38" t="n">
        <f aca="false">IF(NOT(AssignmentTable[[#This Row],[_Valid]]=1),0,IF(N(INDEX(tsk_LeafTotalCost,AssignmentTable[[#This Row],[_TaskPos]]))=0,0,N(INDEX(tsk_LeafAC,AssignmentTable[[#This Row],[_TaskPos]]))*AssignmentTable[[#This Row],[Cost]]/INDEX(tsk_LeafTotalCost,AssignmentTable[[#This Row],[_TaskPos]])))</f>
        <v>0</v>
      </c>
      <c r="S58" s="38" t="n">
        <f aca="false">IF(NOT(AssignmentTable[[#This Row],[_Valid]]=1),0,IF(N(INDEX(tsk_LateKey,AssignmentTable[[#This Row],[_TaskPos]]))&gt;0,1,0))</f>
        <v>0</v>
      </c>
      <c r="T58" s="38" t="n">
        <f aca="false">IF(NOT(AssignmentTable[[#This Row],[_Valid]]=1),0,IF(INDEX(tsk_Critical,AssignmentTable[[#This Row],[_TaskPos]])="Yes",1,0))</f>
        <v>0</v>
      </c>
      <c r="U5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9" customFormat="false" ht="15" hidden="false" customHeight="false" outlineLevel="0" collapsed="false">
      <c r="B59" s="52"/>
      <c r="C59" s="30" t="str">
        <f aca="false">IF(AssignmentTable[[#This Row],[_TaskPos]]&lt;=0,"",INDEX(tsk_Name,AssignmentTable[[#This Row],[_TaskPos]])&amp;"")</f>
        <v/>
      </c>
      <c r="D59" s="53"/>
      <c r="E59" s="95"/>
      <c r="F59" s="110" t="n">
        <f aca="false">IF(AssignmentTable[[#This Row],[_Valid]]=1,N(INDEX(tsk_Duration,AssignmentTable[[#This Row],[_TaskPos]]))*HoursPerDay*IF(AssignmentTable[[#This Row],[Units]]="",DefaultUnits,AssignmentTable[[#This Row],[Units]]),0)</f>
        <v>0</v>
      </c>
      <c r="G59" s="111" t="n">
        <f aca="false">IF(AssignmentTable[[#This Row],[Work]]=0,0,AssignmentTable[[#This Row],[Work]]*IFERROR(INDEX(res_Rate,MATCH(AssignmentTable[[#This Row],[Resource]],res_Name,0)),0))</f>
        <v>0</v>
      </c>
      <c r="H5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9" s="38" t="n">
        <f aca="false">IF(N(AssignmentTable[[#This Row],[Task UID]])=0,0,IFERROR(MATCH(AssignmentTable[[#This Row],[Task UID]],tsk_UID,0),-1))</f>
        <v>0</v>
      </c>
      <c r="J59" s="38" t="n">
        <f aca="false">IF(AND(AssignmentTable[[#This Row],[_TaskPos]]&gt;0,AssignmentTable[[#This Row],[Resource]]&lt;&gt;"",AssignmentTable[[#This Row],[Check]]=""),1,0)</f>
        <v>0</v>
      </c>
      <c r="K59" s="38" t="str">
        <f aca="false">IF(AssignmentTable[[#This Row],[_Valid]]=1,AssignmentTable[[#This Row],[Task UID]]*1000+COUNTIFS(AssignmentTable[[#Headers],[Task UID]]:AssignmentTable[[#This Row],[Task UID]],AssignmentTable[[#This Row],[Task UID]],AssignmentTable[[#Headers],[_Valid]]:AssignmentTable[[#This Row],[_Valid]],1),"")</f>
        <v/>
      </c>
      <c r="L59" s="38" t="str">
        <f aca="false">IF(AssignmentTable[[#This Row],[_Valid]]=1,AssignmentTable[[#This Row],[Resource]]&amp;IF(OR(AssignmentTable[[#This Row],[Units]]="",AssignmentTable[[#This Row],[Units]]=1),"","["&amp;ROUND(AssignmentTable[[#This Row],[Units]]*100,0)&amp;"%]"),"")</f>
        <v/>
      </c>
      <c r="M59" s="38" t="n">
        <f aca="false">IF(AssignmentTable[[#This Row],[_Valid]]=1,N(INDEX(tsk_StartWD,AssignmentTable[[#This Row],[_TaskPos]])),0)</f>
        <v>0</v>
      </c>
      <c r="N59" s="38" t="n">
        <f aca="false">IF(AssignmentTable[[#This Row],[_Valid]]=1,N(INDEX(tsk_FinishWD,AssignmentTable[[#This Row],[_TaskPos]])),0)</f>
        <v>0</v>
      </c>
      <c r="O59" s="38" t="n">
        <f aca="false">IF(OR(AssignmentTable[[#This Row],[Work]]=0,AssignmentTable[[#This Row],[_FinishWD]]=0),0,AssignmentTable[[#This Row],[Work]]/(AssignmentTable[[#This Row],[_FinishWD]]-AssignmentTable[[#This Row],[_StartWD]]+1))</f>
        <v>0</v>
      </c>
      <c r="P59" s="38" t="n">
        <f aca="false">AssignmentTable[[#This Row],[_WorkPerWD]]*MAX(0,AssignmentTable[[#This Row],[_StartWD]]-1)</f>
        <v>0</v>
      </c>
      <c r="Q59" s="38" t="n">
        <f aca="false">IF(AssignmentTable[[#This Row],[_Valid]]=1,AssignmentTable[[#This Row],[Work]]*N(INDEX(tsk_LeafProgress,AssignmentTable[[#This Row],[_TaskPos]])),0)</f>
        <v>0</v>
      </c>
      <c r="R59" s="38" t="n">
        <f aca="false">IF(NOT(AssignmentTable[[#This Row],[_Valid]]=1),0,IF(N(INDEX(tsk_LeafTotalCost,AssignmentTable[[#This Row],[_TaskPos]]))=0,0,N(INDEX(tsk_LeafAC,AssignmentTable[[#This Row],[_TaskPos]]))*AssignmentTable[[#This Row],[Cost]]/INDEX(tsk_LeafTotalCost,AssignmentTable[[#This Row],[_TaskPos]])))</f>
        <v>0</v>
      </c>
      <c r="S59" s="38" t="n">
        <f aca="false">IF(NOT(AssignmentTable[[#This Row],[_Valid]]=1),0,IF(N(INDEX(tsk_LateKey,AssignmentTable[[#This Row],[_TaskPos]]))&gt;0,1,0))</f>
        <v>0</v>
      </c>
      <c r="T59" s="38" t="n">
        <f aca="false">IF(NOT(AssignmentTable[[#This Row],[_Valid]]=1),0,IF(INDEX(tsk_Critical,AssignmentTable[[#This Row],[_TaskPos]])="Yes",1,0))</f>
        <v>0</v>
      </c>
      <c r="U5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0" customFormat="false" ht="15" hidden="false" customHeight="false" outlineLevel="0" collapsed="false">
      <c r="B60" s="52"/>
      <c r="C60" s="30" t="str">
        <f aca="false">IF(AssignmentTable[[#This Row],[_TaskPos]]&lt;=0,"",INDEX(tsk_Name,AssignmentTable[[#This Row],[_TaskPos]])&amp;"")</f>
        <v/>
      </c>
      <c r="D60" s="53"/>
      <c r="E60" s="95"/>
      <c r="F60" s="110" t="n">
        <f aca="false">IF(AssignmentTable[[#This Row],[_Valid]]=1,N(INDEX(tsk_Duration,AssignmentTable[[#This Row],[_TaskPos]]))*HoursPerDay*IF(AssignmentTable[[#This Row],[Units]]="",DefaultUnits,AssignmentTable[[#This Row],[Units]]),0)</f>
        <v>0</v>
      </c>
      <c r="G60" s="111" t="n">
        <f aca="false">IF(AssignmentTable[[#This Row],[Work]]=0,0,AssignmentTable[[#This Row],[Work]]*IFERROR(INDEX(res_Rate,MATCH(AssignmentTable[[#This Row],[Resource]],res_Name,0)),0))</f>
        <v>0</v>
      </c>
      <c r="H6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0" s="38" t="n">
        <f aca="false">IF(N(AssignmentTable[[#This Row],[Task UID]])=0,0,IFERROR(MATCH(AssignmentTable[[#This Row],[Task UID]],tsk_UID,0),-1))</f>
        <v>0</v>
      </c>
      <c r="J60" s="38" t="n">
        <f aca="false">IF(AND(AssignmentTable[[#This Row],[_TaskPos]]&gt;0,AssignmentTable[[#This Row],[Resource]]&lt;&gt;"",AssignmentTable[[#This Row],[Check]]=""),1,0)</f>
        <v>0</v>
      </c>
      <c r="K60" s="38" t="str">
        <f aca="false">IF(AssignmentTable[[#This Row],[_Valid]]=1,AssignmentTable[[#This Row],[Task UID]]*1000+COUNTIFS(AssignmentTable[[#Headers],[Task UID]]:AssignmentTable[[#This Row],[Task UID]],AssignmentTable[[#This Row],[Task UID]],AssignmentTable[[#Headers],[_Valid]]:AssignmentTable[[#This Row],[_Valid]],1),"")</f>
        <v/>
      </c>
      <c r="L60" s="38" t="str">
        <f aca="false">IF(AssignmentTable[[#This Row],[_Valid]]=1,AssignmentTable[[#This Row],[Resource]]&amp;IF(OR(AssignmentTable[[#This Row],[Units]]="",AssignmentTable[[#This Row],[Units]]=1),"","["&amp;ROUND(AssignmentTable[[#This Row],[Units]]*100,0)&amp;"%]"),"")</f>
        <v/>
      </c>
      <c r="M60" s="38" t="n">
        <f aca="false">IF(AssignmentTable[[#This Row],[_Valid]]=1,N(INDEX(tsk_StartWD,AssignmentTable[[#This Row],[_TaskPos]])),0)</f>
        <v>0</v>
      </c>
      <c r="N60" s="38" t="n">
        <f aca="false">IF(AssignmentTable[[#This Row],[_Valid]]=1,N(INDEX(tsk_FinishWD,AssignmentTable[[#This Row],[_TaskPos]])),0)</f>
        <v>0</v>
      </c>
      <c r="O60" s="38" t="n">
        <f aca="false">IF(OR(AssignmentTable[[#This Row],[Work]]=0,AssignmentTable[[#This Row],[_FinishWD]]=0),0,AssignmentTable[[#This Row],[Work]]/(AssignmentTable[[#This Row],[_FinishWD]]-AssignmentTable[[#This Row],[_StartWD]]+1))</f>
        <v>0</v>
      </c>
      <c r="P60" s="38" t="n">
        <f aca="false">AssignmentTable[[#This Row],[_WorkPerWD]]*MAX(0,AssignmentTable[[#This Row],[_StartWD]]-1)</f>
        <v>0</v>
      </c>
      <c r="Q60" s="38" t="n">
        <f aca="false">IF(AssignmentTable[[#This Row],[_Valid]]=1,AssignmentTable[[#This Row],[Work]]*N(INDEX(tsk_LeafProgress,AssignmentTable[[#This Row],[_TaskPos]])),0)</f>
        <v>0</v>
      </c>
      <c r="R60" s="38" t="n">
        <f aca="false">IF(NOT(AssignmentTable[[#This Row],[_Valid]]=1),0,IF(N(INDEX(tsk_LeafTotalCost,AssignmentTable[[#This Row],[_TaskPos]]))=0,0,N(INDEX(tsk_LeafAC,AssignmentTable[[#This Row],[_TaskPos]]))*AssignmentTable[[#This Row],[Cost]]/INDEX(tsk_LeafTotalCost,AssignmentTable[[#This Row],[_TaskPos]])))</f>
        <v>0</v>
      </c>
      <c r="S60" s="38" t="n">
        <f aca="false">IF(NOT(AssignmentTable[[#This Row],[_Valid]]=1),0,IF(N(INDEX(tsk_LateKey,AssignmentTable[[#This Row],[_TaskPos]]))&gt;0,1,0))</f>
        <v>0</v>
      </c>
      <c r="T60" s="38" t="n">
        <f aca="false">IF(NOT(AssignmentTable[[#This Row],[_Valid]]=1),0,IF(INDEX(tsk_Critical,AssignmentTable[[#This Row],[_TaskPos]])="Yes",1,0))</f>
        <v>0</v>
      </c>
      <c r="U6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1" customFormat="false" ht="15" hidden="false" customHeight="false" outlineLevel="0" collapsed="false">
      <c r="B61" s="52"/>
      <c r="C61" s="30" t="str">
        <f aca="false">IF(AssignmentTable[[#This Row],[_TaskPos]]&lt;=0,"",INDEX(tsk_Name,AssignmentTable[[#This Row],[_TaskPos]])&amp;"")</f>
        <v/>
      </c>
      <c r="D61" s="53"/>
      <c r="E61" s="95"/>
      <c r="F61" s="110" t="n">
        <f aca="false">IF(AssignmentTable[[#This Row],[_Valid]]=1,N(INDEX(tsk_Duration,AssignmentTable[[#This Row],[_TaskPos]]))*HoursPerDay*IF(AssignmentTable[[#This Row],[Units]]="",DefaultUnits,AssignmentTable[[#This Row],[Units]]),0)</f>
        <v>0</v>
      </c>
      <c r="G61" s="111" t="n">
        <f aca="false">IF(AssignmentTable[[#This Row],[Work]]=0,0,AssignmentTable[[#This Row],[Work]]*IFERROR(INDEX(res_Rate,MATCH(AssignmentTable[[#This Row],[Resource]],res_Name,0)),0))</f>
        <v>0</v>
      </c>
      <c r="H6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1" s="38" t="n">
        <f aca="false">IF(N(AssignmentTable[[#This Row],[Task UID]])=0,0,IFERROR(MATCH(AssignmentTable[[#This Row],[Task UID]],tsk_UID,0),-1))</f>
        <v>0</v>
      </c>
      <c r="J61" s="38" t="n">
        <f aca="false">IF(AND(AssignmentTable[[#This Row],[_TaskPos]]&gt;0,AssignmentTable[[#This Row],[Resource]]&lt;&gt;"",AssignmentTable[[#This Row],[Check]]=""),1,0)</f>
        <v>0</v>
      </c>
      <c r="K61" s="38" t="str">
        <f aca="false">IF(AssignmentTable[[#This Row],[_Valid]]=1,AssignmentTable[[#This Row],[Task UID]]*1000+COUNTIFS(AssignmentTable[[#Headers],[Task UID]]:AssignmentTable[[#This Row],[Task UID]],AssignmentTable[[#This Row],[Task UID]],AssignmentTable[[#Headers],[_Valid]]:AssignmentTable[[#This Row],[_Valid]],1),"")</f>
        <v/>
      </c>
      <c r="L61" s="38" t="str">
        <f aca="false">IF(AssignmentTable[[#This Row],[_Valid]]=1,AssignmentTable[[#This Row],[Resource]]&amp;IF(OR(AssignmentTable[[#This Row],[Units]]="",AssignmentTable[[#This Row],[Units]]=1),"","["&amp;ROUND(AssignmentTable[[#This Row],[Units]]*100,0)&amp;"%]"),"")</f>
        <v/>
      </c>
      <c r="M61" s="38" t="n">
        <f aca="false">IF(AssignmentTable[[#This Row],[_Valid]]=1,N(INDEX(tsk_StartWD,AssignmentTable[[#This Row],[_TaskPos]])),0)</f>
        <v>0</v>
      </c>
      <c r="N61" s="38" t="n">
        <f aca="false">IF(AssignmentTable[[#This Row],[_Valid]]=1,N(INDEX(tsk_FinishWD,AssignmentTable[[#This Row],[_TaskPos]])),0)</f>
        <v>0</v>
      </c>
      <c r="O61" s="38" t="n">
        <f aca="false">IF(OR(AssignmentTable[[#This Row],[Work]]=0,AssignmentTable[[#This Row],[_FinishWD]]=0),0,AssignmentTable[[#This Row],[Work]]/(AssignmentTable[[#This Row],[_FinishWD]]-AssignmentTable[[#This Row],[_StartWD]]+1))</f>
        <v>0</v>
      </c>
      <c r="P61" s="38" t="n">
        <f aca="false">AssignmentTable[[#This Row],[_WorkPerWD]]*MAX(0,AssignmentTable[[#This Row],[_StartWD]]-1)</f>
        <v>0</v>
      </c>
      <c r="Q61" s="38" t="n">
        <f aca="false">IF(AssignmentTable[[#This Row],[_Valid]]=1,AssignmentTable[[#This Row],[Work]]*N(INDEX(tsk_LeafProgress,AssignmentTable[[#This Row],[_TaskPos]])),0)</f>
        <v>0</v>
      </c>
      <c r="R61" s="38" t="n">
        <f aca="false">IF(NOT(AssignmentTable[[#This Row],[_Valid]]=1),0,IF(N(INDEX(tsk_LeafTotalCost,AssignmentTable[[#This Row],[_TaskPos]]))=0,0,N(INDEX(tsk_LeafAC,AssignmentTable[[#This Row],[_TaskPos]]))*AssignmentTable[[#This Row],[Cost]]/INDEX(tsk_LeafTotalCost,AssignmentTable[[#This Row],[_TaskPos]])))</f>
        <v>0</v>
      </c>
      <c r="S61" s="38" t="n">
        <f aca="false">IF(NOT(AssignmentTable[[#This Row],[_Valid]]=1),0,IF(N(INDEX(tsk_LateKey,AssignmentTable[[#This Row],[_TaskPos]]))&gt;0,1,0))</f>
        <v>0</v>
      </c>
      <c r="T61" s="38" t="n">
        <f aca="false">IF(NOT(AssignmentTable[[#This Row],[_Valid]]=1),0,IF(INDEX(tsk_Critical,AssignmentTable[[#This Row],[_TaskPos]])="Yes",1,0))</f>
        <v>0</v>
      </c>
      <c r="U6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2" customFormat="false" ht="15" hidden="false" customHeight="false" outlineLevel="0" collapsed="false">
      <c r="B62" s="52"/>
      <c r="C62" s="30" t="str">
        <f aca="false">IF(AssignmentTable[[#This Row],[_TaskPos]]&lt;=0,"",INDEX(tsk_Name,AssignmentTable[[#This Row],[_TaskPos]])&amp;"")</f>
        <v/>
      </c>
      <c r="D62" s="53"/>
      <c r="E62" s="95"/>
      <c r="F62" s="110" t="n">
        <f aca="false">IF(AssignmentTable[[#This Row],[_Valid]]=1,N(INDEX(tsk_Duration,AssignmentTable[[#This Row],[_TaskPos]]))*HoursPerDay*IF(AssignmentTable[[#This Row],[Units]]="",DefaultUnits,AssignmentTable[[#This Row],[Units]]),0)</f>
        <v>0</v>
      </c>
      <c r="G62" s="111" t="n">
        <f aca="false">IF(AssignmentTable[[#This Row],[Work]]=0,0,AssignmentTable[[#This Row],[Work]]*IFERROR(INDEX(res_Rate,MATCH(AssignmentTable[[#This Row],[Resource]],res_Name,0)),0))</f>
        <v>0</v>
      </c>
      <c r="H6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2" s="38" t="n">
        <f aca="false">IF(N(AssignmentTable[[#This Row],[Task UID]])=0,0,IFERROR(MATCH(AssignmentTable[[#This Row],[Task UID]],tsk_UID,0),-1))</f>
        <v>0</v>
      </c>
      <c r="J62" s="38" t="n">
        <f aca="false">IF(AND(AssignmentTable[[#This Row],[_TaskPos]]&gt;0,AssignmentTable[[#This Row],[Resource]]&lt;&gt;"",AssignmentTable[[#This Row],[Check]]=""),1,0)</f>
        <v>0</v>
      </c>
      <c r="K62" s="38" t="str">
        <f aca="false">IF(AssignmentTable[[#This Row],[_Valid]]=1,AssignmentTable[[#This Row],[Task UID]]*1000+COUNTIFS(AssignmentTable[[#Headers],[Task UID]]:AssignmentTable[[#This Row],[Task UID]],AssignmentTable[[#This Row],[Task UID]],AssignmentTable[[#Headers],[_Valid]]:AssignmentTable[[#This Row],[_Valid]],1),"")</f>
        <v/>
      </c>
      <c r="L62" s="38" t="str">
        <f aca="false">IF(AssignmentTable[[#This Row],[_Valid]]=1,AssignmentTable[[#This Row],[Resource]]&amp;IF(OR(AssignmentTable[[#This Row],[Units]]="",AssignmentTable[[#This Row],[Units]]=1),"","["&amp;ROUND(AssignmentTable[[#This Row],[Units]]*100,0)&amp;"%]"),"")</f>
        <v/>
      </c>
      <c r="M62" s="38" t="n">
        <f aca="false">IF(AssignmentTable[[#This Row],[_Valid]]=1,N(INDEX(tsk_StartWD,AssignmentTable[[#This Row],[_TaskPos]])),0)</f>
        <v>0</v>
      </c>
      <c r="N62" s="38" t="n">
        <f aca="false">IF(AssignmentTable[[#This Row],[_Valid]]=1,N(INDEX(tsk_FinishWD,AssignmentTable[[#This Row],[_TaskPos]])),0)</f>
        <v>0</v>
      </c>
      <c r="O62" s="38" t="n">
        <f aca="false">IF(OR(AssignmentTable[[#This Row],[Work]]=0,AssignmentTable[[#This Row],[_FinishWD]]=0),0,AssignmentTable[[#This Row],[Work]]/(AssignmentTable[[#This Row],[_FinishWD]]-AssignmentTable[[#This Row],[_StartWD]]+1))</f>
        <v>0</v>
      </c>
      <c r="P62" s="38" t="n">
        <f aca="false">AssignmentTable[[#This Row],[_WorkPerWD]]*MAX(0,AssignmentTable[[#This Row],[_StartWD]]-1)</f>
        <v>0</v>
      </c>
      <c r="Q62" s="38" t="n">
        <f aca="false">IF(AssignmentTable[[#This Row],[_Valid]]=1,AssignmentTable[[#This Row],[Work]]*N(INDEX(tsk_LeafProgress,AssignmentTable[[#This Row],[_TaskPos]])),0)</f>
        <v>0</v>
      </c>
      <c r="R62" s="38" t="n">
        <f aca="false">IF(NOT(AssignmentTable[[#This Row],[_Valid]]=1),0,IF(N(INDEX(tsk_LeafTotalCost,AssignmentTable[[#This Row],[_TaskPos]]))=0,0,N(INDEX(tsk_LeafAC,AssignmentTable[[#This Row],[_TaskPos]]))*AssignmentTable[[#This Row],[Cost]]/INDEX(tsk_LeafTotalCost,AssignmentTable[[#This Row],[_TaskPos]])))</f>
        <v>0</v>
      </c>
      <c r="S62" s="38" t="n">
        <f aca="false">IF(NOT(AssignmentTable[[#This Row],[_Valid]]=1),0,IF(N(INDEX(tsk_LateKey,AssignmentTable[[#This Row],[_TaskPos]]))&gt;0,1,0))</f>
        <v>0</v>
      </c>
      <c r="T62" s="38" t="n">
        <f aca="false">IF(NOT(AssignmentTable[[#This Row],[_Valid]]=1),0,IF(INDEX(tsk_Critical,AssignmentTable[[#This Row],[_TaskPos]])="Yes",1,0))</f>
        <v>0</v>
      </c>
      <c r="U6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3" customFormat="false" ht="15" hidden="false" customHeight="false" outlineLevel="0" collapsed="false">
      <c r="B63" s="52"/>
      <c r="C63" s="30" t="str">
        <f aca="false">IF(AssignmentTable[[#This Row],[_TaskPos]]&lt;=0,"",INDEX(tsk_Name,AssignmentTable[[#This Row],[_TaskPos]])&amp;"")</f>
        <v/>
      </c>
      <c r="D63" s="53"/>
      <c r="E63" s="95"/>
      <c r="F63" s="110" t="n">
        <f aca="false">IF(AssignmentTable[[#This Row],[_Valid]]=1,N(INDEX(tsk_Duration,AssignmentTable[[#This Row],[_TaskPos]]))*HoursPerDay*IF(AssignmentTable[[#This Row],[Units]]="",DefaultUnits,AssignmentTable[[#This Row],[Units]]),0)</f>
        <v>0</v>
      </c>
      <c r="G63" s="111" t="n">
        <f aca="false">IF(AssignmentTable[[#This Row],[Work]]=0,0,AssignmentTable[[#This Row],[Work]]*IFERROR(INDEX(res_Rate,MATCH(AssignmentTable[[#This Row],[Resource]],res_Name,0)),0))</f>
        <v>0</v>
      </c>
      <c r="H6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3" s="38" t="n">
        <f aca="false">IF(N(AssignmentTable[[#This Row],[Task UID]])=0,0,IFERROR(MATCH(AssignmentTable[[#This Row],[Task UID]],tsk_UID,0),-1))</f>
        <v>0</v>
      </c>
      <c r="J63" s="38" t="n">
        <f aca="false">IF(AND(AssignmentTable[[#This Row],[_TaskPos]]&gt;0,AssignmentTable[[#This Row],[Resource]]&lt;&gt;"",AssignmentTable[[#This Row],[Check]]=""),1,0)</f>
        <v>0</v>
      </c>
      <c r="K63" s="38" t="str">
        <f aca="false">IF(AssignmentTable[[#This Row],[_Valid]]=1,AssignmentTable[[#This Row],[Task UID]]*1000+COUNTIFS(AssignmentTable[[#Headers],[Task UID]]:AssignmentTable[[#This Row],[Task UID]],AssignmentTable[[#This Row],[Task UID]],AssignmentTable[[#Headers],[_Valid]]:AssignmentTable[[#This Row],[_Valid]],1),"")</f>
        <v/>
      </c>
      <c r="L63" s="38" t="str">
        <f aca="false">IF(AssignmentTable[[#This Row],[_Valid]]=1,AssignmentTable[[#This Row],[Resource]]&amp;IF(OR(AssignmentTable[[#This Row],[Units]]="",AssignmentTable[[#This Row],[Units]]=1),"","["&amp;ROUND(AssignmentTable[[#This Row],[Units]]*100,0)&amp;"%]"),"")</f>
        <v/>
      </c>
      <c r="M63" s="38" t="n">
        <f aca="false">IF(AssignmentTable[[#This Row],[_Valid]]=1,N(INDEX(tsk_StartWD,AssignmentTable[[#This Row],[_TaskPos]])),0)</f>
        <v>0</v>
      </c>
      <c r="N63" s="38" t="n">
        <f aca="false">IF(AssignmentTable[[#This Row],[_Valid]]=1,N(INDEX(tsk_FinishWD,AssignmentTable[[#This Row],[_TaskPos]])),0)</f>
        <v>0</v>
      </c>
      <c r="O63" s="38" t="n">
        <f aca="false">IF(OR(AssignmentTable[[#This Row],[Work]]=0,AssignmentTable[[#This Row],[_FinishWD]]=0),0,AssignmentTable[[#This Row],[Work]]/(AssignmentTable[[#This Row],[_FinishWD]]-AssignmentTable[[#This Row],[_StartWD]]+1))</f>
        <v>0</v>
      </c>
      <c r="P63" s="38" t="n">
        <f aca="false">AssignmentTable[[#This Row],[_WorkPerWD]]*MAX(0,AssignmentTable[[#This Row],[_StartWD]]-1)</f>
        <v>0</v>
      </c>
      <c r="Q63" s="38" t="n">
        <f aca="false">IF(AssignmentTable[[#This Row],[_Valid]]=1,AssignmentTable[[#This Row],[Work]]*N(INDEX(tsk_LeafProgress,AssignmentTable[[#This Row],[_TaskPos]])),0)</f>
        <v>0</v>
      </c>
      <c r="R63" s="38" t="n">
        <f aca="false">IF(NOT(AssignmentTable[[#This Row],[_Valid]]=1),0,IF(N(INDEX(tsk_LeafTotalCost,AssignmentTable[[#This Row],[_TaskPos]]))=0,0,N(INDEX(tsk_LeafAC,AssignmentTable[[#This Row],[_TaskPos]]))*AssignmentTable[[#This Row],[Cost]]/INDEX(tsk_LeafTotalCost,AssignmentTable[[#This Row],[_TaskPos]])))</f>
        <v>0</v>
      </c>
      <c r="S63" s="38" t="n">
        <f aca="false">IF(NOT(AssignmentTable[[#This Row],[_Valid]]=1),0,IF(N(INDEX(tsk_LateKey,AssignmentTable[[#This Row],[_TaskPos]]))&gt;0,1,0))</f>
        <v>0</v>
      </c>
      <c r="T63" s="38" t="n">
        <f aca="false">IF(NOT(AssignmentTable[[#This Row],[_Valid]]=1),0,IF(INDEX(tsk_Critical,AssignmentTable[[#This Row],[_TaskPos]])="Yes",1,0))</f>
        <v>0</v>
      </c>
      <c r="U6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4" customFormat="false" ht="15" hidden="false" customHeight="false" outlineLevel="0" collapsed="false">
      <c r="B64" s="52"/>
      <c r="C64" s="30" t="str">
        <f aca="false">IF(AssignmentTable[[#This Row],[_TaskPos]]&lt;=0,"",INDEX(tsk_Name,AssignmentTable[[#This Row],[_TaskPos]])&amp;"")</f>
        <v/>
      </c>
      <c r="D64" s="53"/>
      <c r="E64" s="95"/>
      <c r="F64" s="110" t="n">
        <f aca="false">IF(AssignmentTable[[#This Row],[_Valid]]=1,N(INDEX(tsk_Duration,AssignmentTable[[#This Row],[_TaskPos]]))*HoursPerDay*IF(AssignmentTable[[#This Row],[Units]]="",DefaultUnits,AssignmentTable[[#This Row],[Units]]),0)</f>
        <v>0</v>
      </c>
      <c r="G64" s="111" t="n">
        <f aca="false">IF(AssignmentTable[[#This Row],[Work]]=0,0,AssignmentTable[[#This Row],[Work]]*IFERROR(INDEX(res_Rate,MATCH(AssignmentTable[[#This Row],[Resource]],res_Name,0)),0))</f>
        <v>0</v>
      </c>
      <c r="H6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4" s="38" t="n">
        <f aca="false">IF(N(AssignmentTable[[#This Row],[Task UID]])=0,0,IFERROR(MATCH(AssignmentTable[[#This Row],[Task UID]],tsk_UID,0),-1))</f>
        <v>0</v>
      </c>
      <c r="J64" s="38" t="n">
        <f aca="false">IF(AND(AssignmentTable[[#This Row],[_TaskPos]]&gt;0,AssignmentTable[[#This Row],[Resource]]&lt;&gt;"",AssignmentTable[[#This Row],[Check]]=""),1,0)</f>
        <v>0</v>
      </c>
      <c r="K64" s="38" t="str">
        <f aca="false">IF(AssignmentTable[[#This Row],[_Valid]]=1,AssignmentTable[[#This Row],[Task UID]]*1000+COUNTIFS(AssignmentTable[[#Headers],[Task UID]]:AssignmentTable[[#This Row],[Task UID]],AssignmentTable[[#This Row],[Task UID]],AssignmentTable[[#Headers],[_Valid]]:AssignmentTable[[#This Row],[_Valid]],1),"")</f>
        <v/>
      </c>
      <c r="L64" s="38" t="str">
        <f aca="false">IF(AssignmentTable[[#This Row],[_Valid]]=1,AssignmentTable[[#This Row],[Resource]]&amp;IF(OR(AssignmentTable[[#This Row],[Units]]="",AssignmentTable[[#This Row],[Units]]=1),"","["&amp;ROUND(AssignmentTable[[#This Row],[Units]]*100,0)&amp;"%]"),"")</f>
        <v/>
      </c>
      <c r="M64" s="38" t="n">
        <f aca="false">IF(AssignmentTable[[#This Row],[_Valid]]=1,N(INDEX(tsk_StartWD,AssignmentTable[[#This Row],[_TaskPos]])),0)</f>
        <v>0</v>
      </c>
      <c r="N64" s="38" t="n">
        <f aca="false">IF(AssignmentTable[[#This Row],[_Valid]]=1,N(INDEX(tsk_FinishWD,AssignmentTable[[#This Row],[_TaskPos]])),0)</f>
        <v>0</v>
      </c>
      <c r="O64" s="38" t="n">
        <f aca="false">IF(OR(AssignmentTable[[#This Row],[Work]]=0,AssignmentTable[[#This Row],[_FinishWD]]=0),0,AssignmentTable[[#This Row],[Work]]/(AssignmentTable[[#This Row],[_FinishWD]]-AssignmentTable[[#This Row],[_StartWD]]+1))</f>
        <v>0</v>
      </c>
      <c r="P64" s="38" t="n">
        <f aca="false">AssignmentTable[[#This Row],[_WorkPerWD]]*MAX(0,AssignmentTable[[#This Row],[_StartWD]]-1)</f>
        <v>0</v>
      </c>
      <c r="Q64" s="38" t="n">
        <f aca="false">IF(AssignmentTable[[#This Row],[_Valid]]=1,AssignmentTable[[#This Row],[Work]]*N(INDEX(tsk_LeafProgress,AssignmentTable[[#This Row],[_TaskPos]])),0)</f>
        <v>0</v>
      </c>
      <c r="R64" s="38" t="n">
        <f aca="false">IF(NOT(AssignmentTable[[#This Row],[_Valid]]=1),0,IF(N(INDEX(tsk_LeafTotalCost,AssignmentTable[[#This Row],[_TaskPos]]))=0,0,N(INDEX(tsk_LeafAC,AssignmentTable[[#This Row],[_TaskPos]]))*AssignmentTable[[#This Row],[Cost]]/INDEX(tsk_LeafTotalCost,AssignmentTable[[#This Row],[_TaskPos]])))</f>
        <v>0</v>
      </c>
      <c r="S64" s="38" t="n">
        <f aca="false">IF(NOT(AssignmentTable[[#This Row],[_Valid]]=1),0,IF(N(INDEX(tsk_LateKey,AssignmentTable[[#This Row],[_TaskPos]]))&gt;0,1,0))</f>
        <v>0</v>
      </c>
      <c r="T64" s="38" t="n">
        <f aca="false">IF(NOT(AssignmentTable[[#This Row],[_Valid]]=1),0,IF(INDEX(tsk_Critical,AssignmentTable[[#This Row],[_TaskPos]])="Yes",1,0))</f>
        <v>0</v>
      </c>
      <c r="U6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5" customFormat="false" ht="15" hidden="false" customHeight="false" outlineLevel="0" collapsed="false">
      <c r="B65" s="52"/>
      <c r="C65" s="30" t="str">
        <f aca="false">IF(AssignmentTable[[#This Row],[_TaskPos]]&lt;=0,"",INDEX(tsk_Name,AssignmentTable[[#This Row],[_TaskPos]])&amp;"")</f>
        <v/>
      </c>
      <c r="D65" s="53"/>
      <c r="E65" s="95"/>
      <c r="F65" s="110" t="n">
        <f aca="false">IF(AssignmentTable[[#This Row],[_Valid]]=1,N(INDEX(tsk_Duration,AssignmentTable[[#This Row],[_TaskPos]]))*HoursPerDay*IF(AssignmentTable[[#This Row],[Units]]="",DefaultUnits,AssignmentTable[[#This Row],[Units]]),0)</f>
        <v>0</v>
      </c>
      <c r="G65" s="111" t="n">
        <f aca="false">IF(AssignmentTable[[#This Row],[Work]]=0,0,AssignmentTable[[#This Row],[Work]]*IFERROR(INDEX(res_Rate,MATCH(AssignmentTable[[#This Row],[Resource]],res_Name,0)),0))</f>
        <v>0</v>
      </c>
      <c r="H6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5" s="38" t="n">
        <f aca="false">IF(N(AssignmentTable[[#This Row],[Task UID]])=0,0,IFERROR(MATCH(AssignmentTable[[#This Row],[Task UID]],tsk_UID,0),-1))</f>
        <v>0</v>
      </c>
      <c r="J65" s="38" t="n">
        <f aca="false">IF(AND(AssignmentTable[[#This Row],[_TaskPos]]&gt;0,AssignmentTable[[#This Row],[Resource]]&lt;&gt;"",AssignmentTable[[#This Row],[Check]]=""),1,0)</f>
        <v>0</v>
      </c>
      <c r="K65" s="38" t="str">
        <f aca="false">IF(AssignmentTable[[#This Row],[_Valid]]=1,AssignmentTable[[#This Row],[Task UID]]*1000+COUNTIFS(AssignmentTable[[#Headers],[Task UID]]:AssignmentTable[[#This Row],[Task UID]],AssignmentTable[[#This Row],[Task UID]],AssignmentTable[[#Headers],[_Valid]]:AssignmentTable[[#This Row],[_Valid]],1),"")</f>
        <v/>
      </c>
      <c r="L65" s="38" t="str">
        <f aca="false">IF(AssignmentTable[[#This Row],[_Valid]]=1,AssignmentTable[[#This Row],[Resource]]&amp;IF(OR(AssignmentTable[[#This Row],[Units]]="",AssignmentTable[[#This Row],[Units]]=1),"","["&amp;ROUND(AssignmentTable[[#This Row],[Units]]*100,0)&amp;"%]"),"")</f>
        <v/>
      </c>
      <c r="M65" s="38" t="n">
        <f aca="false">IF(AssignmentTable[[#This Row],[_Valid]]=1,N(INDEX(tsk_StartWD,AssignmentTable[[#This Row],[_TaskPos]])),0)</f>
        <v>0</v>
      </c>
      <c r="N65" s="38" t="n">
        <f aca="false">IF(AssignmentTable[[#This Row],[_Valid]]=1,N(INDEX(tsk_FinishWD,AssignmentTable[[#This Row],[_TaskPos]])),0)</f>
        <v>0</v>
      </c>
      <c r="O65" s="38" t="n">
        <f aca="false">IF(OR(AssignmentTable[[#This Row],[Work]]=0,AssignmentTable[[#This Row],[_FinishWD]]=0),0,AssignmentTable[[#This Row],[Work]]/(AssignmentTable[[#This Row],[_FinishWD]]-AssignmentTable[[#This Row],[_StartWD]]+1))</f>
        <v>0</v>
      </c>
      <c r="P65" s="38" t="n">
        <f aca="false">AssignmentTable[[#This Row],[_WorkPerWD]]*MAX(0,AssignmentTable[[#This Row],[_StartWD]]-1)</f>
        <v>0</v>
      </c>
      <c r="Q65" s="38" t="n">
        <f aca="false">IF(AssignmentTable[[#This Row],[_Valid]]=1,AssignmentTable[[#This Row],[Work]]*N(INDEX(tsk_LeafProgress,AssignmentTable[[#This Row],[_TaskPos]])),0)</f>
        <v>0</v>
      </c>
      <c r="R65" s="38" t="n">
        <f aca="false">IF(NOT(AssignmentTable[[#This Row],[_Valid]]=1),0,IF(N(INDEX(tsk_LeafTotalCost,AssignmentTable[[#This Row],[_TaskPos]]))=0,0,N(INDEX(tsk_LeafAC,AssignmentTable[[#This Row],[_TaskPos]]))*AssignmentTable[[#This Row],[Cost]]/INDEX(tsk_LeafTotalCost,AssignmentTable[[#This Row],[_TaskPos]])))</f>
        <v>0</v>
      </c>
      <c r="S65" s="38" t="n">
        <f aca="false">IF(NOT(AssignmentTable[[#This Row],[_Valid]]=1),0,IF(N(INDEX(tsk_LateKey,AssignmentTable[[#This Row],[_TaskPos]]))&gt;0,1,0))</f>
        <v>0</v>
      </c>
      <c r="T65" s="38" t="n">
        <f aca="false">IF(NOT(AssignmentTable[[#This Row],[_Valid]]=1),0,IF(INDEX(tsk_Critical,AssignmentTable[[#This Row],[_TaskPos]])="Yes",1,0))</f>
        <v>0</v>
      </c>
      <c r="U6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6" customFormat="false" ht="15" hidden="false" customHeight="false" outlineLevel="0" collapsed="false">
      <c r="B66" s="52"/>
      <c r="C66" s="30" t="str">
        <f aca="false">IF(AssignmentTable[[#This Row],[_TaskPos]]&lt;=0,"",INDEX(tsk_Name,AssignmentTable[[#This Row],[_TaskPos]])&amp;"")</f>
        <v/>
      </c>
      <c r="D66" s="53"/>
      <c r="E66" s="95"/>
      <c r="F66" s="110" t="n">
        <f aca="false">IF(AssignmentTable[[#This Row],[_Valid]]=1,N(INDEX(tsk_Duration,AssignmentTable[[#This Row],[_TaskPos]]))*HoursPerDay*IF(AssignmentTable[[#This Row],[Units]]="",DefaultUnits,AssignmentTable[[#This Row],[Units]]),0)</f>
        <v>0</v>
      </c>
      <c r="G66" s="111" t="n">
        <f aca="false">IF(AssignmentTable[[#This Row],[Work]]=0,0,AssignmentTable[[#This Row],[Work]]*IFERROR(INDEX(res_Rate,MATCH(AssignmentTable[[#This Row],[Resource]],res_Name,0)),0))</f>
        <v>0</v>
      </c>
      <c r="H6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6" s="38" t="n">
        <f aca="false">IF(N(AssignmentTable[[#This Row],[Task UID]])=0,0,IFERROR(MATCH(AssignmentTable[[#This Row],[Task UID]],tsk_UID,0),-1))</f>
        <v>0</v>
      </c>
      <c r="J66" s="38" t="n">
        <f aca="false">IF(AND(AssignmentTable[[#This Row],[_TaskPos]]&gt;0,AssignmentTable[[#This Row],[Resource]]&lt;&gt;"",AssignmentTable[[#This Row],[Check]]=""),1,0)</f>
        <v>0</v>
      </c>
      <c r="K66" s="38" t="str">
        <f aca="false">IF(AssignmentTable[[#This Row],[_Valid]]=1,AssignmentTable[[#This Row],[Task UID]]*1000+COUNTIFS(AssignmentTable[[#Headers],[Task UID]]:AssignmentTable[[#This Row],[Task UID]],AssignmentTable[[#This Row],[Task UID]],AssignmentTable[[#Headers],[_Valid]]:AssignmentTable[[#This Row],[_Valid]],1),"")</f>
        <v/>
      </c>
      <c r="L66" s="38" t="str">
        <f aca="false">IF(AssignmentTable[[#This Row],[_Valid]]=1,AssignmentTable[[#This Row],[Resource]]&amp;IF(OR(AssignmentTable[[#This Row],[Units]]="",AssignmentTable[[#This Row],[Units]]=1),"","["&amp;ROUND(AssignmentTable[[#This Row],[Units]]*100,0)&amp;"%]"),"")</f>
        <v/>
      </c>
      <c r="M66" s="38" t="n">
        <f aca="false">IF(AssignmentTable[[#This Row],[_Valid]]=1,N(INDEX(tsk_StartWD,AssignmentTable[[#This Row],[_TaskPos]])),0)</f>
        <v>0</v>
      </c>
      <c r="N66" s="38" t="n">
        <f aca="false">IF(AssignmentTable[[#This Row],[_Valid]]=1,N(INDEX(tsk_FinishWD,AssignmentTable[[#This Row],[_TaskPos]])),0)</f>
        <v>0</v>
      </c>
      <c r="O66" s="38" t="n">
        <f aca="false">IF(OR(AssignmentTable[[#This Row],[Work]]=0,AssignmentTable[[#This Row],[_FinishWD]]=0),0,AssignmentTable[[#This Row],[Work]]/(AssignmentTable[[#This Row],[_FinishWD]]-AssignmentTable[[#This Row],[_StartWD]]+1))</f>
        <v>0</v>
      </c>
      <c r="P66" s="38" t="n">
        <f aca="false">AssignmentTable[[#This Row],[_WorkPerWD]]*MAX(0,AssignmentTable[[#This Row],[_StartWD]]-1)</f>
        <v>0</v>
      </c>
      <c r="Q66" s="38" t="n">
        <f aca="false">IF(AssignmentTable[[#This Row],[_Valid]]=1,AssignmentTable[[#This Row],[Work]]*N(INDEX(tsk_LeafProgress,AssignmentTable[[#This Row],[_TaskPos]])),0)</f>
        <v>0</v>
      </c>
      <c r="R66" s="38" t="n">
        <f aca="false">IF(NOT(AssignmentTable[[#This Row],[_Valid]]=1),0,IF(N(INDEX(tsk_LeafTotalCost,AssignmentTable[[#This Row],[_TaskPos]]))=0,0,N(INDEX(tsk_LeafAC,AssignmentTable[[#This Row],[_TaskPos]]))*AssignmentTable[[#This Row],[Cost]]/INDEX(tsk_LeafTotalCost,AssignmentTable[[#This Row],[_TaskPos]])))</f>
        <v>0</v>
      </c>
      <c r="S66" s="38" t="n">
        <f aca="false">IF(NOT(AssignmentTable[[#This Row],[_Valid]]=1),0,IF(N(INDEX(tsk_LateKey,AssignmentTable[[#This Row],[_TaskPos]]))&gt;0,1,0))</f>
        <v>0</v>
      </c>
      <c r="T66" s="38" t="n">
        <f aca="false">IF(NOT(AssignmentTable[[#This Row],[_Valid]]=1),0,IF(INDEX(tsk_Critical,AssignmentTable[[#This Row],[_TaskPos]])="Yes",1,0))</f>
        <v>0</v>
      </c>
      <c r="U6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7" customFormat="false" ht="15" hidden="false" customHeight="false" outlineLevel="0" collapsed="false">
      <c r="B67" s="52"/>
      <c r="C67" s="30" t="str">
        <f aca="false">IF(AssignmentTable[[#This Row],[_TaskPos]]&lt;=0,"",INDEX(tsk_Name,AssignmentTable[[#This Row],[_TaskPos]])&amp;"")</f>
        <v/>
      </c>
      <c r="D67" s="53"/>
      <c r="E67" s="95"/>
      <c r="F67" s="110" t="n">
        <f aca="false">IF(AssignmentTable[[#This Row],[_Valid]]=1,N(INDEX(tsk_Duration,AssignmentTable[[#This Row],[_TaskPos]]))*HoursPerDay*IF(AssignmentTable[[#This Row],[Units]]="",DefaultUnits,AssignmentTable[[#This Row],[Units]]),0)</f>
        <v>0</v>
      </c>
      <c r="G67" s="111" t="n">
        <f aca="false">IF(AssignmentTable[[#This Row],[Work]]=0,0,AssignmentTable[[#This Row],[Work]]*IFERROR(INDEX(res_Rate,MATCH(AssignmentTable[[#This Row],[Resource]],res_Name,0)),0))</f>
        <v>0</v>
      </c>
      <c r="H6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7" s="38" t="n">
        <f aca="false">IF(N(AssignmentTable[[#This Row],[Task UID]])=0,0,IFERROR(MATCH(AssignmentTable[[#This Row],[Task UID]],tsk_UID,0),-1))</f>
        <v>0</v>
      </c>
      <c r="J67" s="38" t="n">
        <f aca="false">IF(AND(AssignmentTable[[#This Row],[_TaskPos]]&gt;0,AssignmentTable[[#This Row],[Resource]]&lt;&gt;"",AssignmentTable[[#This Row],[Check]]=""),1,0)</f>
        <v>0</v>
      </c>
      <c r="K67" s="38" t="str">
        <f aca="false">IF(AssignmentTable[[#This Row],[_Valid]]=1,AssignmentTable[[#This Row],[Task UID]]*1000+COUNTIFS(AssignmentTable[[#Headers],[Task UID]]:AssignmentTable[[#This Row],[Task UID]],AssignmentTable[[#This Row],[Task UID]],AssignmentTable[[#Headers],[_Valid]]:AssignmentTable[[#This Row],[_Valid]],1),"")</f>
        <v/>
      </c>
      <c r="L67" s="38" t="str">
        <f aca="false">IF(AssignmentTable[[#This Row],[_Valid]]=1,AssignmentTable[[#This Row],[Resource]]&amp;IF(OR(AssignmentTable[[#This Row],[Units]]="",AssignmentTable[[#This Row],[Units]]=1),"","["&amp;ROUND(AssignmentTable[[#This Row],[Units]]*100,0)&amp;"%]"),"")</f>
        <v/>
      </c>
      <c r="M67" s="38" t="n">
        <f aca="false">IF(AssignmentTable[[#This Row],[_Valid]]=1,N(INDEX(tsk_StartWD,AssignmentTable[[#This Row],[_TaskPos]])),0)</f>
        <v>0</v>
      </c>
      <c r="N67" s="38" t="n">
        <f aca="false">IF(AssignmentTable[[#This Row],[_Valid]]=1,N(INDEX(tsk_FinishWD,AssignmentTable[[#This Row],[_TaskPos]])),0)</f>
        <v>0</v>
      </c>
      <c r="O67" s="38" t="n">
        <f aca="false">IF(OR(AssignmentTable[[#This Row],[Work]]=0,AssignmentTable[[#This Row],[_FinishWD]]=0),0,AssignmentTable[[#This Row],[Work]]/(AssignmentTable[[#This Row],[_FinishWD]]-AssignmentTable[[#This Row],[_StartWD]]+1))</f>
        <v>0</v>
      </c>
      <c r="P67" s="38" t="n">
        <f aca="false">AssignmentTable[[#This Row],[_WorkPerWD]]*MAX(0,AssignmentTable[[#This Row],[_StartWD]]-1)</f>
        <v>0</v>
      </c>
      <c r="Q67" s="38" t="n">
        <f aca="false">IF(AssignmentTable[[#This Row],[_Valid]]=1,AssignmentTable[[#This Row],[Work]]*N(INDEX(tsk_LeafProgress,AssignmentTable[[#This Row],[_TaskPos]])),0)</f>
        <v>0</v>
      </c>
      <c r="R67" s="38" t="n">
        <f aca="false">IF(NOT(AssignmentTable[[#This Row],[_Valid]]=1),0,IF(N(INDEX(tsk_LeafTotalCost,AssignmentTable[[#This Row],[_TaskPos]]))=0,0,N(INDEX(tsk_LeafAC,AssignmentTable[[#This Row],[_TaskPos]]))*AssignmentTable[[#This Row],[Cost]]/INDEX(tsk_LeafTotalCost,AssignmentTable[[#This Row],[_TaskPos]])))</f>
        <v>0</v>
      </c>
      <c r="S67" s="38" t="n">
        <f aca="false">IF(NOT(AssignmentTable[[#This Row],[_Valid]]=1),0,IF(N(INDEX(tsk_LateKey,AssignmentTable[[#This Row],[_TaskPos]]))&gt;0,1,0))</f>
        <v>0</v>
      </c>
      <c r="T67" s="38" t="n">
        <f aca="false">IF(NOT(AssignmentTable[[#This Row],[_Valid]]=1),0,IF(INDEX(tsk_Critical,AssignmentTable[[#This Row],[_TaskPos]])="Yes",1,0))</f>
        <v>0</v>
      </c>
      <c r="U6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8" customFormat="false" ht="15" hidden="false" customHeight="false" outlineLevel="0" collapsed="false">
      <c r="B68" s="52"/>
      <c r="C68" s="30" t="str">
        <f aca="false">IF(AssignmentTable[[#This Row],[_TaskPos]]&lt;=0,"",INDEX(tsk_Name,AssignmentTable[[#This Row],[_TaskPos]])&amp;"")</f>
        <v/>
      </c>
      <c r="D68" s="53"/>
      <c r="E68" s="95"/>
      <c r="F68" s="110" t="n">
        <f aca="false">IF(AssignmentTable[[#This Row],[_Valid]]=1,N(INDEX(tsk_Duration,AssignmentTable[[#This Row],[_TaskPos]]))*HoursPerDay*IF(AssignmentTable[[#This Row],[Units]]="",DefaultUnits,AssignmentTable[[#This Row],[Units]]),0)</f>
        <v>0</v>
      </c>
      <c r="G68" s="111" t="n">
        <f aca="false">IF(AssignmentTable[[#This Row],[Work]]=0,0,AssignmentTable[[#This Row],[Work]]*IFERROR(INDEX(res_Rate,MATCH(AssignmentTable[[#This Row],[Resource]],res_Name,0)),0))</f>
        <v>0</v>
      </c>
      <c r="H6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8" s="38" t="n">
        <f aca="false">IF(N(AssignmentTable[[#This Row],[Task UID]])=0,0,IFERROR(MATCH(AssignmentTable[[#This Row],[Task UID]],tsk_UID,0),-1))</f>
        <v>0</v>
      </c>
      <c r="J68" s="38" t="n">
        <f aca="false">IF(AND(AssignmentTable[[#This Row],[_TaskPos]]&gt;0,AssignmentTable[[#This Row],[Resource]]&lt;&gt;"",AssignmentTable[[#This Row],[Check]]=""),1,0)</f>
        <v>0</v>
      </c>
      <c r="K68" s="38" t="str">
        <f aca="false">IF(AssignmentTable[[#This Row],[_Valid]]=1,AssignmentTable[[#This Row],[Task UID]]*1000+COUNTIFS(AssignmentTable[[#Headers],[Task UID]]:AssignmentTable[[#This Row],[Task UID]],AssignmentTable[[#This Row],[Task UID]],AssignmentTable[[#Headers],[_Valid]]:AssignmentTable[[#This Row],[_Valid]],1),"")</f>
        <v/>
      </c>
      <c r="L68" s="38" t="str">
        <f aca="false">IF(AssignmentTable[[#This Row],[_Valid]]=1,AssignmentTable[[#This Row],[Resource]]&amp;IF(OR(AssignmentTable[[#This Row],[Units]]="",AssignmentTable[[#This Row],[Units]]=1),"","["&amp;ROUND(AssignmentTable[[#This Row],[Units]]*100,0)&amp;"%]"),"")</f>
        <v/>
      </c>
      <c r="M68" s="38" t="n">
        <f aca="false">IF(AssignmentTable[[#This Row],[_Valid]]=1,N(INDEX(tsk_StartWD,AssignmentTable[[#This Row],[_TaskPos]])),0)</f>
        <v>0</v>
      </c>
      <c r="N68" s="38" t="n">
        <f aca="false">IF(AssignmentTable[[#This Row],[_Valid]]=1,N(INDEX(tsk_FinishWD,AssignmentTable[[#This Row],[_TaskPos]])),0)</f>
        <v>0</v>
      </c>
      <c r="O68" s="38" t="n">
        <f aca="false">IF(OR(AssignmentTable[[#This Row],[Work]]=0,AssignmentTable[[#This Row],[_FinishWD]]=0),0,AssignmentTable[[#This Row],[Work]]/(AssignmentTable[[#This Row],[_FinishWD]]-AssignmentTable[[#This Row],[_StartWD]]+1))</f>
        <v>0</v>
      </c>
      <c r="P68" s="38" t="n">
        <f aca="false">AssignmentTable[[#This Row],[_WorkPerWD]]*MAX(0,AssignmentTable[[#This Row],[_StartWD]]-1)</f>
        <v>0</v>
      </c>
      <c r="Q68" s="38" t="n">
        <f aca="false">IF(AssignmentTable[[#This Row],[_Valid]]=1,AssignmentTable[[#This Row],[Work]]*N(INDEX(tsk_LeafProgress,AssignmentTable[[#This Row],[_TaskPos]])),0)</f>
        <v>0</v>
      </c>
      <c r="R68" s="38" t="n">
        <f aca="false">IF(NOT(AssignmentTable[[#This Row],[_Valid]]=1),0,IF(N(INDEX(tsk_LeafTotalCost,AssignmentTable[[#This Row],[_TaskPos]]))=0,0,N(INDEX(tsk_LeafAC,AssignmentTable[[#This Row],[_TaskPos]]))*AssignmentTable[[#This Row],[Cost]]/INDEX(tsk_LeafTotalCost,AssignmentTable[[#This Row],[_TaskPos]])))</f>
        <v>0</v>
      </c>
      <c r="S68" s="38" t="n">
        <f aca="false">IF(NOT(AssignmentTable[[#This Row],[_Valid]]=1),0,IF(N(INDEX(tsk_LateKey,AssignmentTable[[#This Row],[_TaskPos]]))&gt;0,1,0))</f>
        <v>0</v>
      </c>
      <c r="T68" s="38" t="n">
        <f aca="false">IF(NOT(AssignmentTable[[#This Row],[_Valid]]=1),0,IF(INDEX(tsk_Critical,AssignmentTable[[#This Row],[_TaskPos]])="Yes",1,0))</f>
        <v>0</v>
      </c>
      <c r="U6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9" customFormat="false" ht="15" hidden="false" customHeight="false" outlineLevel="0" collapsed="false">
      <c r="B69" s="52"/>
      <c r="C69" s="30" t="str">
        <f aca="false">IF(AssignmentTable[[#This Row],[_TaskPos]]&lt;=0,"",INDEX(tsk_Name,AssignmentTable[[#This Row],[_TaskPos]])&amp;"")</f>
        <v/>
      </c>
      <c r="D69" s="53"/>
      <c r="E69" s="95"/>
      <c r="F69" s="110" t="n">
        <f aca="false">IF(AssignmentTable[[#This Row],[_Valid]]=1,N(INDEX(tsk_Duration,AssignmentTable[[#This Row],[_TaskPos]]))*HoursPerDay*IF(AssignmentTable[[#This Row],[Units]]="",DefaultUnits,AssignmentTable[[#This Row],[Units]]),0)</f>
        <v>0</v>
      </c>
      <c r="G69" s="111" t="n">
        <f aca="false">IF(AssignmentTable[[#This Row],[Work]]=0,0,AssignmentTable[[#This Row],[Work]]*IFERROR(INDEX(res_Rate,MATCH(AssignmentTable[[#This Row],[Resource]],res_Name,0)),0))</f>
        <v>0</v>
      </c>
      <c r="H6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9" s="38" t="n">
        <f aca="false">IF(N(AssignmentTable[[#This Row],[Task UID]])=0,0,IFERROR(MATCH(AssignmentTable[[#This Row],[Task UID]],tsk_UID,0),-1))</f>
        <v>0</v>
      </c>
      <c r="J69" s="38" t="n">
        <f aca="false">IF(AND(AssignmentTable[[#This Row],[_TaskPos]]&gt;0,AssignmentTable[[#This Row],[Resource]]&lt;&gt;"",AssignmentTable[[#This Row],[Check]]=""),1,0)</f>
        <v>0</v>
      </c>
      <c r="K69" s="38" t="str">
        <f aca="false">IF(AssignmentTable[[#This Row],[_Valid]]=1,AssignmentTable[[#This Row],[Task UID]]*1000+COUNTIFS(AssignmentTable[[#Headers],[Task UID]]:AssignmentTable[[#This Row],[Task UID]],AssignmentTable[[#This Row],[Task UID]],AssignmentTable[[#Headers],[_Valid]]:AssignmentTable[[#This Row],[_Valid]],1),"")</f>
        <v/>
      </c>
      <c r="L69" s="38" t="str">
        <f aca="false">IF(AssignmentTable[[#This Row],[_Valid]]=1,AssignmentTable[[#This Row],[Resource]]&amp;IF(OR(AssignmentTable[[#This Row],[Units]]="",AssignmentTable[[#This Row],[Units]]=1),"","["&amp;ROUND(AssignmentTable[[#This Row],[Units]]*100,0)&amp;"%]"),"")</f>
        <v/>
      </c>
      <c r="M69" s="38" t="n">
        <f aca="false">IF(AssignmentTable[[#This Row],[_Valid]]=1,N(INDEX(tsk_StartWD,AssignmentTable[[#This Row],[_TaskPos]])),0)</f>
        <v>0</v>
      </c>
      <c r="N69" s="38" t="n">
        <f aca="false">IF(AssignmentTable[[#This Row],[_Valid]]=1,N(INDEX(tsk_FinishWD,AssignmentTable[[#This Row],[_TaskPos]])),0)</f>
        <v>0</v>
      </c>
      <c r="O69" s="38" t="n">
        <f aca="false">IF(OR(AssignmentTable[[#This Row],[Work]]=0,AssignmentTable[[#This Row],[_FinishWD]]=0),0,AssignmentTable[[#This Row],[Work]]/(AssignmentTable[[#This Row],[_FinishWD]]-AssignmentTable[[#This Row],[_StartWD]]+1))</f>
        <v>0</v>
      </c>
      <c r="P69" s="38" t="n">
        <f aca="false">AssignmentTable[[#This Row],[_WorkPerWD]]*MAX(0,AssignmentTable[[#This Row],[_StartWD]]-1)</f>
        <v>0</v>
      </c>
      <c r="Q69" s="38" t="n">
        <f aca="false">IF(AssignmentTable[[#This Row],[_Valid]]=1,AssignmentTable[[#This Row],[Work]]*N(INDEX(tsk_LeafProgress,AssignmentTable[[#This Row],[_TaskPos]])),0)</f>
        <v>0</v>
      </c>
      <c r="R69" s="38" t="n">
        <f aca="false">IF(NOT(AssignmentTable[[#This Row],[_Valid]]=1),0,IF(N(INDEX(tsk_LeafTotalCost,AssignmentTable[[#This Row],[_TaskPos]]))=0,0,N(INDEX(tsk_LeafAC,AssignmentTable[[#This Row],[_TaskPos]]))*AssignmentTable[[#This Row],[Cost]]/INDEX(tsk_LeafTotalCost,AssignmentTable[[#This Row],[_TaskPos]])))</f>
        <v>0</v>
      </c>
      <c r="S69" s="38" t="n">
        <f aca="false">IF(NOT(AssignmentTable[[#This Row],[_Valid]]=1),0,IF(N(INDEX(tsk_LateKey,AssignmentTable[[#This Row],[_TaskPos]]))&gt;0,1,0))</f>
        <v>0</v>
      </c>
      <c r="T69" s="38" t="n">
        <f aca="false">IF(NOT(AssignmentTable[[#This Row],[_Valid]]=1),0,IF(INDEX(tsk_Critical,AssignmentTable[[#This Row],[_TaskPos]])="Yes",1,0))</f>
        <v>0</v>
      </c>
      <c r="U6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0" customFormat="false" ht="15" hidden="false" customHeight="false" outlineLevel="0" collapsed="false">
      <c r="B70" s="52"/>
      <c r="C70" s="30" t="str">
        <f aca="false">IF(AssignmentTable[[#This Row],[_TaskPos]]&lt;=0,"",INDEX(tsk_Name,AssignmentTable[[#This Row],[_TaskPos]])&amp;"")</f>
        <v/>
      </c>
      <c r="D70" s="53"/>
      <c r="E70" s="95"/>
      <c r="F70" s="110" t="n">
        <f aca="false">IF(AssignmentTable[[#This Row],[_Valid]]=1,N(INDEX(tsk_Duration,AssignmentTable[[#This Row],[_TaskPos]]))*HoursPerDay*IF(AssignmentTable[[#This Row],[Units]]="",DefaultUnits,AssignmentTable[[#This Row],[Units]]),0)</f>
        <v>0</v>
      </c>
      <c r="G70" s="111" t="n">
        <f aca="false">IF(AssignmentTable[[#This Row],[Work]]=0,0,AssignmentTable[[#This Row],[Work]]*IFERROR(INDEX(res_Rate,MATCH(AssignmentTable[[#This Row],[Resource]],res_Name,0)),0))</f>
        <v>0</v>
      </c>
      <c r="H7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0" s="38" t="n">
        <f aca="false">IF(N(AssignmentTable[[#This Row],[Task UID]])=0,0,IFERROR(MATCH(AssignmentTable[[#This Row],[Task UID]],tsk_UID,0),-1))</f>
        <v>0</v>
      </c>
      <c r="J70" s="38" t="n">
        <f aca="false">IF(AND(AssignmentTable[[#This Row],[_TaskPos]]&gt;0,AssignmentTable[[#This Row],[Resource]]&lt;&gt;"",AssignmentTable[[#This Row],[Check]]=""),1,0)</f>
        <v>0</v>
      </c>
      <c r="K70" s="38" t="str">
        <f aca="false">IF(AssignmentTable[[#This Row],[_Valid]]=1,AssignmentTable[[#This Row],[Task UID]]*1000+COUNTIFS(AssignmentTable[[#Headers],[Task UID]]:AssignmentTable[[#This Row],[Task UID]],AssignmentTable[[#This Row],[Task UID]],AssignmentTable[[#Headers],[_Valid]]:AssignmentTable[[#This Row],[_Valid]],1),"")</f>
        <v/>
      </c>
      <c r="L70" s="38" t="str">
        <f aca="false">IF(AssignmentTable[[#This Row],[_Valid]]=1,AssignmentTable[[#This Row],[Resource]]&amp;IF(OR(AssignmentTable[[#This Row],[Units]]="",AssignmentTable[[#This Row],[Units]]=1),"","["&amp;ROUND(AssignmentTable[[#This Row],[Units]]*100,0)&amp;"%]"),"")</f>
        <v/>
      </c>
      <c r="M70" s="38" t="n">
        <f aca="false">IF(AssignmentTable[[#This Row],[_Valid]]=1,N(INDEX(tsk_StartWD,AssignmentTable[[#This Row],[_TaskPos]])),0)</f>
        <v>0</v>
      </c>
      <c r="N70" s="38" t="n">
        <f aca="false">IF(AssignmentTable[[#This Row],[_Valid]]=1,N(INDEX(tsk_FinishWD,AssignmentTable[[#This Row],[_TaskPos]])),0)</f>
        <v>0</v>
      </c>
      <c r="O70" s="38" t="n">
        <f aca="false">IF(OR(AssignmentTable[[#This Row],[Work]]=0,AssignmentTable[[#This Row],[_FinishWD]]=0),0,AssignmentTable[[#This Row],[Work]]/(AssignmentTable[[#This Row],[_FinishWD]]-AssignmentTable[[#This Row],[_StartWD]]+1))</f>
        <v>0</v>
      </c>
      <c r="P70" s="38" t="n">
        <f aca="false">AssignmentTable[[#This Row],[_WorkPerWD]]*MAX(0,AssignmentTable[[#This Row],[_StartWD]]-1)</f>
        <v>0</v>
      </c>
      <c r="Q70" s="38" t="n">
        <f aca="false">IF(AssignmentTable[[#This Row],[_Valid]]=1,AssignmentTable[[#This Row],[Work]]*N(INDEX(tsk_LeafProgress,AssignmentTable[[#This Row],[_TaskPos]])),0)</f>
        <v>0</v>
      </c>
      <c r="R70" s="38" t="n">
        <f aca="false">IF(NOT(AssignmentTable[[#This Row],[_Valid]]=1),0,IF(N(INDEX(tsk_LeafTotalCost,AssignmentTable[[#This Row],[_TaskPos]]))=0,0,N(INDEX(tsk_LeafAC,AssignmentTable[[#This Row],[_TaskPos]]))*AssignmentTable[[#This Row],[Cost]]/INDEX(tsk_LeafTotalCost,AssignmentTable[[#This Row],[_TaskPos]])))</f>
        <v>0</v>
      </c>
      <c r="S70" s="38" t="n">
        <f aca="false">IF(NOT(AssignmentTable[[#This Row],[_Valid]]=1),0,IF(N(INDEX(tsk_LateKey,AssignmentTable[[#This Row],[_TaskPos]]))&gt;0,1,0))</f>
        <v>0</v>
      </c>
      <c r="T70" s="38" t="n">
        <f aca="false">IF(NOT(AssignmentTable[[#This Row],[_Valid]]=1),0,IF(INDEX(tsk_Critical,AssignmentTable[[#This Row],[_TaskPos]])="Yes",1,0))</f>
        <v>0</v>
      </c>
      <c r="U7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1" customFormat="false" ht="15" hidden="false" customHeight="false" outlineLevel="0" collapsed="false">
      <c r="B71" s="52"/>
      <c r="C71" s="30" t="str">
        <f aca="false">IF(AssignmentTable[[#This Row],[_TaskPos]]&lt;=0,"",INDEX(tsk_Name,AssignmentTable[[#This Row],[_TaskPos]])&amp;"")</f>
        <v/>
      </c>
      <c r="D71" s="53"/>
      <c r="E71" s="95"/>
      <c r="F71" s="110" t="n">
        <f aca="false">IF(AssignmentTable[[#This Row],[_Valid]]=1,N(INDEX(tsk_Duration,AssignmentTable[[#This Row],[_TaskPos]]))*HoursPerDay*IF(AssignmentTable[[#This Row],[Units]]="",DefaultUnits,AssignmentTable[[#This Row],[Units]]),0)</f>
        <v>0</v>
      </c>
      <c r="G71" s="111" t="n">
        <f aca="false">IF(AssignmentTable[[#This Row],[Work]]=0,0,AssignmentTable[[#This Row],[Work]]*IFERROR(INDEX(res_Rate,MATCH(AssignmentTable[[#This Row],[Resource]],res_Name,0)),0))</f>
        <v>0</v>
      </c>
      <c r="H7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1" s="38" t="n">
        <f aca="false">IF(N(AssignmentTable[[#This Row],[Task UID]])=0,0,IFERROR(MATCH(AssignmentTable[[#This Row],[Task UID]],tsk_UID,0),-1))</f>
        <v>0</v>
      </c>
      <c r="J71" s="38" t="n">
        <f aca="false">IF(AND(AssignmentTable[[#This Row],[_TaskPos]]&gt;0,AssignmentTable[[#This Row],[Resource]]&lt;&gt;"",AssignmentTable[[#This Row],[Check]]=""),1,0)</f>
        <v>0</v>
      </c>
      <c r="K71" s="38" t="str">
        <f aca="false">IF(AssignmentTable[[#This Row],[_Valid]]=1,AssignmentTable[[#This Row],[Task UID]]*1000+COUNTIFS(AssignmentTable[[#Headers],[Task UID]]:AssignmentTable[[#This Row],[Task UID]],AssignmentTable[[#This Row],[Task UID]],AssignmentTable[[#Headers],[_Valid]]:AssignmentTable[[#This Row],[_Valid]],1),"")</f>
        <v/>
      </c>
      <c r="L71" s="38" t="str">
        <f aca="false">IF(AssignmentTable[[#This Row],[_Valid]]=1,AssignmentTable[[#This Row],[Resource]]&amp;IF(OR(AssignmentTable[[#This Row],[Units]]="",AssignmentTable[[#This Row],[Units]]=1),"","["&amp;ROUND(AssignmentTable[[#This Row],[Units]]*100,0)&amp;"%]"),"")</f>
        <v/>
      </c>
      <c r="M71" s="38" t="n">
        <f aca="false">IF(AssignmentTable[[#This Row],[_Valid]]=1,N(INDEX(tsk_StartWD,AssignmentTable[[#This Row],[_TaskPos]])),0)</f>
        <v>0</v>
      </c>
      <c r="N71" s="38" t="n">
        <f aca="false">IF(AssignmentTable[[#This Row],[_Valid]]=1,N(INDEX(tsk_FinishWD,AssignmentTable[[#This Row],[_TaskPos]])),0)</f>
        <v>0</v>
      </c>
      <c r="O71" s="38" t="n">
        <f aca="false">IF(OR(AssignmentTable[[#This Row],[Work]]=0,AssignmentTable[[#This Row],[_FinishWD]]=0),0,AssignmentTable[[#This Row],[Work]]/(AssignmentTable[[#This Row],[_FinishWD]]-AssignmentTable[[#This Row],[_StartWD]]+1))</f>
        <v>0</v>
      </c>
      <c r="P71" s="38" t="n">
        <f aca="false">AssignmentTable[[#This Row],[_WorkPerWD]]*MAX(0,AssignmentTable[[#This Row],[_StartWD]]-1)</f>
        <v>0</v>
      </c>
      <c r="Q71" s="38" t="n">
        <f aca="false">IF(AssignmentTable[[#This Row],[_Valid]]=1,AssignmentTable[[#This Row],[Work]]*N(INDEX(tsk_LeafProgress,AssignmentTable[[#This Row],[_TaskPos]])),0)</f>
        <v>0</v>
      </c>
      <c r="R71" s="38" t="n">
        <f aca="false">IF(NOT(AssignmentTable[[#This Row],[_Valid]]=1),0,IF(N(INDEX(tsk_LeafTotalCost,AssignmentTable[[#This Row],[_TaskPos]]))=0,0,N(INDEX(tsk_LeafAC,AssignmentTable[[#This Row],[_TaskPos]]))*AssignmentTable[[#This Row],[Cost]]/INDEX(tsk_LeafTotalCost,AssignmentTable[[#This Row],[_TaskPos]])))</f>
        <v>0</v>
      </c>
      <c r="S71" s="38" t="n">
        <f aca="false">IF(NOT(AssignmentTable[[#This Row],[_Valid]]=1),0,IF(N(INDEX(tsk_LateKey,AssignmentTable[[#This Row],[_TaskPos]]))&gt;0,1,0))</f>
        <v>0</v>
      </c>
      <c r="T71" s="38" t="n">
        <f aca="false">IF(NOT(AssignmentTable[[#This Row],[_Valid]]=1),0,IF(INDEX(tsk_Critical,AssignmentTable[[#This Row],[_TaskPos]])="Yes",1,0))</f>
        <v>0</v>
      </c>
      <c r="U7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2" customFormat="false" ht="15" hidden="false" customHeight="false" outlineLevel="0" collapsed="false">
      <c r="B72" s="52"/>
      <c r="C72" s="30" t="str">
        <f aca="false">IF(AssignmentTable[[#This Row],[_TaskPos]]&lt;=0,"",INDEX(tsk_Name,AssignmentTable[[#This Row],[_TaskPos]])&amp;"")</f>
        <v/>
      </c>
      <c r="D72" s="53"/>
      <c r="E72" s="95"/>
      <c r="F72" s="110" t="n">
        <f aca="false">IF(AssignmentTable[[#This Row],[_Valid]]=1,N(INDEX(tsk_Duration,AssignmentTable[[#This Row],[_TaskPos]]))*HoursPerDay*IF(AssignmentTable[[#This Row],[Units]]="",DefaultUnits,AssignmentTable[[#This Row],[Units]]),0)</f>
        <v>0</v>
      </c>
      <c r="G72" s="111" t="n">
        <f aca="false">IF(AssignmentTable[[#This Row],[Work]]=0,0,AssignmentTable[[#This Row],[Work]]*IFERROR(INDEX(res_Rate,MATCH(AssignmentTable[[#This Row],[Resource]],res_Name,0)),0))</f>
        <v>0</v>
      </c>
      <c r="H7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2" s="38" t="n">
        <f aca="false">IF(N(AssignmentTable[[#This Row],[Task UID]])=0,0,IFERROR(MATCH(AssignmentTable[[#This Row],[Task UID]],tsk_UID,0),-1))</f>
        <v>0</v>
      </c>
      <c r="J72" s="38" t="n">
        <f aca="false">IF(AND(AssignmentTable[[#This Row],[_TaskPos]]&gt;0,AssignmentTable[[#This Row],[Resource]]&lt;&gt;"",AssignmentTable[[#This Row],[Check]]=""),1,0)</f>
        <v>0</v>
      </c>
      <c r="K72" s="38" t="str">
        <f aca="false">IF(AssignmentTable[[#This Row],[_Valid]]=1,AssignmentTable[[#This Row],[Task UID]]*1000+COUNTIFS(AssignmentTable[[#Headers],[Task UID]]:AssignmentTable[[#This Row],[Task UID]],AssignmentTable[[#This Row],[Task UID]],AssignmentTable[[#Headers],[_Valid]]:AssignmentTable[[#This Row],[_Valid]],1),"")</f>
        <v/>
      </c>
      <c r="L72" s="38" t="str">
        <f aca="false">IF(AssignmentTable[[#This Row],[_Valid]]=1,AssignmentTable[[#This Row],[Resource]]&amp;IF(OR(AssignmentTable[[#This Row],[Units]]="",AssignmentTable[[#This Row],[Units]]=1),"","["&amp;ROUND(AssignmentTable[[#This Row],[Units]]*100,0)&amp;"%]"),"")</f>
        <v/>
      </c>
      <c r="M72" s="38" t="n">
        <f aca="false">IF(AssignmentTable[[#This Row],[_Valid]]=1,N(INDEX(tsk_StartWD,AssignmentTable[[#This Row],[_TaskPos]])),0)</f>
        <v>0</v>
      </c>
      <c r="N72" s="38" t="n">
        <f aca="false">IF(AssignmentTable[[#This Row],[_Valid]]=1,N(INDEX(tsk_FinishWD,AssignmentTable[[#This Row],[_TaskPos]])),0)</f>
        <v>0</v>
      </c>
      <c r="O72" s="38" t="n">
        <f aca="false">IF(OR(AssignmentTable[[#This Row],[Work]]=0,AssignmentTable[[#This Row],[_FinishWD]]=0),0,AssignmentTable[[#This Row],[Work]]/(AssignmentTable[[#This Row],[_FinishWD]]-AssignmentTable[[#This Row],[_StartWD]]+1))</f>
        <v>0</v>
      </c>
      <c r="P72" s="38" t="n">
        <f aca="false">AssignmentTable[[#This Row],[_WorkPerWD]]*MAX(0,AssignmentTable[[#This Row],[_StartWD]]-1)</f>
        <v>0</v>
      </c>
      <c r="Q72" s="38" t="n">
        <f aca="false">IF(AssignmentTable[[#This Row],[_Valid]]=1,AssignmentTable[[#This Row],[Work]]*N(INDEX(tsk_LeafProgress,AssignmentTable[[#This Row],[_TaskPos]])),0)</f>
        <v>0</v>
      </c>
      <c r="R72" s="38" t="n">
        <f aca="false">IF(NOT(AssignmentTable[[#This Row],[_Valid]]=1),0,IF(N(INDEX(tsk_LeafTotalCost,AssignmentTable[[#This Row],[_TaskPos]]))=0,0,N(INDEX(tsk_LeafAC,AssignmentTable[[#This Row],[_TaskPos]]))*AssignmentTable[[#This Row],[Cost]]/INDEX(tsk_LeafTotalCost,AssignmentTable[[#This Row],[_TaskPos]])))</f>
        <v>0</v>
      </c>
      <c r="S72" s="38" t="n">
        <f aca="false">IF(NOT(AssignmentTable[[#This Row],[_Valid]]=1),0,IF(N(INDEX(tsk_LateKey,AssignmentTable[[#This Row],[_TaskPos]]))&gt;0,1,0))</f>
        <v>0</v>
      </c>
      <c r="T72" s="38" t="n">
        <f aca="false">IF(NOT(AssignmentTable[[#This Row],[_Valid]]=1),0,IF(INDEX(tsk_Critical,AssignmentTable[[#This Row],[_TaskPos]])="Yes",1,0))</f>
        <v>0</v>
      </c>
      <c r="U7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3" customFormat="false" ht="15" hidden="false" customHeight="false" outlineLevel="0" collapsed="false">
      <c r="B73" s="52"/>
      <c r="C73" s="30" t="str">
        <f aca="false">IF(AssignmentTable[[#This Row],[_TaskPos]]&lt;=0,"",INDEX(tsk_Name,AssignmentTable[[#This Row],[_TaskPos]])&amp;"")</f>
        <v/>
      </c>
      <c r="D73" s="53"/>
      <c r="E73" s="95"/>
      <c r="F73" s="110" t="n">
        <f aca="false">IF(AssignmentTable[[#This Row],[_Valid]]=1,N(INDEX(tsk_Duration,AssignmentTable[[#This Row],[_TaskPos]]))*HoursPerDay*IF(AssignmentTable[[#This Row],[Units]]="",DefaultUnits,AssignmentTable[[#This Row],[Units]]),0)</f>
        <v>0</v>
      </c>
      <c r="G73" s="111" t="n">
        <f aca="false">IF(AssignmentTable[[#This Row],[Work]]=0,0,AssignmentTable[[#This Row],[Work]]*IFERROR(INDEX(res_Rate,MATCH(AssignmentTable[[#This Row],[Resource]],res_Name,0)),0))</f>
        <v>0</v>
      </c>
      <c r="H7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3" s="38" t="n">
        <f aca="false">IF(N(AssignmentTable[[#This Row],[Task UID]])=0,0,IFERROR(MATCH(AssignmentTable[[#This Row],[Task UID]],tsk_UID,0),-1))</f>
        <v>0</v>
      </c>
      <c r="J73" s="38" t="n">
        <f aca="false">IF(AND(AssignmentTable[[#This Row],[_TaskPos]]&gt;0,AssignmentTable[[#This Row],[Resource]]&lt;&gt;"",AssignmentTable[[#This Row],[Check]]=""),1,0)</f>
        <v>0</v>
      </c>
      <c r="K73" s="38" t="str">
        <f aca="false">IF(AssignmentTable[[#This Row],[_Valid]]=1,AssignmentTable[[#This Row],[Task UID]]*1000+COUNTIFS(AssignmentTable[[#Headers],[Task UID]]:AssignmentTable[[#This Row],[Task UID]],AssignmentTable[[#This Row],[Task UID]],AssignmentTable[[#Headers],[_Valid]]:AssignmentTable[[#This Row],[_Valid]],1),"")</f>
        <v/>
      </c>
      <c r="L73" s="38" t="str">
        <f aca="false">IF(AssignmentTable[[#This Row],[_Valid]]=1,AssignmentTable[[#This Row],[Resource]]&amp;IF(OR(AssignmentTable[[#This Row],[Units]]="",AssignmentTable[[#This Row],[Units]]=1),"","["&amp;ROUND(AssignmentTable[[#This Row],[Units]]*100,0)&amp;"%]"),"")</f>
        <v/>
      </c>
      <c r="M73" s="38" t="n">
        <f aca="false">IF(AssignmentTable[[#This Row],[_Valid]]=1,N(INDEX(tsk_StartWD,AssignmentTable[[#This Row],[_TaskPos]])),0)</f>
        <v>0</v>
      </c>
      <c r="N73" s="38" t="n">
        <f aca="false">IF(AssignmentTable[[#This Row],[_Valid]]=1,N(INDEX(tsk_FinishWD,AssignmentTable[[#This Row],[_TaskPos]])),0)</f>
        <v>0</v>
      </c>
      <c r="O73" s="38" t="n">
        <f aca="false">IF(OR(AssignmentTable[[#This Row],[Work]]=0,AssignmentTable[[#This Row],[_FinishWD]]=0),0,AssignmentTable[[#This Row],[Work]]/(AssignmentTable[[#This Row],[_FinishWD]]-AssignmentTable[[#This Row],[_StartWD]]+1))</f>
        <v>0</v>
      </c>
      <c r="P73" s="38" t="n">
        <f aca="false">AssignmentTable[[#This Row],[_WorkPerWD]]*MAX(0,AssignmentTable[[#This Row],[_StartWD]]-1)</f>
        <v>0</v>
      </c>
      <c r="Q73" s="38" t="n">
        <f aca="false">IF(AssignmentTable[[#This Row],[_Valid]]=1,AssignmentTable[[#This Row],[Work]]*N(INDEX(tsk_LeafProgress,AssignmentTable[[#This Row],[_TaskPos]])),0)</f>
        <v>0</v>
      </c>
      <c r="R73" s="38" t="n">
        <f aca="false">IF(NOT(AssignmentTable[[#This Row],[_Valid]]=1),0,IF(N(INDEX(tsk_LeafTotalCost,AssignmentTable[[#This Row],[_TaskPos]]))=0,0,N(INDEX(tsk_LeafAC,AssignmentTable[[#This Row],[_TaskPos]]))*AssignmentTable[[#This Row],[Cost]]/INDEX(tsk_LeafTotalCost,AssignmentTable[[#This Row],[_TaskPos]])))</f>
        <v>0</v>
      </c>
      <c r="S73" s="38" t="n">
        <f aca="false">IF(NOT(AssignmentTable[[#This Row],[_Valid]]=1),0,IF(N(INDEX(tsk_LateKey,AssignmentTable[[#This Row],[_TaskPos]]))&gt;0,1,0))</f>
        <v>0</v>
      </c>
      <c r="T73" s="38" t="n">
        <f aca="false">IF(NOT(AssignmentTable[[#This Row],[_Valid]]=1),0,IF(INDEX(tsk_Critical,AssignmentTable[[#This Row],[_TaskPos]])="Yes",1,0))</f>
        <v>0</v>
      </c>
      <c r="U7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4" customFormat="false" ht="15" hidden="false" customHeight="false" outlineLevel="0" collapsed="false">
      <c r="B74" s="52"/>
      <c r="C74" s="30" t="str">
        <f aca="false">IF(AssignmentTable[[#This Row],[_TaskPos]]&lt;=0,"",INDEX(tsk_Name,AssignmentTable[[#This Row],[_TaskPos]])&amp;"")</f>
        <v/>
      </c>
      <c r="D74" s="53"/>
      <c r="E74" s="95"/>
      <c r="F74" s="110" t="n">
        <f aca="false">IF(AssignmentTable[[#This Row],[_Valid]]=1,N(INDEX(tsk_Duration,AssignmentTable[[#This Row],[_TaskPos]]))*HoursPerDay*IF(AssignmentTable[[#This Row],[Units]]="",DefaultUnits,AssignmentTable[[#This Row],[Units]]),0)</f>
        <v>0</v>
      </c>
      <c r="G74" s="111" t="n">
        <f aca="false">IF(AssignmentTable[[#This Row],[Work]]=0,0,AssignmentTable[[#This Row],[Work]]*IFERROR(INDEX(res_Rate,MATCH(AssignmentTable[[#This Row],[Resource]],res_Name,0)),0))</f>
        <v>0</v>
      </c>
      <c r="H7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4" s="38" t="n">
        <f aca="false">IF(N(AssignmentTable[[#This Row],[Task UID]])=0,0,IFERROR(MATCH(AssignmentTable[[#This Row],[Task UID]],tsk_UID,0),-1))</f>
        <v>0</v>
      </c>
      <c r="J74" s="38" t="n">
        <f aca="false">IF(AND(AssignmentTable[[#This Row],[_TaskPos]]&gt;0,AssignmentTable[[#This Row],[Resource]]&lt;&gt;"",AssignmentTable[[#This Row],[Check]]=""),1,0)</f>
        <v>0</v>
      </c>
      <c r="K74" s="38" t="str">
        <f aca="false">IF(AssignmentTable[[#This Row],[_Valid]]=1,AssignmentTable[[#This Row],[Task UID]]*1000+COUNTIFS(AssignmentTable[[#Headers],[Task UID]]:AssignmentTable[[#This Row],[Task UID]],AssignmentTable[[#This Row],[Task UID]],AssignmentTable[[#Headers],[_Valid]]:AssignmentTable[[#This Row],[_Valid]],1),"")</f>
        <v/>
      </c>
      <c r="L74" s="38" t="str">
        <f aca="false">IF(AssignmentTable[[#This Row],[_Valid]]=1,AssignmentTable[[#This Row],[Resource]]&amp;IF(OR(AssignmentTable[[#This Row],[Units]]="",AssignmentTable[[#This Row],[Units]]=1),"","["&amp;ROUND(AssignmentTable[[#This Row],[Units]]*100,0)&amp;"%]"),"")</f>
        <v/>
      </c>
      <c r="M74" s="38" t="n">
        <f aca="false">IF(AssignmentTable[[#This Row],[_Valid]]=1,N(INDEX(tsk_StartWD,AssignmentTable[[#This Row],[_TaskPos]])),0)</f>
        <v>0</v>
      </c>
      <c r="N74" s="38" t="n">
        <f aca="false">IF(AssignmentTable[[#This Row],[_Valid]]=1,N(INDEX(tsk_FinishWD,AssignmentTable[[#This Row],[_TaskPos]])),0)</f>
        <v>0</v>
      </c>
      <c r="O74" s="38" t="n">
        <f aca="false">IF(OR(AssignmentTable[[#This Row],[Work]]=0,AssignmentTable[[#This Row],[_FinishWD]]=0),0,AssignmentTable[[#This Row],[Work]]/(AssignmentTable[[#This Row],[_FinishWD]]-AssignmentTable[[#This Row],[_StartWD]]+1))</f>
        <v>0</v>
      </c>
      <c r="P74" s="38" t="n">
        <f aca="false">AssignmentTable[[#This Row],[_WorkPerWD]]*MAX(0,AssignmentTable[[#This Row],[_StartWD]]-1)</f>
        <v>0</v>
      </c>
      <c r="Q74" s="38" t="n">
        <f aca="false">IF(AssignmentTable[[#This Row],[_Valid]]=1,AssignmentTable[[#This Row],[Work]]*N(INDEX(tsk_LeafProgress,AssignmentTable[[#This Row],[_TaskPos]])),0)</f>
        <v>0</v>
      </c>
      <c r="R74" s="38" t="n">
        <f aca="false">IF(NOT(AssignmentTable[[#This Row],[_Valid]]=1),0,IF(N(INDEX(tsk_LeafTotalCost,AssignmentTable[[#This Row],[_TaskPos]]))=0,0,N(INDEX(tsk_LeafAC,AssignmentTable[[#This Row],[_TaskPos]]))*AssignmentTable[[#This Row],[Cost]]/INDEX(tsk_LeafTotalCost,AssignmentTable[[#This Row],[_TaskPos]])))</f>
        <v>0</v>
      </c>
      <c r="S74" s="38" t="n">
        <f aca="false">IF(NOT(AssignmentTable[[#This Row],[_Valid]]=1),0,IF(N(INDEX(tsk_LateKey,AssignmentTable[[#This Row],[_TaskPos]]))&gt;0,1,0))</f>
        <v>0</v>
      </c>
      <c r="T74" s="38" t="n">
        <f aca="false">IF(NOT(AssignmentTable[[#This Row],[_Valid]]=1),0,IF(INDEX(tsk_Critical,AssignmentTable[[#This Row],[_TaskPos]])="Yes",1,0))</f>
        <v>0</v>
      </c>
      <c r="U7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5" customFormat="false" ht="15" hidden="false" customHeight="false" outlineLevel="0" collapsed="false">
      <c r="B75" s="52"/>
      <c r="C75" s="30" t="str">
        <f aca="false">IF(AssignmentTable[[#This Row],[_TaskPos]]&lt;=0,"",INDEX(tsk_Name,AssignmentTable[[#This Row],[_TaskPos]])&amp;"")</f>
        <v/>
      </c>
      <c r="D75" s="53"/>
      <c r="E75" s="95"/>
      <c r="F75" s="110" t="n">
        <f aca="false">IF(AssignmentTable[[#This Row],[_Valid]]=1,N(INDEX(tsk_Duration,AssignmentTable[[#This Row],[_TaskPos]]))*HoursPerDay*IF(AssignmentTable[[#This Row],[Units]]="",DefaultUnits,AssignmentTable[[#This Row],[Units]]),0)</f>
        <v>0</v>
      </c>
      <c r="G75" s="111" t="n">
        <f aca="false">IF(AssignmentTable[[#This Row],[Work]]=0,0,AssignmentTable[[#This Row],[Work]]*IFERROR(INDEX(res_Rate,MATCH(AssignmentTable[[#This Row],[Resource]],res_Name,0)),0))</f>
        <v>0</v>
      </c>
      <c r="H7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5" s="38" t="n">
        <f aca="false">IF(N(AssignmentTable[[#This Row],[Task UID]])=0,0,IFERROR(MATCH(AssignmentTable[[#This Row],[Task UID]],tsk_UID,0),-1))</f>
        <v>0</v>
      </c>
      <c r="J75" s="38" t="n">
        <f aca="false">IF(AND(AssignmentTable[[#This Row],[_TaskPos]]&gt;0,AssignmentTable[[#This Row],[Resource]]&lt;&gt;"",AssignmentTable[[#This Row],[Check]]=""),1,0)</f>
        <v>0</v>
      </c>
      <c r="K75" s="38" t="str">
        <f aca="false">IF(AssignmentTable[[#This Row],[_Valid]]=1,AssignmentTable[[#This Row],[Task UID]]*1000+COUNTIFS(AssignmentTable[[#Headers],[Task UID]]:AssignmentTable[[#This Row],[Task UID]],AssignmentTable[[#This Row],[Task UID]],AssignmentTable[[#Headers],[_Valid]]:AssignmentTable[[#This Row],[_Valid]],1),"")</f>
        <v/>
      </c>
      <c r="L75" s="38" t="str">
        <f aca="false">IF(AssignmentTable[[#This Row],[_Valid]]=1,AssignmentTable[[#This Row],[Resource]]&amp;IF(OR(AssignmentTable[[#This Row],[Units]]="",AssignmentTable[[#This Row],[Units]]=1),"","["&amp;ROUND(AssignmentTable[[#This Row],[Units]]*100,0)&amp;"%]"),"")</f>
        <v/>
      </c>
      <c r="M75" s="38" t="n">
        <f aca="false">IF(AssignmentTable[[#This Row],[_Valid]]=1,N(INDEX(tsk_StartWD,AssignmentTable[[#This Row],[_TaskPos]])),0)</f>
        <v>0</v>
      </c>
      <c r="N75" s="38" t="n">
        <f aca="false">IF(AssignmentTable[[#This Row],[_Valid]]=1,N(INDEX(tsk_FinishWD,AssignmentTable[[#This Row],[_TaskPos]])),0)</f>
        <v>0</v>
      </c>
      <c r="O75" s="38" t="n">
        <f aca="false">IF(OR(AssignmentTable[[#This Row],[Work]]=0,AssignmentTable[[#This Row],[_FinishWD]]=0),0,AssignmentTable[[#This Row],[Work]]/(AssignmentTable[[#This Row],[_FinishWD]]-AssignmentTable[[#This Row],[_StartWD]]+1))</f>
        <v>0</v>
      </c>
      <c r="P75" s="38" t="n">
        <f aca="false">AssignmentTable[[#This Row],[_WorkPerWD]]*MAX(0,AssignmentTable[[#This Row],[_StartWD]]-1)</f>
        <v>0</v>
      </c>
      <c r="Q75" s="38" t="n">
        <f aca="false">IF(AssignmentTable[[#This Row],[_Valid]]=1,AssignmentTable[[#This Row],[Work]]*N(INDEX(tsk_LeafProgress,AssignmentTable[[#This Row],[_TaskPos]])),0)</f>
        <v>0</v>
      </c>
      <c r="R75" s="38" t="n">
        <f aca="false">IF(NOT(AssignmentTable[[#This Row],[_Valid]]=1),0,IF(N(INDEX(tsk_LeafTotalCost,AssignmentTable[[#This Row],[_TaskPos]]))=0,0,N(INDEX(tsk_LeafAC,AssignmentTable[[#This Row],[_TaskPos]]))*AssignmentTable[[#This Row],[Cost]]/INDEX(tsk_LeafTotalCost,AssignmentTable[[#This Row],[_TaskPos]])))</f>
        <v>0</v>
      </c>
      <c r="S75" s="38" t="n">
        <f aca="false">IF(NOT(AssignmentTable[[#This Row],[_Valid]]=1),0,IF(N(INDEX(tsk_LateKey,AssignmentTable[[#This Row],[_TaskPos]]))&gt;0,1,0))</f>
        <v>0</v>
      </c>
      <c r="T75" s="38" t="n">
        <f aca="false">IF(NOT(AssignmentTable[[#This Row],[_Valid]]=1),0,IF(INDEX(tsk_Critical,AssignmentTable[[#This Row],[_TaskPos]])="Yes",1,0))</f>
        <v>0</v>
      </c>
      <c r="U7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6" customFormat="false" ht="15" hidden="false" customHeight="false" outlineLevel="0" collapsed="false">
      <c r="B76" s="52"/>
      <c r="C76" s="30" t="str">
        <f aca="false">IF(AssignmentTable[[#This Row],[_TaskPos]]&lt;=0,"",INDEX(tsk_Name,AssignmentTable[[#This Row],[_TaskPos]])&amp;"")</f>
        <v/>
      </c>
      <c r="D76" s="53"/>
      <c r="E76" s="95"/>
      <c r="F76" s="110" t="n">
        <f aca="false">IF(AssignmentTable[[#This Row],[_Valid]]=1,N(INDEX(tsk_Duration,AssignmentTable[[#This Row],[_TaskPos]]))*HoursPerDay*IF(AssignmentTable[[#This Row],[Units]]="",DefaultUnits,AssignmentTable[[#This Row],[Units]]),0)</f>
        <v>0</v>
      </c>
      <c r="G76" s="111" t="n">
        <f aca="false">IF(AssignmentTable[[#This Row],[Work]]=0,0,AssignmentTable[[#This Row],[Work]]*IFERROR(INDEX(res_Rate,MATCH(AssignmentTable[[#This Row],[Resource]],res_Name,0)),0))</f>
        <v>0</v>
      </c>
      <c r="H7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6" s="38" t="n">
        <f aca="false">IF(N(AssignmentTable[[#This Row],[Task UID]])=0,0,IFERROR(MATCH(AssignmentTable[[#This Row],[Task UID]],tsk_UID,0),-1))</f>
        <v>0</v>
      </c>
      <c r="J76" s="38" t="n">
        <f aca="false">IF(AND(AssignmentTable[[#This Row],[_TaskPos]]&gt;0,AssignmentTable[[#This Row],[Resource]]&lt;&gt;"",AssignmentTable[[#This Row],[Check]]=""),1,0)</f>
        <v>0</v>
      </c>
      <c r="K76" s="38" t="str">
        <f aca="false">IF(AssignmentTable[[#This Row],[_Valid]]=1,AssignmentTable[[#This Row],[Task UID]]*1000+COUNTIFS(AssignmentTable[[#Headers],[Task UID]]:AssignmentTable[[#This Row],[Task UID]],AssignmentTable[[#This Row],[Task UID]],AssignmentTable[[#Headers],[_Valid]]:AssignmentTable[[#This Row],[_Valid]],1),"")</f>
        <v/>
      </c>
      <c r="L76" s="38" t="str">
        <f aca="false">IF(AssignmentTable[[#This Row],[_Valid]]=1,AssignmentTable[[#This Row],[Resource]]&amp;IF(OR(AssignmentTable[[#This Row],[Units]]="",AssignmentTable[[#This Row],[Units]]=1),"","["&amp;ROUND(AssignmentTable[[#This Row],[Units]]*100,0)&amp;"%]"),"")</f>
        <v/>
      </c>
      <c r="M76" s="38" t="n">
        <f aca="false">IF(AssignmentTable[[#This Row],[_Valid]]=1,N(INDEX(tsk_StartWD,AssignmentTable[[#This Row],[_TaskPos]])),0)</f>
        <v>0</v>
      </c>
      <c r="N76" s="38" t="n">
        <f aca="false">IF(AssignmentTable[[#This Row],[_Valid]]=1,N(INDEX(tsk_FinishWD,AssignmentTable[[#This Row],[_TaskPos]])),0)</f>
        <v>0</v>
      </c>
      <c r="O76" s="38" t="n">
        <f aca="false">IF(OR(AssignmentTable[[#This Row],[Work]]=0,AssignmentTable[[#This Row],[_FinishWD]]=0),0,AssignmentTable[[#This Row],[Work]]/(AssignmentTable[[#This Row],[_FinishWD]]-AssignmentTable[[#This Row],[_StartWD]]+1))</f>
        <v>0</v>
      </c>
      <c r="P76" s="38" t="n">
        <f aca="false">AssignmentTable[[#This Row],[_WorkPerWD]]*MAX(0,AssignmentTable[[#This Row],[_StartWD]]-1)</f>
        <v>0</v>
      </c>
      <c r="Q76" s="38" t="n">
        <f aca="false">IF(AssignmentTable[[#This Row],[_Valid]]=1,AssignmentTable[[#This Row],[Work]]*N(INDEX(tsk_LeafProgress,AssignmentTable[[#This Row],[_TaskPos]])),0)</f>
        <v>0</v>
      </c>
      <c r="R76" s="38" t="n">
        <f aca="false">IF(NOT(AssignmentTable[[#This Row],[_Valid]]=1),0,IF(N(INDEX(tsk_LeafTotalCost,AssignmentTable[[#This Row],[_TaskPos]]))=0,0,N(INDEX(tsk_LeafAC,AssignmentTable[[#This Row],[_TaskPos]]))*AssignmentTable[[#This Row],[Cost]]/INDEX(tsk_LeafTotalCost,AssignmentTable[[#This Row],[_TaskPos]])))</f>
        <v>0</v>
      </c>
      <c r="S76" s="38" t="n">
        <f aca="false">IF(NOT(AssignmentTable[[#This Row],[_Valid]]=1),0,IF(N(INDEX(tsk_LateKey,AssignmentTable[[#This Row],[_TaskPos]]))&gt;0,1,0))</f>
        <v>0</v>
      </c>
      <c r="T76" s="38" t="n">
        <f aca="false">IF(NOT(AssignmentTable[[#This Row],[_Valid]]=1),0,IF(INDEX(tsk_Critical,AssignmentTable[[#This Row],[_TaskPos]])="Yes",1,0))</f>
        <v>0</v>
      </c>
      <c r="U7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7" customFormat="false" ht="15" hidden="false" customHeight="false" outlineLevel="0" collapsed="false">
      <c r="B77" s="52"/>
      <c r="C77" s="30" t="str">
        <f aca="false">IF(AssignmentTable[[#This Row],[_TaskPos]]&lt;=0,"",INDEX(tsk_Name,AssignmentTable[[#This Row],[_TaskPos]])&amp;"")</f>
        <v/>
      </c>
      <c r="D77" s="53"/>
      <c r="E77" s="95"/>
      <c r="F77" s="110" t="n">
        <f aca="false">IF(AssignmentTable[[#This Row],[_Valid]]=1,N(INDEX(tsk_Duration,AssignmentTable[[#This Row],[_TaskPos]]))*HoursPerDay*IF(AssignmentTable[[#This Row],[Units]]="",DefaultUnits,AssignmentTable[[#This Row],[Units]]),0)</f>
        <v>0</v>
      </c>
      <c r="G77" s="111" t="n">
        <f aca="false">IF(AssignmentTable[[#This Row],[Work]]=0,0,AssignmentTable[[#This Row],[Work]]*IFERROR(INDEX(res_Rate,MATCH(AssignmentTable[[#This Row],[Resource]],res_Name,0)),0))</f>
        <v>0</v>
      </c>
      <c r="H7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7" s="38" t="n">
        <f aca="false">IF(N(AssignmentTable[[#This Row],[Task UID]])=0,0,IFERROR(MATCH(AssignmentTable[[#This Row],[Task UID]],tsk_UID,0),-1))</f>
        <v>0</v>
      </c>
      <c r="J77" s="38" t="n">
        <f aca="false">IF(AND(AssignmentTable[[#This Row],[_TaskPos]]&gt;0,AssignmentTable[[#This Row],[Resource]]&lt;&gt;"",AssignmentTable[[#This Row],[Check]]=""),1,0)</f>
        <v>0</v>
      </c>
      <c r="K77" s="38" t="str">
        <f aca="false">IF(AssignmentTable[[#This Row],[_Valid]]=1,AssignmentTable[[#This Row],[Task UID]]*1000+COUNTIFS(AssignmentTable[[#Headers],[Task UID]]:AssignmentTable[[#This Row],[Task UID]],AssignmentTable[[#This Row],[Task UID]],AssignmentTable[[#Headers],[_Valid]]:AssignmentTable[[#This Row],[_Valid]],1),"")</f>
        <v/>
      </c>
      <c r="L77" s="38" t="str">
        <f aca="false">IF(AssignmentTable[[#This Row],[_Valid]]=1,AssignmentTable[[#This Row],[Resource]]&amp;IF(OR(AssignmentTable[[#This Row],[Units]]="",AssignmentTable[[#This Row],[Units]]=1),"","["&amp;ROUND(AssignmentTable[[#This Row],[Units]]*100,0)&amp;"%]"),"")</f>
        <v/>
      </c>
      <c r="M77" s="38" t="n">
        <f aca="false">IF(AssignmentTable[[#This Row],[_Valid]]=1,N(INDEX(tsk_StartWD,AssignmentTable[[#This Row],[_TaskPos]])),0)</f>
        <v>0</v>
      </c>
      <c r="N77" s="38" t="n">
        <f aca="false">IF(AssignmentTable[[#This Row],[_Valid]]=1,N(INDEX(tsk_FinishWD,AssignmentTable[[#This Row],[_TaskPos]])),0)</f>
        <v>0</v>
      </c>
      <c r="O77" s="38" t="n">
        <f aca="false">IF(OR(AssignmentTable[[#This Row],[Work]]=0,AssignmentTable[[#This Row],[_FinishWD]]=0),0,AssignmentTable[[#This Row],[Work]]/(AssignmentTable[[#This Row],[_FinishWD]]-AssignmentTable[[#This Row],[_StartWD]]+1))</f>
        <v>0</v>
      </c>
      <c r="P77" s="38" t="n">
        <f aca="false">AssignmentTable[[#This Row],[_WorkPerWD]]*MAX(0,AssignmentTable[[#This Row],[_StartWD]]-1)</f>
        <v>0</v>
      </c>
      <c r="Q77" s="38" t="n">
        <f aca="false">IF(AssignmentTable[[#This Row],[_Valid]]=1,AssignmentTable[[#This Row],[Work]]*N(INDEX(tsk_LeafProgress,AssignmentTable[[#This Row],[_TaskPos]])),0)</f>
        <v>0</v>
      </c>
      <c r="R77" s="38" t="n">
        <f aca="false">IF(NOT(AssignmentTable[[#This Row],[_Valid]]=1),0,IF(N(INDEX(tsk_LeafTotalCost,AssignmentTable[[#This Row],[_TaskPos]]))=0,0,N(INDEX(tsk_LeafAC,AssignmentTable[[#This Row],[_TaskPos]]))*AssignmentTable[[#This Row],[Cost]]/INDEX(tsk_LeafTotalCost,AssignmentTable[[#This Row],[_TaskPos]])))</f>
        <v>0</v>
      </c>
      <c r="S77" s="38" t="n">
        <f aca="false">IF(NOT(AssignmentTable[[#This Row],[_Valid]]=1),0,IF(N(INDEX(tsk_LateKey,AssignmentTable[[#This Row],[_TaskPos]]))&gt;0,1,0))</f>
        <v>0</v>
      </c>
      <c r="T77" s="38" t="n">
        <f aca="false">IF(NOT(AssignmentTable[[#This Row],[_Valid]]=1),0,IF(INDEX(tsk_Critical,AssignmentTable[[#This Row],[_TaskPos]])="Yes",1,0))</f>
        <v>0</v>
      </c>
      <c r="U7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8" customFormat="false" ht="15" hidden="false" customHeight="false" outlineLevel="0" collapsed="false">
      <c r="B78" s="52"/>
      <c r="C78" s="30" t="str">
        <f aca="false">IF(AssignmentTable[[#This Row],[_TaskPos]]&lt;=0,"",INDEX(tsk_Name,AssignmentTable[[#This Row],[_TaskPos]])&amp;"")</f>
        <v/>
      </c>
      <c r="D78" s="53"/>
      <c r="E78" s="95"/>
      <c r="F78" s="110" t="n">
        <f aca="false">IF(AssignmentTable[[#This Row],[_Valid]]=1,N(INDEX(tsk_Duration,AssignmentTable[[#This Row],[_TaskPos]]))*HoursPerDay*IF(AssignmentTable[[#This Row],[Units]]="",DefaultUnits,AssignmentTable[[#This Row],[Units]]),0)</f>
        <v>0</v>
      </c>
      <c r="G78" s="111" t="n">
        <f aca="false">IF(AssignmentTable[[#This Row],[Work]]=0,0,AssignmentTable[[#This Row],[Work]]*IFERROR(INDEX(res_Rate,MATCH(AssignmentTable[[#This Row],[Resource]],res_Name,0)),0))</f>
        <v>0</v>
      </c>
      <c r="H7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8" s="38" t="n">
        <f aca="false">IF(N(AssignmentTable[[#This Row],[Task UID]])=0,0,IFERROR(MATCH(AssignmentTable[[#This Row],[Task UID]],tsk_UID,0),-1))</f>
        <v>0</v>
      </c>
      <c r="J78" s="38" t="n">
        <f aca="false">IF(AND(AssignmentTable[[#This Row],[_TaskPos]]&gt;0,AssignmentTable[[#This Row],[Resource]]&lt;&gt;"",AssignmentTable[[#This Row],[Check]]=""),1,0)</f>
        <v>0</v>
      </c>
      <c r="K78" s="38" t="str">
        <f aca="false">IF(AssignmentTable[[#This Row],[_Valid]]=1,AssignmentTable[[#This Row],[Task UID]]*1000+COUNTIFS(AssignmentTable[[#Headers],[Task UID]]:AssignmentTable[[#This Row],[Task UID]],AssignmentTable[[#This Row],[Task UID]],AssignmentTable[[#Headers],[_Valid]]:AssignmentTable[[#This Row],[_Valid]],1),"")</f>
        <v/>
      </c>
      <c r="L78" s="38" t="str">
        <f aca="false">IF(AssignmentTable[[#This Row],[_Valid]]=1,AssignmentTable[[#This Row],[Resource]]&amp;IF(OR(AssignmentTable[[#This Row],[Units]]="",AssignmentTable[[#This Row],[Units]]=1),"","["&amp;ROUND(AssignmentTable[[#This Row],[Units]]*100,0)&amp;"%]"),"")</f>
        <v/>
      </c>
      <c r="M78" s="38" t="n">
        <f aca="false">IF(AssignmentTable[[#This Row],[_Valid]]=1,N(INDEX(tsk_StartWD,AssignmentTable[[#This Row],[_TaskPos]])),0)</f>
        <v>0</v>
      </c>
      <c r="N78" s="38" t="n">
        <f aca="false">IF(AssignmentTable[[#This Row],[_Valid]]=1,N(INDEX(tsk_FinishWD,AssignmentTable[[#This Row],[_TaskPos]])),0)</f>
        <v>0</v>
      </c>
      <c r="O78" s="38" t="n">
        <f aca="false">IF(OR(AssignmentTable[[#This Row],[Work]]=0,AssignmentTable[[#This Row],[_FinishWD]]=0),0,AssignmentTable[[#This Row],[Work]]/(AssignmentTable[[#This Row],[_FinishWD]]-AssignmentTable[[#This Row],[_StartWD]]+1))</f>
        <v>0</v>
      </c>
      <c r="P78" s="38" t="n">
        <f aca="false">AssignmentTable[[#This Row],[_WorkPerWD]]*MAX(0,AssignmentTable[[#This Row],[_StartWD]]-1)</f>
        <v>0</v>
      </c>
      <c r="Q78" s="38" t="n">
        <f aca="false">IF(AssignmentTable[[#This Row],[_Valid]]=1,AssignmentTable[[#This Row],[Work]]*N(INDEX(tsk_LeafProgress,AssignmentTable[[#This Row],[_TaskPos]])),0)</f>
        <v>0</v>
      </c>
      <c r="R78" s="38" t="n">
        <f aca="false">IF(NOT(AssignmentTable[[#This Row],[_Valid]]=1),0,IF(N(INDEX(tsk_LeafTotalCost,AssignmentTable[[#This Row],[_TaskPos]]))=0,0,N(INDEX(tsk_LeafAC,AssignmentTable[[#This Row],[_TaskPos]]))*AssignmentTable[[#This Row],[Cost]]/INDEX(tsk_LeafTotalCost,AssignmentTable[[#This Row],[_TaskPos]])))</f>
        <v>0</v>
      </c>
      <c r="S78" s="38" t="n">
        <f aca="false">IF(NOT(AssignmentTable[[#This Row],[_Valid]]=1),0,IF(N(INDEX(tsk_LateKey,AssignmentTable[[#This Row],[_TaskPos]]))&gt;0,1,0))</f>
        <v>0</v>
      </c>
      <c r="T78" s="38" t="n">
        <f aca="false">IF(NOT(AssignmentTable[[#This Row],[_Valid]]=1),0,IF(INDEX(tsk_Critical,AssignmentTable[[#This Row],[_TaskPos]])="Yes",1,0))</f>
        <v>0</v>
      </c>
      <c r="U7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9" customFormat="false" ht="15" hidden="false" customHeight="false" outlineLevel="0" collapsed="false">
      <c r="B79" s="52"/>
      <c r="C79" s="30" t="str">
        <f aca="false">IF(AssignmentTable[[#This Row],[_TaskPos]]&lt;=0,"",INDEX(tsk_Name,AssignmentTable[[#This Row],[_TaskPos]])&amp;"")</f>
        <v/>
      </c>
      <c r="D79" s="53"/>
      <c r="E79" s="95"/>
      <c r="F79" s="110" t="n">
        <f aca="false">IF(AssignmentTable[[#This Row],[_Valid]]=1,N(INDEX(tsk_Duration,AssignmentTable[[#This Row],[_TaskPos]]))*HoursPerDay*IF(AssignmentTable[[#This Row],[Units]]="",DefaultUnits,AssignmentTable[[#This Row],[Units]]),0)</f>
        <v>0</v>
      </c>
      <c r="G79" s="111" t="n">
        <f aca="false">IF(AssignmentTable[[#This Row],[Work]]=0,0,AssignmentTable[[#This Row],[Work]]*IFERROR(INDEX(res_Rate,MATCH(AssignmentTable[[#This Row],[Resource]],res_Name,0)),0))</f>
        <v>0</v>
      </c>
      <c r="H7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9" s="38" t="n">
        <f aca="false">IF(N(AssignmentTable[[#This Row],[Task UID]])=0,0,IFERROR(MATCH(AssignmentTable[[#This Row],[Task UID]],tsk_UID,0),-1))</f>
        <v>0</v>
      </c>
      <c r="J79" s="38" t="n">
        <f aca="false">IF(AND(AssignmentTable[[#This Row],[_TaskPos]]&gt;0,AssignmentTable[[#This Row],[Resource]]&lt;&gt;"",AssignmentTable[[#This Row],[Check]]=""),1,0)</f>
        <v>0</v>
      </c>
      <c r="K79" s="38" t="str">
        <f aca="false">IF(AssignmentTable[[#This Row],[_Valid]]=1,AssignmentTable[[#This Row],[Task UID]]*1000+COUNTIFS(AssignmentTable[[#Headers],[Task UID]]:AssignmentTable[[#This Row],[Task UID]],AssignmentTable[[#This Row],[Task UID]],AssignmentTable[[#Headers],[_Valid]]:AssignmentTable[[#This Row],[_Valid]],1),"")</f>
        <v/>
      </c>
      <c r="L79" s="38" t="str">
        <f aca="false">IF(AssignmentTable[[#This Row],[_Valid]]=1,AssignmentTable[[#This Row],[Resource]]&amp;IF(OR(AssignmentTable[[#This Row],[Units]]="",AssignmentTable[[#This Row],[Units]]=1),"","["&amp;ROUND(AssignmentTable[[#This Row],[Units]]*100,0)&amp;"%]"),"")</f>
        <v/>
      </c>
      <c r="M79" s="38" t="n">
        <f aca="false">IF(AssignmentTable[[#This Row],[_Valid]]=1,N(INDEX(tsk_StartWD,AssignmentTable[[#This Row],[_TaskPos]])),0)</f>
        <v>0</v>
      </c>
      <c r="N79" s="38" t="n">
        <f aca="false">IF(AssignmentTable[[#This Row],[_Valid]]=1,N(INDEX(tsk_FinishWD,AssignmentTable[[#This Row],[_TaskPos]])),0)</f>
        <v>0</v>
      </c>
      <c r="O79" s="38" t="n">
        <f aca="false">IF(OR(AssignmentTable[[#This Row],[Work]]=0,AssignmentTable[[#This Row],[_FinishWD]]=0),0,AssignmentTable[[#This Row],[Work]]/(AssignmentTable[[#This Row],[_FinishWD]]-AssignmentTable[[#This Row],[_StartWD]]+1))</f>
        <v>0</v>
      </c>
      <c r="P79" s="38" t="n">
        <f aca="false">AssignmentTable[[#This Row],[_WorkPerWD]]*MAX(0,AssignmentTable[[#This Row],[_StartWD]]-1)</f>
        <v>0</v>
      </c>
      <c r="Q79" s="38" t="n">
        <f aca="false">IF(AssignmentTable[[#This Row],[_Valid]]=1,AssignmentTable[[#This Row],[Work]]*N(INDEX(tsk_LeafProgress,AssignmentTable[[#This Row],[_TaskPos]])),0)</f>
        <v>0</v>
      </c>
      <c r="R79" s="38" t="n">
        <f aca="false">IF(NOT(AssignmentTable[[#This Row],[_Valid]]=1),0,IF(N(INDEX(tsk_LeafTotalCost,AssignmentTable[[#This Row],[_TaskPos]]))=0,0,N(INDEX(tsk_LeafAC,AssignmentTable[[#This Row],[_TaskPos]]))*AssignmentTable[[#This Row],[Cost]]/INDEX(tsk_LeafTotalCost,AssignmentTable[[#This Row],[_TaskPos]])))</f>
        <v>0</v>
      </c>
      <c r="S79" s="38" t="n">
        <f aca="false">IF(NOT(AssignmentTable[[#This Row],[_Valid]]=1),0,IF(N(INDEX(tsk_LateKey,AssignmentTable[[#This Row],[_TaskPos]]))&gt;0,1,0))</f>
        <v>0</v>
      </c>
      <c r="T79" s="38" t="n">
        <f aca="false">IF(NOT(AssignmentTable[[#This Row],[_Valid]]=1),0,IF(INDEX(tsk_Critical,AssignmentTable[[#This Row],[_TaskPos]])="Yes",1,0))</f>
        <v>0</v>
      </c>
      <c r="U7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0" customFormat="false" ht="15" hidden="false" customHeight="false" outlineLevel="0" collapsed="false">
      <c r="B80" s="52"/>
      <c r="C80" s="30" t="str">
        <f aca="false">IF(AssignmentTable[[#This Row],[_TaskPos]]&lt;=0,"",INDEX(tsk_Name,AssignmentTable[[#This Row],[_TaskPos]])&amp;"")</f>
        <v/>
      </c>
      <c r="D80" s="53"/>
      <c r="E80" s="95"/>
      <c r="F80" s="110" t="n">
        <f aca="false">IF(AssignmentTable[[#This Row],[_Valid]]=1,N(INDEX(tsk_Duration,AssignmentTable[[#This Row],[_TaskPos]]))*HoursPerDay*IF(AssignmentTable[[#This Row],[Units]]="",DefaultUnits,AssignmentTable[[#This Row],[Units]]),0)</f>
        <v>0</v>
      </c>
      <c r="G80" s="111" t="n">
        <f aca="false">IF(AssignmentTable[[#This Row],[Work]]=0,0,AssignmentTable[[#This Row],[Work]]*IFERROR(INDEX(res_Rate,MATCH(AssignmentTable[[#This Row],[Resource]],res_Name,0)),0))</f>
        <v>0</v>
      </c>
      <c r="H8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0" s="38" t="n">
        <f aca="false">IF(N(AssignmentTable[[#This Row],[Task UID]])=0,0,IFERROR(MATCH(AssignmentTable[[#This Row],[Task UID]],tsk_UID,0),-1))</f>
        <v>0</v>
      </c>
      <c r="J80" s="38" t="n">
        <f aca="false">IF(AND(AssignmentTable[[#This Row],[_TaskPos]]&gt;0,AssignmentTable[[#This Row],[Resource]]&lt;&gt;"",AssignmentTable[[#This Row],[Check]]=""),1,0)</f>
        <v>0</v>
      </c>
      <c r="K80" s="38" t="str">
        <f aca="false">IF(AssignmentTable[[#This Row],[_Valid]]=1,AssignmentTable[[#This Row],[Task UID]]*1000+COUNTIFS(AssignmentTable[[#Headers],[Task UID]]:AssignmentTable[[#This Row],[Task UID]],AssignmentTable[[#This Row],[Task UID]],AssignmentTable[[#Headers],[_Valid]]:AssignmentTable[[#This Row],[_Valid]],1),"")</f>
        <v/>
      </c>
      <c r="L80" s="38" t="str">
        <f aca="false">IF(AssignmentTable[[#This Row],[_Valid]]=1,AssignmentTable[[#This Row],[Resource]]&amp;IF(OR(AssignmentTable[[#This Row],[Units]]="",AssignmentTable[[#This Row],[Units]]=1),"","["&amp;ROUND(AssignmentTable[[#This Row],[Units]]*100,0)&amp;"%]"),"")</f>
        <v/>
      </c>
      <c r="M80" s="38" t="n">
        <f aca="false">IF(AssignmentTable[[#This Row],[_Valid]]=1,N(INDEX(tsk_StartWD,AssignmentTable[[#This Row],[_TaskPos]])),0)</f>
        <v>0</v>
      </c>
      <c r="N80" s="38" t="n">
        <f aca="false">IF(AssignmentTable[[#This Row],[_Valid]]=1,N(INDEX(tsk_FinishWD,AssignmentTable[[#This Row],[_TaskPos]])),0)</f>
        <v>0</v>
      </c>
      <c r="O80" s="38" t="n">
        <f aca="false">IF(OR(AssignmentTable[[#This Row],[Work]]=0,AssignmentTable[[#This Row],[_FinishWD]]=0),0,AssignmentTable[[#This Row],[Work]]/(AssignmentTable[[#This Row],[_FinishWD]]-AssignmentTable[[#This Row],[_StartWD]]+1))</f>
        <v>0</v>
      </c>
      <c r="P80" s="38" t="n">
        <f aca="false">AssignmentTable[[#This Row],[_WorkPerWD]]*MAX(0,AssignmentTable[[#This Row],[_StartWD]]-1)</f>
        <v>0</v>
      </c>
      <c r="Q80" s="38" t="n">
        <f aca="false">IF(AssignmentTable[[#This Row],[_Valid]]=1,AssignmentTable[[#This Row],[Work]]*N(INDEX(tsk_LeafProgress,AssignmentTable[[#This Row],[_TaskPos]])),0)</f>
        <v>0</v>
      </c>
      <c r="R80" s="38" t="n">
        <f aca="false">IF(NOT(AssignmentTable[[#This Row],[_Valid]]=1),0,IF(N(INDEX(tsk_LeafTotalCost,AssignmentTable[[#This Row],[_TaskPos]]))=0,0,N(INDEX(tsk_LeafAC,AssignmentTable[[#This Row],[_TaskPos]]))*AssignmentTable[[#This Row],[Cost]]/INDEX(tsk_LeafTotalCost,AssignmentTable[[#This Row],[_TaskPos]])))</f>
        <v>0</v>
      </c>
      <c r="S80" s="38" t="n">
        <f aca="false">IF(NOT(AssignmentTable[[#This Row],[_Valid]]=1),0,IF(N(INDEX(tsk_LateKey,AssignmentTable[[#This Row],[_TaskPos]]))&gt;0,1,0))</f>
        <v>0</v>
      </c>
      <c r="T80" s="38" t="n">
        <f aca="false">IF(NOT(AssignmentTable[[#This Row],[_Valid]]=1),0,IF(INDEX(tsk_Critical,AssignmentTable[[#This Row],[_TaskPos]])="Yes",1,0))</f>
        <v>0</v>
      </c>
      <c r="U8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1" customFormat="false" ht="15" hidden="false" customHeight="false" outlineLevel="0" collapsed="false">
      <c r="B81" s="52"/>
      <c r="C81" s="30" t="str">
        <f aca="false">IF(AssignmentTable[[#This Row],[_TaskPos]]&lt;=0,"",INDEX(tsk_Name,AssignmentTable[[#This Row],[_TaskPos]])&amp;"")</f>
        <v/>
      </c>
      <c r="D81" s="53"/>
      <c r="E81" s="95"/>
      <c r="F81" s="110" t="n">
        <f aca="false">IF(AssignmentTable[[#This Row],[_Valid]]=1,N(INDEX(tsk_Duration,AssignmentTable[[#This Row],[_TaskPos]]))*HoursPerDay*IF(AssignmentTable[[#This Row],[Units]]="",DefaultUnits,AssignmentTable[[#This Row],[Units]]),0)</f>
        <v>0</v>
      </c>
      <c r="G81" s="111" t="n">
        <f aca="false">IF(AssignmentTable[[#This Row],[Work]]=0,0,AssignmentTable[[#This Row],[Work]]*IFERROR(INDEX(res_Rate,MATCH(AssignmentTable[[#This Row],[Resource]],res_Name,0)),0))</f>
        <v>0</v>
      </c>
      <c r="H8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1" s="38" t="n">
        <f aca="false">IF(N(AssignmentTable[[#This Row],[Task UID]])=0,0,IFERROR(MATCH(AssignmentTable[[#This Row],[Task UID]],tsk_UID,0),-1))</f>
        <v>0</v>
      </c>
      <c r="J81" s="38" t="n">
        <f aca="false">IF(AND(AssignmentTable[[#This Row],[_TaskPos]]&gt;0,AssignmentTable[[#This Row],[Resource]]&lt;&gt;"",AssignmentTable[[#This Row],[Check]]=""),1,0)</f>
        <v>0</v>
      </c>
      <c r="K81" s="38" t="str">
        <f aca="false">IF(AssignmentTable[[#This Row],[_Valid]]=1,AssignmentTable[[#This Row],[Task UID]]*1000+COUNTIFS(AssignmentTable[[#Headers],[Task UID]]:AssignmentTable[[#This Row],[Task UID]],AssignmentTable[[#This Row],[Task UID]],AssignmentTable[[#Headers],[_Valid]]:AssignmentTable[[#This Row],[_Valid]],1),"")</f>
        <v/>
      </c>
      <c r="L81" s="38" t="str">
        <f aca="false">IF(AssignmentTable[[#This Row],[_Valid]]=1,AssignmentTable[[#This Row],[Resource]]&amp;IF(OR(AssignmentTable[[#This Row],[Units]]="",AssignmentTable[[#This Row],[Units]]=1),"","["&amp;ROUND(AssignmentTable[[#This Row],[Units]]*100,0)&amp;"%]"),"")</f>
        <v/>
      </c>
      <c r="M81" s="38" t="n">
        <f aca="false">IF(AssignmentTable[[#This Row],[_Valid]]=1,N(INDEX(tsk_StartWD,AssignmentTable[[#This Row],[_TaskPos]])),0)</f>
        <v>0</v>
      </c>
      <c r="N81" s="38" t="n">
        <f aca="false">IF(AssignmentTable[[#This Row],[_Valid]]=1,N(INDEX(tsk_FinishWD,AssignmentTable[[#This Row],[_TaskPos]])),0)</f>
        <v>0</v>
      </c>
      <c r="O81" s="38" t="n">
        <f aca="false">IF(OR(AssignmentTable[[#This Row],[Work]]=0,AssignmentTable[[#This Row],[_FinishWD]]=0),0,AssignmentTable[[#This Row],[Work]]/(AssignmentTable[[#This Row],[_FinishWD]]-AssignmentTable[[#This Row],[_StartWD]]+1))</f>
        <v>0</v>
      </c>
      <c r="P81" s="38" t="n">
        <f aca="false">AssignmentTable[[#This Row],[_WorkPerWD]]*MAX(0,AssignmentTable[[#This Row],[_StartWD]]-1)</f>
        <v>0</v>
      </c>
      <c r="Q81" s="38" t="n">
        <f aca="false">IF(AssignmentTable[[#This Row],[_Valid]]=1,AssignmentTable[[#This Row],[Work]]*N(INDEX(tsk_LeafProgress,AssignmentTable[[#This Row],[_TaskPos]])),0)</f>
        <v>0</v>
      </c>
      <c r="R81" s="38" t="n">
        <f aca="false">IF(NOT(AssignmentTable[[#This Row],[_Valid]]=1),0,IF(N(INDEX(tsk_LeafTotalCost,AssignmentTable[[#This Row],[_TaskPos]]))=0,0,N(INDEX(tsk_LeafAC,AssignmentTable[[#This Row],[_TaskPos]]))*AssignmentTable[[#This Row],[Cost]]/INDEX(tsk_LeafTotalCost,AssignmentTable[[#This Row],[_TaskPos]])))</f>
        <v>0</v>
      </c>
      <c r="S81" s="38" t="n">
        <f aca="false">IF(NOT(AssignmentTable[[#This Row],[_Valid]]=1),0,IF(N(INDEX(tsk_LateKey,AssignmentTable[[#This Row],[_TaskPos]]))&gt;0,1,0))</f>
        <v>0</v>
      </c>
      <c r="T81" s="38" t="n">
        <f aca="false">IF(NOT(AssignmentTable[[#This Row],[_Valid]]=1),0,IF(INDEX(tsk_Critical,AssignmentTable[[#This Row],[_TaskPos]])="Yes",1,0))</f>
        <v>0</v>
      </c>
      <c r="U8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2" customFormat="false" ht="15" hidden="false" customHeight="false" outlineLevel="0" collapsed="false">
      <c r="B82" s="52"/>
      <c r="C82" s="30" t="str">
        <f aca="false">IF(AssignmentTable[[#This Row],[_TaskPos]]&lt;=0,"",INDEX(tsk_Name,AssignmentTable[[#This Row],[_TaskPos]])&amp;"")</f>
        <v/>
      </c>
      <c r="D82" s="53"/>
      <c r="E82" s="95"/>
      <c r="F82" s="110" t="n">
        <f aca="false">IF(AssignmentTable[[#This Row],[_Valid]]=1,N(INDEX(tsk_Duration,AssignmentTable[[#This Row],[_TaskPos]]))*HoursPerDay*IF(AssignmentTable[[#This Row],[Units]]="",DefaultUnits,AssignmentTable[[#This Row],[Units]]),0)</f>
        <v>0</v>
      </c>
      <c r="G82" s="111" t="n">
        <f aca="false">IF(AssignmentTable[[#This Row],[Work]]=0,0,AssignmentTable[[#This Row],[Work]]*IFERROR(INDEX(res_Rate,MATCH(AssignmentTable[[#This Row],[Resource]],res_Name,0)),0))</f>
        <v>0</v>
      </c>
      <c r="H8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2" s="38" t="n">
        <f aca="false">IF(N(AssignmentTable[[#This Row],[Task UID]])=0,0,IFERROR(MATCH(AssignmentTable[[#This Row],[Task UID]],tsk_UID,0),-1))</f>
        <v>0</v>
      </c>
      <c r="J82" s="38" t="n">
        <f aca="false">IF(AND(AssignmentTable[[#This Row],[_TaskPos]]&gt;0,AssignmentTable[[#This Row],[Resource]]&lt;&gt;"",AssignmentTable[[#This Row],[Check]]=""),1,0)</f>
        <v>0</v>
      </c>
      <c r="K82" s="38" t="str">
        <f aca="false">IF(AssignmentTable[[#This Row],[_Valid]]=1,AssignmentTable[[#This Row],[Task UID]]*1000+COUNTIFS(AssignmentTable[[#Headers],[Task UID]]:AssignmentTable[[#This Row],[Task UID]],AssignmentTable[[#This Row],[Task UID]],AssignmentTable[[#Headers],[_Valid]]:AssignmentTable[[#This Row],[_Valid]],1),"")</f>
        <v/>
      </c>
      <c r="L82" s="38" t="str">
        <f aca="false">IF(AssignmentTable[[#This Row],[_Valid]]=1,AssignmentTable[[#This Row],[Resource]]&amp;IF(OR(AssignmentTable[[#This Row],[Units]]="",AssignmentTable[[#This Row],[Units]]=1),"","["&amp;ROUND(AssignmentTable[[#This Row],[Units]]*100,0)&amp;"%]"),"")</f>
        <v/>
      </c>
      <c r="M82" s="38" t="n">
        <f aca="false">IF(AssignmentTable[[#This Row],[_Valid]]=1,N(INDEX(tsk_StartWD,AssignmentTable[[#This Row],[_TaskPos]])),0)</f>
        <v>0</v>
      </c>
      <c r="N82" s="38" t="n">
        <f aca="false">IF(AssignmentTable[[#This Row],[_Valid]]=1,N(INDEX(tsk_FinishWD,AssignmentTable[[#This Row],[_TaskPos]])),0)</f>
        <v>0</v>
      </c>
      <c r="O82" s="38" t="n">
        <f aca="false">IF(OR(AssignmentTable[[#This Row],[Work]]=0,AssignmentTable[[#This Row],[_FinishWD]]=0),0,AssignmentTable[[#This Row],[Work]]/(AssignmentTable[[#This Row],[_FinishWD]]-AssignmentTable[[#This Row],[_StartWD]]+1))</f>
        <v>0</v>
      </c>
      <c r="P82" s="38" t="n">
        <f aca="false">AssignmentTable[[#This Row],[_WorkPerWD]]*MAX(0,AssignmentTable[[#This Row],[_StartWD]]-1)</f>
        <v>0</v>
      </c>
      <c r="Q82" s="38" t="n">
        <f aca="false">IF(AssignmentTable[[#This Row],[_Valid]]=1,AssignmentTable[[#This Row],[Work]]*N(INDEX(tsk_LeafProgress,AssignmentTable[[#This Row],[_TaskPos]])),0)</f>
        <v>0</v>
      </c>
      <c r="R82" s="38" t="n">
        <f aca="false">IF(NOT(AssignmentTable[[#This Row],[_Valid]]=1),0,IF(N(INDEX(tsk_LeafTotalCost,AssignmentTable[[#This Row],[_TaskPos]]))=0,0,N(INDEX(tsk_LeafAC,AssignmentTable[[#This Row],[_TaskPos]]))*AssignmentTable[[#This Row],[Cost]]/INDEX(tsk_LeafTotalCost,AssignmentTable[[#This Row],[_TaskPos]])))</f>
        <v>0</v>
      </c>
      <c r="S82" s="38" t="n">
        <f aca="false">IF(NOT(AssignmentTable[[#This Row],[_Valid]]=1),0,IF(N(INDEX(tsk_LateKey,AssignmentTable[[#This Row],[_TaskPos]]))&gt;0,1,0))</f>
        <v>0</v>
      </c>
      <c r="T82" s="38" t="n">
        <f aca="false">IF(NOT(AssignmentTable[[#This Row],[_Valid]]=1),0,IF(INDEX(tsk_Critical,AssignmentTable[[#This Row],[_TaskPos]])="Yes",1,0))</f>
        <v>0</v>
      </c>
      <c r="U8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3" customFormat="false" ht="15" hidden="false" customHeight="false" outlineLevel="0" collapsed="false">
      <c r="B83" s="52"/>
      <c r="C83" s="30" t="str">
        <f aca="false">IF(AssignmentTable[[#This Row],[_TaskPos]]&lt;=0,"",INDEX(tsk_Name,AssignmentTable[[#This Row],[_TaskPos]])&amp;"")</f>
        <v/>
      </c>
      <c r="D83" s="53"/>
      <c r="E83" s="95"/>
      <c r="F83" s="110" t="n">
        <f aca="false">IF(AssignmentTable[[#This Row],[_Valid]]=1,N(INDEX(tsk_Duration,AssignmentTable[[#This Row],[_TaskPos]]))*HoursPerDay*IF(AssignmentTable[[#This Row],[Units]]="",DefaultUnits,AssignmentTable[[#This Row],[Units]]),0)</f>
        <v>0</v>
      </c>
      <c r="G83" s="111" t="n">
        <f aca="false">IF(AssignmentTable[[#This Row],[Work]]=0,0,AssignmentTable[[#This Row],[Work]]*IFERROR(INDEX(res_Rate,MATCH(AssignmentTable[[#This Row],[Resource]],res_Name,0)),0))</f>
        <v>0</v>
      </c>
      <c r="H8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3" s="38" t="n">
        <f aca="false">IF(N(AssignmentTable[[#This Row],[Task UID]])=0,0,IFERROR(MATCH(AssignmentTable[[#This Row],[Task UID]],tsk_UID,0),-1))</f>
        <v>0</v>
      </c>
      <c r="J83" s="38" t="n">
        <f aca="false">IF(AND(AssignmentTable[[#This Row],[_TaskPos]]&gt;0,AssignmentTable[[#This Row],[Resource]]&lt;&gt;"",AssignmentTable[[#This Row],[Check]]=""),1,0)</f>
        <v>0</v>
      </c>
      <c r="K83" s="38" t="str">
        <f aca="false">IF(AssignmentTable[[#This Row],[_Valid]]=1,AssignmentTable[[#This Row],[Task UID]]*1000+COUNTIFS(AssignmentTable[[#Headers],[Task UID]]:AssignmentTable[[#This Row],[Task UID]],AssignmentTable[[#This Row],[Task UID]],AssignmentTable[[#Headers],[_Valid]]:AssignmentTable[[#This Row],[_Valid]],1),"")</f>
        <v/>
      </c>
      <c r="L83" s="38" t="str">
        <f aca="false">IF(AssignmentTable[[#This Row],[_Valid]]=1,AssignmentTable[[#This Row],[Resource]]&amp;IF(OR(AssignmentTable[[#This Row],[Units]]="",AssignmentTable[[#This Row],[Units]]=1),"","["&amp;ROUND(AssignmentTable[[#This Row],[Units]]*100,0)&amp;"%]"),"")</f>
        <v/>
      </c>
      <c r="M83" s="38" t="n">
        <f aca="false">IF(AssignmentTable[[#This Row],[_Valid]]=1,N(INDEX(tsk_StartWD,AssignmentTable[[#This Row],[_TaskPos]])),0)</f>
        <v>0</v>
      </c>
      <c r="N83" s="38" t="n">
        <f aca="false">IF(AssignmentTable[[#This Row],[_Valid]]=1,N(INDEX(tsk_FinishWD,AssignmentTable[[#This Row],[_TaskPos]])),0)</f>
        <v>0</v>
      </c>
      <c r="O83" s="38" t="n">
        <f aca="false">IF(OR(AssignmentTable[[#This Row],[Work]]=0,AssignmentTable[[#This Row],[_FinishWD]]=0),0,AssignmentTable[[#This Row],[Work]]/(AssignmentTable[[#This Row],[_FinishWD]]-AssignmentTable[[#This Row],[_StartWD]]+1))</f>
        <v>0</v>
      </c>
      <c r="P83" s="38" t="n">
        <f aca="false">AssignmentTable[[#This Row],[_WorkPerWD]]*MAX(0,AssignmentTable[[#This Row],[_StartWD]]-1)</f>
        <v>0</v>
      </c>
      <c r="Q83" s="38" t="n">
        <f aca="false">IF(AssignmentTable[[#This Row],[_Valid]]=1,AssignmentTable[[#This Row],[Work]]*N(INDEX(tsk_LeafProgress,AssignmentTable[[#This Row],[_TaskPos]])),0)</f>
        <v>0</v>
      </c>
      <c r="R83" s="38" t="n">
        <f aca="false">IF(NOT(AssignmentTable[[#This Row],[_Valid]]=1),0,IF(N(INDEX(tsk_LeafTotalCost,AssignmentTable[[#This Row],[_TaskPos]]))=0,0,N(INDEX(tsk_LeafAC,AssignmentTable[[#This Row],[_TaskPos]]))*AssignmentTable[[#This Row],[Cost]]/INDEX(tsk_LeafTotalCost,AssignmentTable[[#This Row],[_TaskPos]])))</f>
        <v>0</v>
      </c>
      <c r="S83" s="38" t="n">
        <f aca="false">IF(NOT(AssignmentTable[[#This Row],[_Valid]]=1),0,IF(N(INDEX(tsk_LateKey,AssignmentTable[[#This Row],[_TaskPos]]))&gt;0,1,0))</f>
        <v>0</v>
      </c>
      <c r="T83" s="38" t="n">
        <f aca="false">IF(NOT(AssignmentTable[[#This Row],[_Valid]]=1),0,IF(INDEX(tsk_Critical,AssignmentTable[[#This Row],[_TaskPos]])="Yes",1,0))</f>
        <v>0</v>
      </c>
      <c r="U8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4" customFormat="false" ht="15" hidden="false" customHeight="false" outlineLevel="0" collapsed="false">
      <c r="B84" s="52"/>
      <c r="C84" s="30" t="str">
        <f aca="false">IF(AssignmentTable[[#This Row],[_TaskPos]]&lt;=0,"",INDEX(tsk_Name,AssignmentTable[[#This Row],[_TaskPos]])&amp;"")</f>
        <v/>
      </c>
      <c r="D84" s="53"/>
      <c r="E84" s="95"/>
      <c r="F84" s="110" t="n">
        <f aca="false">IF(AssignmentTable[[#This Row],[_Valid]]=1,N(INDEX(tsk_Duration,AssignmentTable[[#This Row],[_TaskPos]]))*HoursPerDay*IF(AssignmentTable[[#This Row],[Units]]="",DefaultUnits,AssignmentTable[[#This Row],[Units]]),0)</f>
        <v>0</v>
      </c>
      <c r="G84" s="111" t="n">
        <f aca="false">IF(AssignmentTable[[#This Row],[Work]]=0,0,AssignmentTable[[#This Row],[Work]]*IFERROR(INDEX(res_Rate,MATCH(AssignmentTable[[#This Row],[Resource]],res_Name,0)),0))</f>
        <v>0</v>
      </c>
      <c r="H8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4" s="38" t="n">
        <f aca="false">IF(N(AssignmentTable[[#This Row],[Task UID]])=0,0,IFERROR(MATCH(AssignmentTable[[#This Row],[Task UID]],tsk_UID,0),-1))</f>
        <v>0</v>
      </c>
      <c r="J84" s="38" t="n">
        <f aca="false">IF(AND(AssignmentTable[[#This Row],[_TaskPos]]&gt;0,AssignmentTable[[#This Row],[Resource]]&lt;&gt;"",AssignmentTable[[#This Row],[Check]]=""),1,0)</f>
        <v>0</v>
      </c>
      <c r="K84" s="38" t="str">
        <f aca="false">IF(AssignmentTable[[#This Row],[_Valid]]=1,AssignmentTable[[#This Row],[Task UID]]*1000+COUNTIFS(AssignmentTable[[#Headers],[Task UID]]:AssignmentTable[[#This Row],[Task UID]],AssignmentTable[[#This Row],[Task UID]],AssignmentTable[[#Headers],[_Valid]]:AssignmentTable[[#This Row],[_Valid]],1),"")</f>
        <v/>
      </c>
      <c r="L84" s="38" t="str">
        <f aca="false">IF(AssignmentTable[[#This Row],[_Valid]]=1,AssignmentTable[[#This Row],[Resource]]&amp;IF(OR(AssignmentTable[[#This Row],[Units]]="",AssignmentTable[[#This Row],[Units]]=1),"","["&amp;ROUND(AssignmentTable[[#This Row],[Units]]*100,0)&amp;"%]"),"")</f>
        <v/>
      </c>
      <c r="M84" s="38" t="n">
        <f aca="false">IF(AssignmentTable[[#This Row],[_Valid]]=1,N(INDEX(tsk_StartWD,AssignmentTable[[#This Row],[_TaskPos]])),0)</f>
        <v>0</v>
      </c>
      <c r="N84" s="38" t="n">
        <f aca="false">IF(AssignmentTable[[#This Row],[_Valid]]=1,N(INDEX(tsk_FinishWD,AssignmentTable[[#This Row],[_TaskPos]])),0)</f>
        <v>0</v>
      </c>
      <c r="O84" s="38" t="n">
        <f aca="false">IF(OR(AssignmentTable[[#This Row],[Work]]=0,AssignmentTable[[#This Row],[_FinishWD]]=0),0,AssignmentTable[[#This Row],[Work]]/(AssignmentTable[[#This Row],[_FinishWD]]-AssignmentTable[[#This Row],[_StartWD]]+1))</f>
        <v>0</v>
      </c>
      <c r="P84" s="38" t="n">
        <f aca="false">AssignmentTable[[#This Row],[_WorkPerWD]]*MAX(0,AssignmentTable[[#This Row],[_StartWD]]-1)</f>
        <v>0</v>
      </c>
      <c r="Q84" s="38" t="n">
        <f aca="false">IF(AssignmentTable[[#This Row],[_Valid]]=1,AssignmentTable[[#This Row],[Work]]*N(INDEX(tsk_LeafProgress,AssignmentTable[[#This Row],[_TaskPos]])),0)</f>
        <v>0</v>
      </c>
      <c r="R84" s="38" t="n">
        <f aca="false">IF(NOT(AssignmentTable[[#This Row],[_Valid]]=1),0,IF(N(INDEX(tsk_LeafTotalCost,AssignmentTable[[#This Row],[_TaskPos]]))=0,0,N(INDEX(tsk_LeafAC,AssignmentTable[[#This Row],[_TaskPos]]))*AssignmentTable[[#This Row],[Cost]]/INDEX(tsk_LeafTotalCost,AssignmentTable[[#This Row],[_TaskPos]])))</f>
        <v>0</v>
      </c>
      <c r="S84" s="38" t="n">
        <f aca="false">IF(NOT(AssignmentTable[[#This Row],[_Valid]]=1),0,IF(N(INDEX(tsk_LateKey,AssignmentTable[[#This Row],[_TaskPos]]))&gt;0,1,0))</f>
        <v>0</v>
      </c>
      <c r="T84" s="38" t="n">
        <f aca="false">IF(NOT(AssignmentTable[[#This Row],[_Valid]]=1),0,IF(INDEX(tsk_Critical,AssignmentTable[[#This Row],[_TaskPos]])="Yes",1,0))</f>
        <v>0</v>
      </c>
      <c r="U8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5" customFormat="false" ht="15" hidden="false" customHeight="false" outlineLevel="0" collapsed="false">
      <c r="B85" s="52"/>
      <c r="C85" s="30" t="str">
        <f aca="false">IF(AssignmentTable[[#This Row],[_TaskPos]]&lt;=0,"",INDEX(tsk_Name,AssignmentTable[[#This Row],[_TaskPos]])&amp;"")</f>
        <v/>
      </c>
      <c r="D85" s="53"/>
      <c r="E85" s="95"/>
      <c r="F85" s="110" t="n">
        <f aca="false">IF(AssignmentTable[[#This Row],[_Valid]]=1,N(INDEX(tsk_Duration,AssignmentTable[[#This Row],[_TaskPos]]))*HoursPerDay*IF(AssignmentTable[[#This Row],[Units]]="",DefaultUnits,AssignmentTable[[#This Row],[Units]]),0)</f>
        <v>0</v>
      </c>
      <c r="G85" s="111" t="n">
        <f aca="false">IF(AssignmentTable[[#This Row],[Work]]=0,0,AssignmentTable[[#This Row],[Work]]*IFERROR(INDEX(res_Rate,MATCH(AssignmentTable[[#This Row],[Resource]],res_Name,0)),0))</f>
        <v>0</v>
      </c>
      <c r="H8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5" s="38" t="n">
        <f aca="false">IF(N(AssignmentTable[[#This Row],[Task UID]])=0,0,IFERROR(MATCH(AssignmentTable[[#This Row],[Task UID]],tsk_UID,0),-1))</f>
        <v>0</v>
      </c>
      <c r="J85" s="38" t="n">
        <f aca="false">IF(AND(AssignmentTable[[#This Row],[_TaskPos]]&gt;0,AssignmentTable[[#This Row],[Resource]]&lt;&gt;"",AssignmentTable[[#This Row],[Check]]=""),1,0)</f>
        <v>0</v>
      </c>
      <c r="K85" s="38" t="str">
        <f aca="false">IF(AssignmentTable[[#This Row],[_Valid]]=1,AssignmentTable[[#This Row],[Task UID]]*1000+COUNTIFS(AssignmentTable[[#Headers],[Task UID]]:AssignmentTable[[#This Row],[Task UID]],AssignmentTable[[#This Row],[Task UID]],AssignmentTable[[#Headers],[_Valid]]:AssignmentTable[[#This Row],[_Valid]],1),"")</f>
        <v/>
      </c>
      <c r="L85" s="38" t="str">
        <f aca="false">IF(AssignmentTable[[#This Row],[_Valid]]=1,AssignmentTable[[#This Row],[Resource]]&amp;IF(OR(AssignmentTable[[#This Row],[Units]]="",AssignmentTable[[#This Row],[Units]]=1),"","["&amp;ROUND(AssignmentTable[[#This Row],[Units]]*100,0)&amp;"%]"),"")</f>
        <v/>
      </c>
      <c r="M85" s="38" t="n">
        <f aca="false">IF(AssignmentTable[[#This Row],[_Valid]]=1,N(INDEX(tsk_StartWD,AssignmentTable[[#This Row],[_TaskPos]])),0)</f>
        <v>0</v>
      </c>
      <c r="N85" s="38" t="n">
        <f aca="false">IF(AssignmentTable[[#This Row],[_Valid]]=1,N(INDEX(tsk_FinishWD,AssignmentTable[[#This Row],[_TaskPos]])),0)</f>
        <v>0</v>
      </c>
      <c r="O85" s="38" t="n">
        <f aca="false">IF(OR(AssignmentTable[[#This Row],[Work]]=0,AssignmentTable[[#This Row],[_FinishWD]]=0),0,AssignmentTable[[#This Row],[Work]]/(AssignmentTable[[#This Row],[_FinishWD]]-AssignmentTable[[#This Row],[_StartWD]]+1))</f>
        <v>0</v>
      </c>
      <c r="P85" s="38" t="n">
        <f aca="false">AssignmentTable[[#This Row],[_WorkPerWD]]*MAX(0,AssignmentTable[[#This Row],[_StartWD]]-1)</f>
        <v>0</v>
      </c>
      <c r="Q85" s="38" t="n">
        <f aca="false">IF(AssignmentTable[[#This Row],[_Valid]]=1,AssignmentTable[[#This Row],[Work]]*N(INDEX(tsk_LeafProgress,AssignmentTable[[#This Row],[_TaskPos]])),0)</f>
        <v>0</v>
      </c>
      <c r="R85" s="38" t="n">
        <f aca="false">IF(NOT(AssignmentTable[[#This Row],[_Valid]]=1),0,IF(N(INDEX(tsk_LeafTotalCost,AssignmentTable[[#This Row],[_TaskPos]]))=0,0,N(INDEX(tsk_LeafAC,AssignmentTable[[#This Row],[_TaskPos]]))*AssignmentTable[[#This Row],[Cost]]/INDEX(tsk_LeafTotalCost,AssignmentTable[[#This Row],[_TaskPos]])))</f>
        <v>0</v>
      </c>
      <c r="S85" s="38" t="n">
        <f aca="false">IF(NOT(AssignmentTable[[#This Row],[_Valid]]=1),0,IF(N(INDEX(tsk_LateKey,AssignmentTable[[#This Row],[_TaskPos]]))&gt;0,1,0))</f>
        <v>0</v>
      </c>
      <c r="T85" s="38" t="n">
        <f aca="false">IF(NOT(AssignmentTable[[#This Row],[_Valid]]=1),0,IF(INDEX(tsk_Critical,AssignmentTable[[#This Row],[_TaskPos]])="Yes",1,0))</f>
        <v>0</v>
      </c>
      <c r="U8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6" customFormat="false" ht="15" hidden="false" customHeight="false" outlineLevel="0" collapsed="false">
      <c r="B86" s="52"/>
      <c r="C86" s="30" t="str">
        <f aca="false">IF(AssignmentTable[[#This Row],[_TaskPos]]&lt;=0,"",INDEX(tsk_Name,AssignmentTable[[#This Row],[_TaskPos]])&amp;"")</f>
        <v/>
      </c>
      <c r="D86" s="53"/>
      <c r="E86" s="95"/>
      <c r="F86" s="110" t="n">
        <f aca="false">IF(AssignmentTable[[#This Row],[_Valid]]=1,N(INDEX(tsk_Duration,AssignmentTable[[#This Row],[_TaskPos]]))*HoursPerDay*IF(AssignmentTable[[#This Row],[Units]]="",DefaultUnits,AssignmentTable[[#This Row],[Units]]),0)</f>
        <v>0</v>
      </c>
      <c r="G86" s="111" t="n">
        <f aca="false">IF(AssignmentTable[[#This Row],[Work]]=0,0,AssignmentTable[[#This Row],[Work]]*IFERROR(INDEX(res_Rate,MATCH(AssignmentTable[[#This Row],[Resource]],res_Name,0)),0))</f>
        <v>0</v>
      </c>
      <c r="H8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6" s="38" t="n">
        <f aca="false">IF(N(AssignmentTable[[#This Row],[Task UID]])=0,0,IFERROR(MATCH(AssignmentTable[[#This Row],[Task UID]],tsk_UID,0),-1))</f>
        <v>0</v>
      </c>
      <c r="J86" s="38" t="n">
        <f aca="false">IF(AND(AssignmentTable[[#This Row],[_TaskPos]]&gt;0,AssignmentTable[[#This Row],[Resource]]&lt;&gt;"",AssignmentTable[[#This Row],[Check]]=""),1,0)</f>
        <v>0</v>
      </c>
      <c r="K86" s="38" t="str">
        <f aca="false">IF(AssignmentTable[[#This Row],[_Valid]]=1,AssignmentTable[[#This Row],[Task UID]]*1000+COUNTIFS(AssignmentTable[[#Headers],[Task UID]]:AssignmentTable[[#This Row],[Task UID]],AssignmentTable[[#This Row],[Task UID]],AssignmentTable[[#Headers],[_Valid]]:AssignmentTable[[#This Row],[_Valid]],1),"")</f>
        <v/>
      </c>
      <c r="L86" s="38" t="str">
        <f aca="false">IF(AssignmentTable[[#This Row],[_Valid]]=1,AssignmentTable[[#This Row],[Resource]]&amp;IF(OR(AssignmentTable[[#This Row],[Units]]="",AssignmentTable[[#This Row],[Units]]=1),"","["&amp;ROUND(AssignmentTable[[#This Row],[Units]]*100,0)&amp;"%]"),"")</f>
        <v/>
      </c>
      <c r="M86" s="38" t="n">
        <f aca="false">IF(AssignmentTable[[#This Row],[_Valid]]=1,N(INDEX(tsk_StartWD,AssignmentTable[[#This Row],[_TaskPos]])),0)</f>
        <v>0</v>
      </c>
      <c r="N86" s="38" t="n">
        <f aca="false">IF(AssignmentTable[[#This Row],[_Valid]]=1,N(INDEX(tsk_FinishWD,AssignmentTable[[#This Row],[_TaskPos]])),0)</f>
        <v>0</v>
      </c>
      <c r="O86" s="38" t="n">
        <f aca="false">IF(OR(AssignmentTable[[#This Row],[Work]]=0,AssignmentTable[[#This Row],[_FinishWD]]=0),0,AssignmentTable[[#This Row],[Work]]/(AssignmentTable[[#This Row],[_FinishWD]]-AssignmentTable[[#This Row],[_StartWD]]+1))</f>
        <v>0</v>
      </c>
      <c r="P86" s="38" t="n">
        <f aca="false">AssignmentTable[[#This Row],[_WorkPerWD]]*MAX(0,AssignmentTable[[#This Row],[_StartWD]]-1)</f>
        <v>0</v>
      </c>
      <c r="Q86" s="38" t="n">
        <f aca="false">IF(AssignmentTable[[#This Row],[_Valid]]=1,AssignmentTable[[#This Row],[Work]]*N(INDEX(tsk_LeafProgress,AssignmentTable[[#This Row],[_TaskPos]])),0)</f>
        <v>0</v>
      </c>
      <c r="R86" s="38" t="n">
        <f aca="false">IF(NOT(AssignmentTable[[#This Row],[_Valid]]=1),0,IF(N(INDEX(tsk_LeafTotalCost,AssignmentTable[[#This Row],[_TaskPos]]))=0,0,N(INDEX(tsk_LeafAC,AssignmentTable[[#This Row],[_TaskPos]]))*AssignmentTable[[#This Row],[Cost]]/INDEX(tsk_LeafTotalCost,AssignmentTable[[#This Row],[_TaskPos]])))</f>
        <v>0</v>
      </c>
      <c r="S86" s="38" t="n">
        <f aca="false">IF(NOT(AssignmentTable[[#This Row],[_Valid]]=1),0,IF(N(INDEX(tsk_LateKey,AssignmentTable[[#This Row],[_TaskPos]]))&gt;0,1,0))</f>
        <v>0</v>
      </c>
      <c r="T86" s="38" t="n">
        <f aca="false">IF(NOT(AssignmentTable[[#This Row],[_Valid]]=1),0,IF(INDEX(tsk_Critical,AssignmentTable[[#This Row],[_TaskPos]])="Yes",1,0))</f>
        <v>0</v>
      </c>
      <c r="U8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7" customFormat="false" ht="15" hidden="false" customHeight="false" outlineLevel="0" collapsed="false">
      <c r="B87" s="52"/>
      <c r="C87" s="30" t="str">
        <f aca="false">IF(AssignmentTable[[#This Row],[_TaskPos]]&lt;=0,"",INDEX(tsk_Name,AssignmentTable[[#This Row],[_TaskPos]])&amp;"")</f>
        <v/>
      </c>
      <c r="D87" s="53"/>
      <c r="E87" s="95"/>
      <c r="F87" s="110" t="n">
        <f aca="false">IF(AssignmentTable[[#This Row],[_Valid]]=1,N(INDEX(tsk_Duration,AssignmentTable[[#This Row],[_TaskPos]]))*HoursPerDay*IF(AssignmentTable[[#This Row],[Units]]="",DefaultUnits,AssignmentTable[[#This Row],[Units]]),0)</f>
        <v>0</v>
      </c>
      <c r="G87" s="111" t="n">
        <f aca="false">IF(AssignmentTable[[#This Row],[Work]]=0,0,AssignmentTable[[#This Row],[Work]]*IFERROR(INDEX(res_Rate,MATCH(AssignmentTable[[#This Row],[Resource]],res_Name,0)),0))</f>
        <v>0</v>
      </c>
      <c r="H8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7" s="38" t="n">
        <f aca="false">IF(N(AssignmentTable[[#This Row],[Task UID]])=0,0,IFERROR(MATCH(AssignmentTable[[#This Row],[Task UID]],tsk_UID,0),-1))</f>
        <v>0</v>
      </c>
      <c r="J87" s="38" t="n">
        <f aca="false">IF(AND(AssignmentTable[[#This Row],[_TaskPos]]&gt;0,AssignmentTable[[#This Row],[Resource]]&lt;&gt;"",AssignmentTable[[#This Row],[Check]]=""),1,0)</f>
        <v>0</v>
      </c>
      <c r="K87" s="38" t="str">
        <f aca="false">IF(AssignmentTable[[#This Row],[_Valid]]=1,AssignmentTable[[#This Row],[Task UID]]*1000+COUNTIFS(AssignmentTable[[#Headers],[Task UID]]:AssignmentTable[[#This Row],[Task UID]],AssignmentTable[[#This Row],[Task UID]],AssignmentTable[[#Headers],[_Valid]]:AssignmentTable[[#This Row],[_Valid]],1),"")</f>
        <v/>
      </c>
      <c r="L87" s="38" t="str">
        <f aca="false">IF(AssignmentTable[[#This Row],[_Valid]]=1,AssignmentTable[[#This Row],[Resource]]&amp;IF(OR(AssignmentTable[[#This Row],[Units]]="",AssignmentTable[[#This Row],[Units]]=1),"","["&amp;ROUND(AssignmentTable[[#This Row],[Units]]*100,0)&amp;"%]"),"")</f>
        <v/>
      </c>
      <c r="M87" s="38" t="n">
        <f aca="false">IF(AssignmentTable[[#This Row],[_Valid]]=1,N(INDEX(tsk_StartWD,AssignmentTable[[#This Row],[_TaskPos]])),0)</f>
        <v>0</v>
      </c>
      <c r="N87" s="38" t="n">
        <f aca="false">IF(AssignmentTable[[#This Row],[_Valid]]=1,N(INDEX(tsk_FinishWD,AssignmentTable[[#This Row],[_TaskPos]])),0)</f>
        <v>0</v>
      </c>
      <c r="O87" s="38" t="n">
        <f aca="false">IF(OR(AssignmentTable[[#This Row],[Work]]=0,AssignmentTable[[#This Row],[_FinishWD]]=0),0,AssignmentTable[[#This Row],[Work]]/(AssignmentTable[[#This Row],[_FinishWD]]-AssignmentTable[[#This Row],[_StartWD]]+1))</f>
        <v>0</v>
      </c>
      <c r="P87" s="38" t="n">
        <f aca="false">AssignmentTable[[#This Row],[_WorkPerWD]]*MAX(0,AssignmentTable[[#This Row],[_StartWD]]-1)</f>
        <v>0</v>
      </c>
      <c r="Q87" s="38" t="n">
        <f aca="false">IF(AssignmentTable[[#This Row],[_Valid]]=1,AssignmentTable[[#This Row],[Work]]*N(INDEX(tsk_LeafProgress,AssignmentTable[[#This Row],[_TaskPos]])),0)</f>
        <v>0</v>
      </c>
      <c r="R87" s="38" t="n">
        <f aca="false">IF(NOT(AssignmentTable[[#This Row],[_Valid]]=1),0,IF(N(INDEX(tsk_LeafTotalCost,AssignmentTable[[#This Row],[_TaskPos]]))=0,0,N(INDEX(tsk_LeafAC,AssignmentTable[[#This Row],[_TaskPos]]))*AssignmentTable[[#This Row],[Cost]]/INDEX(tsk_LeafTotalCost,AssignmentTable[[#This Row],[_TaskPos]])))</f>
        <v>0</v>
      </c>
      <c r="S87" s="38" t="n">
        <f aca="false">IF(NOT(AssignmentTable[[#This Row],[_Valid]]=1),0,IF(N(INDEX(tsk_LateKey,AssignmentTable[[#This Row],[_TaskPos]]))&gt;0,1,0))</f>
        <v>0</v>
      </c>
      <c r="T87" s="38" t="n">
        <f aca="false">IF(NOT(AssignmentTable[[#This Row],[_Valid]]=1),0,IF(INDEX(tsk_Critical,AssignmentTable[[#This Row],[_TaskPos]])="Yes",1,0))</f>
        <v>0</v>
      </c>
      <c r="U8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8" customFormat="false" ht="15" hidden="false" customHeight="false" outlineLevel="0" collapsed="false">
      <c r="B88" s="52"/>
      <c r="C88" s="30" t="str">
        <f aca="false">IF(AssignmentTable[[#This Row],[_TaskPos]]&lt;=0,"",INDEX(tsk_Name,AssignmentTable[[#This Row],[_TaskPos]])&amp;"")</f>
        <v/>
      </c>
      <c r="D88" s="53"/>
      <c r="E88" s="95"/>
      <c r="F88" s="110" t="n">
        <f aca="false">IF(AssignmentTable[[#This Row],[_Valid]]=1,N(INDEX(tsk_Duration,AssignmentTable[[#This Row],[_TaskPos]]))*HoursPerDay*IF(AssignmentTable[[#This Row],[Units]]="",DefaultUnits,AssignmentTable[[#This Row],[Units]]),0)</f>
        <v>0</v>
      </c>
      <c r="G88" s="111" t="n">
        <f aca="false">IF(AssignmentTable[[#This Row],[Work]]=0,0,AssignmentTable[[#This Row],[Work]]*IFERROR(INDEX(res_Rate,MATCH(AssignmentTable[[#This Row],[Resource]],res_Name,0)),0))</f>
        <v>0</v>
      </c>
      <c r="H8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8" s="38" t="n">
        <f aca="false">IF(N(AssignmentTable[[#This Row],[Task UID]])=0,0,IFERROR(MATCH(AssignmentTable[[#This Row],[Task UID]],tsk_UID,0),-1))</f>
        <v>0</v>
      </c>
      <c r="J88" s="38" t="n">
        <f aca="false">IF(AND(AssignmentTable[[#This Row],[_TaskPos]]&gt;0,AssignmentTable[[#This Row],[Resource]]&lt;&gt;"",AssignmentTable[[#This Row],[Check]]=""),1,0)</f>
        <v>0</v>
      </c>
      <c r="K88" s="38" t="str">
        <f aca="false">IF(AssignmentTable[[#This Row],[_Valid]]=1,AssignmentTable[[#This Row],[Task UID]]*1000+COUNTIFS(AssignmentTable[[#Headers],[Task UID]]:AssignmentTable[[#This Row],[Task UID]],AssignmentTable[[#This Row],[Task UID]],AssignmentTable[[#Headers],[_Valid]]:AssignmentTable[[#This Row],[_Valid]],1),"")</f>
        <v/>
      </c>
      <c r="L88" s="38" t="str">
        <f aca="false">IF(AssignmentTable[[#This Row],[_Valid]]=1,AssignmentTable[[#This Row],[Resource]]&amp;IF(OR(AssignmentTable[[#This Row],[Units]]="",AssignmentTable[[#This Row],[Units]]=1),"","["&amp;ROUND(AssignmentTable[[#This Row],[Units]]*100,0)&amp;"%]"),"")</f>
        <v/>
      </c>
      <c r="M88" s="38" t="n">
        <f aca="false">IF(AssignmentTable[[#This Row],[_Valid]]=1,N(INDEX(tsk_StartWD,AssignmentTable[[#This Row],[_TaskPos]])),0)</f>
        <v>0</v>
      </c>
      <c r="N88" s="38" t="n">
        <f aca="false">IF(AssignmentTable[[#This Row],[_Valid]]=1,N(INDEX(tsk_FinishWD,AssignmentTable[[#This Row],[_TaskPos]])),0)</f>
        <v>0</v>
      </c>
      <c r="O88" s="38" t="n">
        <f aca="false">IF(OR(AssignmentTable[[#This Row],[Work]]=0,AssignmentTable[[#This Row],[_FinishWD]]=0),0,AssignmentTable[[#This Row],[Work]]/(AssignmentTable[[#This Row],[_FinishWD]]-AssignmentTable[[#This Row],[_StartWD]]+1))</f>
        <v>0</v>
      </c>
      <c r="P88" s="38" t="n">
        <f aca="false">AssignmentTable[[#This Row],[_WorkPerWD]]*MAX(0,AssignmentTable[[#This Row],[_StartWD]]-1)</f>
        <v>0</v>
      </c>
      <c r="Q88" s="38" t="n">
        <f aca="false">IF(AssignmentTable[[#This Row],[_Valid]]=1,AssignmentTable[[#This Row],[Work]]*N(INDEX(tsk_LeafProgress,AssignmentTable[[#This Row],[_TaskPos]])),0)</f>
        <v>0</v>
      </c>
      <c r="R88" s="38" t="n">
        <f aca="false">IF(NOT(AssignmentTable[[#This Row],[_Valid]]=1),0,IF(N(INDEX(tsk_LeafTotalCost,AssignmentTable[[#This Row],[_TaskPos]]))=0,0,N(INDEX(tsk_LeafAC,AssignmentTable[[#This Row],[_TaskPos]]))*AssignmentTable[[#This Row],[Cost]]/INDEX(tsk_LeafTotalCost,AssignmentTable[[#This Row],[_TaskPos]])))</f>
        <v>0</v>
      </c>
      <c r="S88" s="38" t="n">
        <f aca="false">IF(NOT(AssignmentTable[[#This Row],[_Valid]]=1),0,IF(N(INDEX(tsk_LateKey,AssignmentTable[[#This Row],[_TaskPos]]))&gt;0,1,0))</f>
        <v>0</v>
      </c>
      <c r="T88" s="38" t="n">
        <f aca="false">IF(NOT(AssignmentTable[[#This Row],[_Valid]]=1),0,IF(INDEX(tsk_Critical,AssignmentTable[[#This Row],[_TaskPos]])="Yes",1,0))</f>
        <v>0</v>
      </c>
      <c r="U8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9" customFormat="false" ht="15" hidden="false" customHeight="false" outlineLevel="0" collapsed="false">
      <c r="B89" s="52"/>
      <c r="C89" s="30" t="str">
        <f aca="false">IF(AssignmentTable[[#This Row],[_TaskPos]]&lt;=0,"",INDEX(tsk_Name,AssignmentTable[[#This Row],[_TaskPos]])&amp;"")</f>
        <v/>
      </c>
      <c r="D89" s="53"/>
      <c r="E89" s="95"/>
      <c r="F89" s="110" t="n">
        <f aca="false">IF(AssignmentTable[[#This Row],[_Valid]]=1,N(INDEX(tsk_Duration,AssignmentTable[[#This Row],[_TaskPos]]))*HoursPerDay*IF(AssignmentTable[[#This Row],[Units]]="",DefaultUnits,AssignmentTable[[#This Row],[Units]]),0)</f>
        <v>0</v>
      </c>
      <c r="G89" s="111" t="n">
        <f aca="false">IF(AssignmentTable[[#This Row],[Work]]=0,0,AssignmentTable[[#This Row],[Work]]*IFERROR(INDEX(res_Rate,MATCH(AssignmentTable[[#This Row],[Resource]],res_Name,0)),0))</f>
        <v>0</v>
      </c>
      <c r="H8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9" s="38" t="n">
        <f aca="false">IF(N(AssignmentTable[[#This Row],[Task UID]])=0,0,IFERROR(MATCH(AssignmentTable[[#This Row],[Task UID]],tsk_UID,0),-1))</f>
        <v>0</v>
      </c>
      <c r="J89" s="38" t="n">
        <f aca="false">IF(AND(AssignmentTable[[#This Row],[_TaskPos]]&gt;0,AssignmentTable[[#This Row],[Resource]]&lt;&gt;"",AssignmentTable[[#This Row],[Check]]=""),1,0)</f>
        <v>0</v>
      </c>
      <c r="K89" s="38" t="str">
        <f aca="false">IF(AssignmentTable[[#This Row],[_Valid]]=1,AssignmentTable[[#This Row],[Task UID]]*1000+COUNTIFS(AssignmentTable[[#Headers],[Task UID]]:AssignmentTable[[#This Row],[Task UID]],AssignmentTable[[#This Row],[Task UID]],AssignmentTable[[#Headers],[_Valid]]:AssignmentTable[[#This Row],[_Valid]],1),"")</f>
        <v/>
      </c>
      <c r="L89" s="38" t="str">
        <f aca="false">IF(AssignmentTable[[#This Row],[_Valid]]=1,AssignmentTable[[#This Row],[Resource]]&amp;IF(OR(AssignmentTable[[#This Row],[Units]]="",AssignmentTable[[#This Row],[Units]]=1),"","["&amp;ROUND(AssignmentTable[[#This Row],[Units]]*100,0)&amp;"%]"),"")</f>
        <v/>
      </c>
      <c r="M89" s="38" t="n">
        <f aca="false">IF(AssignmentTable[[#This Row],[_Valid]]=1,N(INDEX(tsk_StartWD,AssignmentTable[[#This Row],[_TaskPos]])),0)</f>
        <v>0</v>
      </c>
      <c r="N89" s="38" t="n">
        <f aca="false">IF(AssignmentTable[[#This Row],[_Valid]]=1,N(INDEX(tsk_FinishWD,AssignmentTable[[#This Row],[_TaskPos]])),0)</f>
        <v>0</v>
      </c>
      <c r="O89" s="38" t="n">
        <f aca="false">IF(OR(AssignmentTable[[#This Row],[Work]]=0,AssignmentTable[[#This Row],[_FinishWD]]=0),0,AssignmentTable[[#This Row],[Work]]/(AssignmentTable[[#This Row],[_FinishWD]]-AssignmentTable[[#This Row],[_StartWD]]+1))</f>
        <v>0</v>
      </c>
      <c r="P89" s="38" t="n">
        <f aca="false">AssignmentTable[[#This Row],[_WorkPerWD]]*MAX(0,AssignmentTable[[#This Row],[_StartWD]]-1)</f>
        <v>0</v>
      </c>
      <c r="Q89" s="38" t="n">
        <f aca="false">IF(AssignmentTable[[#This Row],[_Valid]]=1,AssignmentTable[[#This Row],[Work]]*N(INDEX(tsk_LeafProgress,AssignmentTable[[#This Row],[_TaskPos]])),0)</f>
        <v>0</v>
      </c>
      <c r="R89" s="38" t="n">
        <f aca="false">IF(NOT(AssignmentTable[[#This Row],[_Valid]]=1),0,IF(N(INDEX(tsk_LeafTotalCost,AssignmentTable[[#This Row],[_TaskPos]]))=0,0,N(INDEX(tsk_LeafAC,AssignmentTable[[#This Row],[_TaskPos]]))*AssignmentTable[[#This Row],[Cost]]/INDEX(tsk_LeafTotalCost,AssignmentTable[[#This Row],[_TaskPos]])))</f>
        <v>0</v>
      </c>
      <c r="S89" s="38" t="n">
        <f aca="false">IF(NOT(AssignmentTable[[#This Row],[_Valid]]=1),0,IF(N(INDEX(tsk_LateKey,AssignmentTable[[#This Row],[_TaskPos]]))&gt;0,1,0))</f>
        <v>0</v>
      </c>
      <c r="T89" s="38" t="n">
        <f aca="false">IF(NOT(AssignmentTable[[#This Row],[_Valid]]=1),0,IF(INDEX(tsk_Critical,AssignmentTable[[#This Row],[_TaskPos]])="Yes",1,0))</f>
        <v>0</v>
      </c>
      <c r="U8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0" customFormat="false" ht="15" hidden="false" customHeight="false" outlineLevel="0" collapsed="false">
      <c r="B90" s="52"/>
      <c r="C90" s="30" t="str">
        <f aca="false">IF(AssignmentTable[[#This Row],[_TaskPos]]&lt;=0,"",INDEX(tsk_Name,AssignmentTable[[#This Row],[_TaskPos]])&amp;"")</f>
        <v/>
      </c>
      <c r="D90" s="53"/>
      <c r="E90" s="95"/>
      <c r="F90" s="110" t="n">
        <f aca="false">IF(AssignmentTable[[#This Row],[_Valid]]=1,N(INDEX(tsk_Duration,AssignmentTable[[#This Row],[_TaskPos]]))*HoursPerDay*IF(AssignmentTable[[#This Row],[Units]]="",DefaultUnits,AssignmentTable[[#This Row],[Units]]),0)</f>
        <v>0</v>
      </c>
      <c r="G90" s="111" t="n">
        <f aca="false">IF(AssignmentTable[[#This Row],[Work]]=0,0,AssignmentTable[[#This Row],[Work]]*IFERROR(INDEX(res_Rate,MATCH(AssignmentTable[[#This Row],[Resource]],res_Name,0)),0))</f>
        <v>0</v>
      </c>
      <c r="H9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0" s="38" t="n">
        <f aca="false">IF(N(AssignmentTable[[#This Row],[Task UID]])=0,0,IFERROR(MATCH(AssignmentTable[[#This Row],[Task UID]],tsk_UID,0),-1))</f>
        <v>0</v>
      </c>
      <c r="J90" s="38" t="n">
        <f aca="false">IF(AND(AssignmentTable[[#This Row],[_TaskPos]]&gt;0,AssignmentTable[[#This Row],[Resource]]&lt;&gt;"",AssignmentTable[[#This Row],[Check]]=""),1,0)</f>
        <v>0</v>
      </c>
      <c r="K90" s="38" t="str">
        <f aca="false">IF(AssignmentTable[[#This Row],[_Valid]]=1,AssignmentTable[[#This Row],[Task UID]]*1000+COUNTIFS(AssignmentTable[[#Headers],[Task UID]]:AssignmentTable[[#This Row],[Task UID]],AssignmentTable[[#This Row],[Task UID]],AssignmentTable[[#Headers],[_Valid]]:AssignmentTable[[#This Row],[_Valid]],1),"")</f>
        <v/>
      </c>
      <c r="L90" s="38" t="str">
        <f aca="false">IF(AssignmentTable[[#This Row],[_Valid]]=1,AssignmentTable[[#This Row],[Resource]]&amp;IF(OR(AssignmentTable[[#This Row],[Units]]="",AssignmentTable[[#This Row],[Units]]=1),"","["&amp;ROUND(AssignmentTable[[#This Row],[Units]]*100,0)&amp;"%]"),"")</f>
        <v/>
      </c>
      <c r="M90" s="38" t="n">
        <f aca="false">IF(AssignmentTable[[#This Row],[_Valid]]=1,N(INDEX(tsk_StartWD,AssignmentTable[[#This Row],[_TaskPos]])),0)</f>
        <v>0</v>
      </c>
      <c r="N90" s="38" t="n">
        <f aca="false">IF(AssignmentTable[[#This Row],[_Valid]]=1,N(INDEX(tsk_FinishWD,AssignmentTable[[#This Row],[_TaskPos]])),0)</f>
        <v>0</v>
      </c>
      <c r="O90" s="38" t="n">
        <f aca="false">IF(OR(AssignmentTable[[#This Row],[Work]]=0,AssignmentTable[[#This Row],[_FinishWD]]=0),0,AssignmentTable[[#This Row],[Work]]/(AssignmentTable[[#This Row],[_FinishWD]]-AssignmentTable[[#This Row],[_StartWD]]+1))</f>
        <v>0</v>
      </c>
      <c r="P90" s="38" t="n">
        <f aca="false">AssignmentTable[[#This Row],[_WorkPerWD]]*MAX(0,AssignmentTable[[#This Row],[_StartWD]]-1)</f>
        <v>0</v>
      </c>
      <c r="Q90" s="38" t="n">
        <f aca="false">IF(AssignmentTable[[#This Row],[_Valid]]=1,AssignmentTable[[#This Row],[Work]]*N(INDEX(tsk_LeafProgress,AssignmentTable[[#This Row],[_TaskPos]])),0)</f>
        <v>0</v>
      </c>
      <c r="R90" s="38" t="n">
        <f aca="false">IF(NOT(AssignmentTable[[#This Row],[_Valid]]=1),0,IF(N(INDEX(tsk_LeafTotalCost,AssignmentTable[[#This Row],[_TaskPos]]))=0,0,N(INDEX(tsk_LeafAC,AssignmentTable[[#This Row],[_TaskPos]]))*AssignmentTable[[#This Row],[Cost]]/INDEX(tsk_LeafTotalCost,AssignmentTable[[#This Row],[_TaskPos]])))</f>
        <v>0</v>
      </c>
      <c r="S90" s="38" t="n">
        <f aca="false">IF(NOT(AssignmentTable[[#This Row],[_Valid]]=1),0,IF(N(INDEX(tsk_LateKey,AssignmentTable[[#This Row],[_TaskPos]]))&gt;0,1,0))</f>
        <v>0</v>
      </c>
      <c r="T90" s="38" t="n">
        <f aca="false">IF(NOT(AssignmentTable[[#This Row],[_Valid]]=1),0,IF(INDEX(tsk_Critical,AssignmentTable[[#This Row],[_TaskPos]])="Yes",1,0))</f>
        <v>0</v>
      </c>
      <c r="U9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1" customFormat="false" ht="15" hidden="false" customHeight="false" outlineLevel="0" collapsed="false">
      <c r="B91" s="52"/>
      <c r="C91" s="30" t="str">
        <f aca="false">IF(AssignmentTable[[#This Row],[_TaskPos]]&lt;=0,"",INDEX(tsk_Name,AssignmentTable[[#This Row],[_TaskPos]])&amp;"")</f>
        <v/>
      </c>
      <c r="D91" s="53"/>
      <c r="E91" s="95"/>
      <c r="F91" s="110" t="n">
        <f aca="false">IF(AssignmentTable[[#This Row],[_Valid]]=1,N(INDEX(tsk_Duration,AssignmentTable[[#This Row],[_TaskPos]]))*HoursPerDay*IF(AssignmentTable[[#This Row],[Units]]="",DefaultUnits,AssignmentTable[[#This Row],[Units]]),0)</f>
        <v>0</v>
      </c>
      <c r="G91" s="111" t="n">
        <f aca="false">IF(AssignmentTable[[#This Row],[Work]]=0,0,AssignmentTable[[#This Row],[Work]]*IFERROR(INDEX(res_Rate,MATCH(AssignmentTable[[#This Row],[Resource]],res_Name,0)),0))</f>
        <v>0</v>
      </c>
      <c r="H9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1" s="38" t="n">
        <f aca="false">IF(N(AssignmentTable[[#This Row],[Task UID]])=0,0,IFERROR(MATCH(AssignmentTable[[#This Row],[Task UID]],tsk_UID,0),-1))</f>
        <v>0</v>
      </c>
      <c r="J91" s="38" t="n">
        <f aca="false">IF(AND(AssignmentTable[[#This Row],[_TaskPos]]&gt;0,AssignmentTable[[#This Row],[Resource]]&lt;&gt;"",AssignmentTable[[#This Row],[Check]]=""),1,0)</f>
        <v>0</v>
      </c>
      <c r="K91" s="38" t="str">
        <f aca="false">IF(AssignmentTable[[#This Row],[_Valid]]=1,AssignmentTable[[#This Row],[Task UID]]*1000+COUNTIFS(AssignmentTable[[#Headers],[Task UID]]:AssignmentTable[[#This Row],[Task UID]],AssignmentTable[[#This Row],[Task UID]],AssignmentTable[[#Headers],[_Valid]]:AssignmentTable[[#This Row],[_Valid]],1),"")</f>
        <v/>
      </c>
      <c r="L91" s="38" t="str">
        <f aca="false">IF(AssignmentTable[[#This Row],[_Valid]]=1,AssignmentTable[[#This Row],[Resource]]&amp;IF(OR(AssignmentTable[[#This Row],[Units]]="",AssignmentTable[[#This Row],[Units]]=1),"","["&amp;ROUND(AssignmentTable[[#This Row],[Units]]*100,0)&amp;"%]"),"")</f>
        <v/>
      </c>
      <c r="M91" s="38" t="n">
        <f aca="false">IF(AssignmentTable[[#This Row],[_Valid]]=1,N(INDEX(tsk_StartWD,AssignmentTable[[#This Row],[_TaskPos]])),0)</f>
        <v>0</v>
      </c>
      <c r="N91" s="38" t="n">
        <f aca="false">IF(AssignmentTable[[#This Row],[_Valid]]=1,N(INDEX(tsk_FinishWD,AssignmentTable[[#This Row],[_TaskPos]])),0)</f>
        <v>0</v>
      </c>
      <c r="O91" s="38" t="n">
        <f aca="false">IF(OR(AssignmentTable[[#This Row],[Work]]=0,AssignmentTable[[#This Row],[_FinishWD]]=0),0,AssignmentTable[[#This Row],[Work]]/(AssignmentTable[[#This Row],[_FinishWD]]-AssignmentTable[[#This Row],[_StartWD]]+1))</f>
        <v>0</v>
      </c>
      <c r="P91" s="38" t="n">
        <f aca="false">AssignmentTable[[#This Row],[_WorkPerWD]]*MAX(0,AssignmentTable[[#This Row],[_StartWD]]-1)</f>
        <v>0</v>
      </c>
      <c r="Q91" s="38" t="n">
        <f aca="false">IF(AssignmentTable[[#This Row],[_Valid]]=1,AssignmentTable[[#This Row],[Work]]*N(INDEX(tsk_LeafProgress,AssignmentTable[[#This Row],[_TaskPos]])),0)</f>
        <v>0</v>
      </c>
      <c r="R91" s="38" t="n">
        <f aca="false">IF(NOT(AssignmentTable[[#This Row],[_Valid]]=1),0,IF(N(INDEX(tsk_LeafTotalCost,AssignmentTable[[#This Row],[_TaskPos]]))=0,0,N(INDEX(tsk_LeafAC,AssignmentTable[[#This Row],[_TaskPos]]))*AssignmentTable[[#This Row],[Cost]]/INDEX(tsk_LeafTotalCost,AssignmentTable[[#This Row],[_TaskPos]])))</f>
        <v>0</v>
      </c>
      <c r="S91" s="38" t="n">
        <f aca="false">IF(NOT(AssignmentTable[[#This Row],[_Valid]]=1),0,IF(N(INDEX(tsk_LateKey,AssignmentTable[[#This Row],[_TaskPos]]))&gt;0,1,0))</f>
        <v>0</v>
      </c>
      <c r="T91" s="38" t="n">
        <f aca="false">IF(NOT(AssignmentTable[[#This Row],[_Valid]]=1),0,IF(INDEX(tsk_Critical,AssignmentTable[[#This Row],[_TaskPos]])="Yes",1,0))</f>
        <v>0</v>
      </c>
      <c r="U9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2" customFormat="false" ht="15" hidden="false" customHeight="false" outlineLevel="0" collapsed="false">
      <c r="B92" s="52"/>
      <c r="C92" s="30" t="str">
        <f aca="false">IF(AssignmentTable[[#This Row],[_TaskPos]]&lt;=0,"",INDEX(tsk_Name,AssignmentTable[[#This Row],[_TaskPos]])&amp;"")</f>
        <v/>
      </c>
      <c r="D92" s="53"/>
      <c r="E92" s="95"/>
      <c r="F92" s="110" t="n">
        <f aca="false">IF(AssignmentTable[[#This Row],[_Valid]]=1,N(INDEX(tsk_Duration,AssignmentTable[[#This Row],[_TaskPos]]))*HoursPerDay*IF(AssignmentTable[[#This Row],[Units]]="",DefaultUnits,AssignmentTable[[#This Row],[Units]]),0)</f>
        <v>0</v>
      </c>
      <c r="G92" s="111" t="n">
        <f aca="false">IF(AssignmentTable[[#This Row],[Work]]=0,0,AssignmentTable[[#This Row],[Work]]*IFERROR(INDEX(res_Rate,MATCH(AssignmentTable[[#This Row],[Resource]],res_Name,0)),0))</f>
        <v>0</v>
      </c>
      <c r="H9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2" s="38" t="n">
        <f aca="false">IF(N(AssignmentTable[[#This Row],[Task UID]])=0,0,IFERROR(MATCH(AssignmentTable[[#This Row],[Task UID]],tsk_UID,0),-1))</f>
        <v>0</v>
      </c>
      <c r="J92" s="38" t="n">
        <f aca="false">IF(AND(AssignmentTable[[#This Row],[_TaskPos]]&gt;0,AssignmentTable[[#This Row],[Resource]]&lt;&gt;"",AssignmentTable[[#This Row],[Check]]=""),1,0)</f>
        <v>0</v>
      </c>
      <c r="K92" s="38" t="str">
        <f aca="false">IF(AssignmentTable[[#This Row],[_Valid]]=1,AssignmentTable[[#This Row],[Task UID]]*1000+COUNTIFS(AssignmentTable[[#Headers],[Task UID]]:AssignmentTable[[#This Row],[Task UID]],AssignmentTable[[#This Row],[Task UID]],AssignmentTable[[#Headers],[_Valid]]:AssignmentTable[[#This Row],[_Valid]],1),"")</f>
        <v/>
      </c>
      <c r="L92" s="38" t="str">
        <f aca="false">IF(AssignmentTable[[#This Row],[_Valid]]=1,AssignmentTable[[#This Row],[Resource]]&amp;IF(OR(AssignmentTable[[#This Row],[Units]]="",AssignmentTable[[#This Row],[Units]]=1),"","["&amp;ROUND(AssignmentTable[[#This Row],[Units]]*100,0)&amp;"%]"),"")</f>
        <v/>
      </c>
      <c r="M92" s="38" t="n">
        <f aca="false">IF(AssignmentTable[[#This Row],[_Valid]]=1,N(INDEX(tsk_StartWD,AssignmentTable[[#This Row],[_TaskPos]])),0)</f>
        <v>0</v>
      </c>
      <c r="N92" s="38" t="n">
        <f aca="false">IF(AssignmentTable[[#This Row],[_Valid]]=1,N(INDEX(tsk_FinishWD,AssignmentTable[[#This Row],[_TaskPos]])),0)</f>
        <v>0</v>
      </c>
      <c r="O92" s="38" t="n">
        <f aca="false">IF(OR(AssignmentTable[[#This Row],[Work]]=0,AssignmentTable[[#This Row],[_FinishWD]]=0),0,AssignmentTable[[#This Row],[Work]]/(AssignmentTable[[#This Row],[_FinishWD]]-AssignmentTable[[#This Row],[_StartWD]]+1))</f>
        <v>0</v>
      </c>
      <c r="P92" s="38" t="n">
        <f aca="false">AssignmentTable[[#This Row],[_WorkPerWD]]*MAX(0,AssignmentTable[[#This Row],[_StartWD]]-1)</f>
        <v>0</v>
      </c>
      <c r="Q92" s="38" t="n">
        <f aca="false">IF(AssignmentTable[[#This Row],[_Valid]]=1,AssignmentTable[[#This Row],[Work]]*N(INDEX(tsk_LeafProgress,AssignmentTable[[#This Row],[_TaskPos]])),0)</f>
        <v>0</v>
      </c>
      <c r="R92" s="38" t="n">
        <f aca="false">IF(NOT(AssignmentTable[[#This Row],[_Valid]]=1),0,IF(N(INDEX(tsk_LeafTotalCost,AssignmentTable[[#This Row],[_TaskPos]]))=0,0,N(INDEX(tsk_LeafAC,AssignmentTable[[#This Row],[_TaskPos]]))*AssignmentTable[[#This Row],[Cost]]/INDEX(tsk_LeafTotalCost,AssignmentTable[[#This Row],[_TaskPos]])))</f>
        <v>0</v>
      </c>
      <c r="S92" s="38" t="n">
        <f aca="false">IF(NOT(AssignmentTable[[#This Row],[_Valid]]=1),0,IF(N(INDEX(tsk_LateKey,AssignmentTable[[#This Row],[_TaskPos]]))&gt;0,1,0))</f>
        <v>0</v>
      </c>
      <c r="T92" s="38" t="n">
        <f aca="false">IF(NOT(AssignmentTable[[#This Row],[_Valid]]=1),0,IF(INDEX(tsk_Critical,AssignmentTable[[#This Row],[_TaskPos]])="Yes",1,0))</f>
        <v>0</v>
      </c>
      <c r="U9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3" customFormat="false" ht="15" hidden="false" customHeight="false" outlineLevel="0" collapsed="false">
      <c r="B93" s="52"/>
      <c r="C93" s="30" t="str">
        <f aca="false">IF(AssignmentTable[[#This Row],[_TaskPos]]&lt;=0,"",INDEX(tsk_Name,AssignmentTable[[#This Row],[_TaskPos]])&amp;"")</f>
        <v/>
      </c>
      <c r="D93" s="53"/>
      <c r="E93" s="95"/>
      <c r="F93" s="110" t="n">
        <f aca="false">IF(AssignmentTable[[#This Row],[_Valid]]=1,N(INDEX(tsk_Duration,AssignmentTable[[#This Row],[_TaskPos]]))*HoursPerDay*IF(AssignmentTable[[#This Row],[Units]]="",DefaultUnits,AssignmentTable[[#This Row],[Units]]),0)</f>
        <v>0</v>
      </c>
      <c r="G93" s="111" t="n">
        <f aca="false">IF(AssignmentTable[[#This Row],[Work]]=0,0,AssignmentTable[[#This Row],[Work]]*IFERROR(INDEX(res_Rate,MATCH(AssignmentTable[[#This Row],[Resource]],res_Name,0)),0))</f>
        <v>0</v>
      </c>
      <c r="H9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3" s="38" t="n">
        <f aca="false">IF(N(AssignmentTable[[#This Row],[Task UID]])=0,0,IFERROR(MATCH(AssignmentTable[[#This Row],[Task UID]],tsk_UID,0),-1))</f>
        <v>0</v>
      </c>
      <c r="J93" s="38" t="n">
        <f aca="false">IF(AND(AssignmentTable[[#This Row],[_TaskPos]]&gt;0,AssignmentTable[[#This Row],[Resource]]&lt;&gt;"",AssignmentTable[[#This Row],[Check]]=""),1,0)</f>
        <v>0</v>
      </c>
      <c r="K93" s="38" t="str">
        <f aca="false">IF(AssignmentTable[[#This Row],[_Valid]]=1,AssignmentTable[[#This Row],[Task UID]]*1000+COUNTIFS(AssignmentTable[[#Headers],[Task UID]]:AssignmentTable[[#This Row],[Task UID]],AssignmentTable[[#This Row],[Task UID]],AssignmentTable[[#Headers],[_Valid]]:AssignmentTable[[#This Row],[_Valid]],1),"")</f>
        <v/>
      </c>
      <c r="L93" s="38" t="str">
        <f aca="false">IF(AssignmentTable[[#This Row],[_Valid]]=1,AssignmentTable[[#This Row],[Resource]]&amp;IF(OR(AssignmentTable[[#This Row],[Units]]="",AssignmentTable[[#This Row],[Units]]=1),"","["&amp;ROUND(AssignmentTable[[#This Row],[Units]]*100,0)&amp;"%]"),"")</f>
        <v/>
      </c>
      <c r="M93" s="38" t="n">
        <f aca="false">IF(AssignmentTable[[#This Row],[_Valid]]=1,N(INDEX(tsk_StartWD,AssignmentTable[[#This Row],[_TaskPos]])),0)</f>
        <v>0</v>
      </c>
      <c r="N93" s="38" t="n">
        <f aca="false">IF(AssignmentTable[[#This Row],[_Valid]]=1,N(INDEX(tsk_FinishWD,AssignmentTable[[#This Row],[_TaskPos]])),0)</f>
        <v>0</v>
      </c>
      <c r="O93" s="38" t="n">
        <f aca="false">IF(OR(AssignmentTable[[#This Row],[Work]]=0,AssignmentTable[[#This Row],[_FinishWD]]=0),0,AssignmentTable[[#This Row],[Work]]/(AssignmentTable[[#This Row],[_FinishWD]]-AssignmentTable[[#This Row],[_StartWD]]+1))</f>
        <v>0</v>
      </c>
      <c r="P93" s="38" t="n">
        <f aca="false">AssignmentTable[[#This Row],[_WorkPerWD]]*MAX(0,AssignmentTable[[#This Row],[_StartWD]]-1)</f>
        <v>0</v>
      </c>
      <c r="Q93" s="38" t="n">
        <f aca="false">IF(AssignmentTable[[#This Row],[_Valid]]=1,AssignmentTable[[#This Row],[Work]]*N(INDEX(tsk_LeafProgress,AssignmentTable[[#This Row],[_TaskPos]])),0)</f>
        <v>0</v>
      </c>
      <c r="R93" s="38" t="n">
        <f aca="false">IF(NOT(AssignmentTable[[#This Row],[_Valid]]=1),0,IF(N(INDEX(tsk_LeafTotalCost,AssignmentTable[[#This Row],[_TaskPos]]))=0,0,N(INDEX(tsk_LeafAC,AssignmentTable[[#This Row],[_TaskPos]]))*AssignmentTable[[#This Row],[Cost]]/INDEX(tsk_LeafTotalCost,AssignmentTable[[#This Row],[_TaskPos]])))</f>
        <v>0</v>
      </c>
      <c r="S93" s="38" t="n">
        <f aca="false">IF(NOT(AssignmentTable[[#This Row],[_Valid]]=1),0,IF(N(INDEX(tsk_LateKey,AssignmentTable[[#This Row],[_TaskPos]]))&gt;0,1,0))</f>
        <v>0</v>
      </c>
      <c r="T93" s="38" t="n">
        <f aca="false">IF(NOT(AssignmentTable[[#This Row],[_Valid]]=1),0,IF(INDEX(tsk_Critical,AssignmentTable[[#This Row],[_TaskPos]])="Yes",1,0))</f>
        <v>0</v>
      </c>
      <c r="U9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4" customFormat="false" ht="15" hidden="false" customHeight="false" outlineLevel="0" collapsed="false">
      <c r="B94" s="52"/>
      <c r="C94" s="30" t="str">
        <f aca="false">IF(AssignmentTable[[#This Row],[_TaskPos]]&lt;=0,"",INDEX(tsk_Name,AssignmentTable[[#This Row],[_TaskPos]])&amp;"")</f>
        <v/>
      </c>
      <c r="D94" s="53"/>
      <c r="E94" s="95"/>
      <c r="F94" s="110" t="n">
        <f aca="false">IF(AssignmentTable[[#This Row],[_Valid]]=1,N(INDEX(tsk_Duration,AssignmentTable[[#This Row],[_TaskPos]]))*HoursPerDay*IF(AssignmentTable[[#This Row],[Units]]="",DefaultUnits,AssignmentTable[[#This Row],[Units]]),0)</f>
        <v>0</v>
      </c>
      <c r="G94" s="111" t="n">
        <f aca="false">IF(AssignmentTable[[#This Row],[Work]]=0,0,AssignmentTable[[#This Row],[Work]]*IFERROR(INDEX(res_Rate,MATCH(AssignmentTable[[#This Row],[Resource]],res_Name,0)),0))</f>
        <v>0</v>
      </c>
      <c r="H9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4" s="38" t="n">
        <f aca="false">IF(N(AssignmentTable[[#This Row],[Task UID]])=0,0,IFERROR(MATCH(AssignmentTable[[#This Row],[Task UID]],tsk_UID,0),-1))</f>
        <v>0</v>
      </c>
      <c r="J94" s="38" t="n">
        <f aca="false">IF(AND(AssignmentTable[[#This Row],[_TaskPos]]&gt;0,AssignmentTable[[#This Row],[Resource]]&lt;&gt;"",AssignmentTable[[#This Row],[Check]]=""),1,0)</f>
        <v>0</v>
      </c>
      <c r="K94" s="38" t="str">
        <f aca="false">IF(AssignmentTable[[#This Row],[_Valid]]=1,AssignmentTable[[#This Row],[Task UID]]*1000+COUNTIFS(AssignmentTable[[#Headers],[Task UID]]:AssignmentTable[[#This Row],[Task UID]],AssignmentTable[[#This Row],[Task UID]],AssignmentTable[[#Headers],[_Valid]]:AssignmentTable[[#This Row],[_Valid]],1),"")</f>
        <v/>
      </c>
      <c r="L94" s="38" t="str">
        <f aca="false">IF(AssignmentTable[[#This Row],[_Valid]]=1,AssignmentTable[[#This Row],[Resource]]&amp;IF(OR(AssignmentTable[[#This Row],[Units]]="",AssignmentTable[[#This Row],[Units]]=1),"","["&amp;ROUND(AssignmentTable[[#This Row],[Units]]*100,0)&amp;"%]"),"")</f>
        <v/>
      </c>
      <c r="M94" s="38" t="n">
        <f aca="false">IF(AssignmentTable[[#This Row],[_Valid]]=1,N(INDEX(tsk_StartWD,AssignmentTable[[#This Row],[_TaskPos]])),0)</f>
        <v>0</v>
      </c>
      <c r="N94" s="38" t="n">
        <f aca="false">IF(AssignmentTable[[#This Row],[_Valid]]=1,N(INDEX(tsk_FinishWD,AssignmentTable[[#This Row],[_TaskPos]])),0)</f>
        <v>0</v>
      </c>
      <c r="O94" s="38" t="n">
        <f aca="false">IF(OR(AssignmentTable[[#This Row],[Work]]=0,AssignmentTable[[#This Row],[_FinishWD]]=0),0,AssignmentTable[[#This Row],[Work]]/(AssignmentTable[[#This Row],[_FinishWD]]-AssignmentTable[[#This Row],[_StartWD]]+1))</f>
        <v>0</v>
      </c>
      <c r="P94" s="38" t="n">
        <f aca="false">AssignmentTable[[#This Row],[_WorkPerWD]]*MAX(0,AssignmentTable[[#This Row],[_StartWD]]-1)</f>
        <v>0</v>
      </c>
      <c r="Q94" s="38" t="n">
        <f aca="false">IF(AssignmentTable[[#This Row],[_Valid]]=1,AssignmentTable[[#This Row],[Work]]*N(INDEX(tsk_LeafProgress,AssignmentTable[[#This Row],[_TaskPos]])),0)</f>
        <v>0</v>
      </c>
      <c r="R94" s="38" t="n">
        <f aca="false">IF(NOT(AssignmentTable[[#This Row],[_Valid]]=1),0,IF(N(INDEX(tsk_LeafTotalCost,AssignmentTable[[#This Row],[_TaskPos]]))=0,0,N(INDEX(tsk_LeafAC,AssignmentTable[[#This Row],[_TaskPos]]))*AssignmentTable[[#This Row],[Cost]]/INDEX(tsk_LeafTotalCost,AssignmentTable[[#This Row],[_TaskPos]])))</f>
        <v>0</v>
      </c>
      <c r="S94" s="38" t="n">
        <f aca="false">IF(NOT(AssignmentTable[[#This Row],[_Valid]]=1),0,IF(N(INDEX(tsk_LateKey,AssignmentTable[[#This Row],[_TaskPos]]))&gt;0,1,0))</f>
        <v>0</v>
      </c>
      <c r="T94" s="38" t="n">
        <f aca="false">IF(NOT(AssignmentTable[[#This Row],[_Valid]]=1),0,IF(INDEX(tsk_Critical,AssignmentTable[[#This Row],[_TaskPos]])="Yes",1,0))</f>
        <v>0</v>
      </c>
      <c r="U9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5" customFormat="false" ht="15" hidden="false" customHeight="false" outlineLevel="0" collapsed="false">
      <c r="B95" s="52"/>
      <c r="C95" s="30" t="str">
        <f aca="false">IF(AssignmentTable[[#This Row],[_TaskPos]]&lt;=0,"",INDEX(tsk_Name,AssignmentTable[[#This Row],[_TaskPos]])&amp;"")</f>
        <v/>
      </c>
      <c r="D95" s="53"/>
      <c r="E95" s="95"/>
      <c r="F95" s="110" t="n">
        <f aca="false">IF(AssignmentTable[[#This Row],[_Valid]]=1,N(INDEX(tsk_Duration,AssignmentTable[[#This Row],[_TaskPos]]))*HoursPerDay*IF(AssignmentTable[[#This Row],[Units]]="",DefaultUnits,AssignmentTable[[#This Row],[Units]]),0)</f>
        <v>0</v>
      </c>
      <c r="G95" s="111" t="n">
        <f aca="false">IF(AssignmentTable[[#This Row],[Work]]=0,0,AssignmentTable[[#This Row],[Work]]*IFERROR(INDEX(res_Rate,MATCH(AssignmentTable[[#This Row],[Resource]],res_Name,0)),0))</f>
        <v>0</v>
      </c>
      <c r="H9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5" s="38" t="n">
        <f aca="false">IF(N(AssignmentTable[[#This Row],[Task UID]])=0,0,IFERROR(MATCH(AssignmentTable[[#This Row],[Task UID]],tsk_UID,0),-1))</f>
        <v>0</v>
      </c>
      <c r="J95" s="38" t="n">
        <f aca="false">IF(AND(AssignmentTable[[#This Row],[_TaskPos]]&gt;0,AssignmentTable[[#This Row],[Resource]]&lt;&gt;"",AssignmentTable[[#This Row],[Check]]=""),1,0)</f>
        <v>0</v>
      </c>
      <c r="K95" s="38" t="str">
        <f aca="false">IF(AssignmentTable[[#This Row],[_Valid]]=1,AssignmentTable[[#This Row],[Task UID]]*1000+COUNTIFS(AssignmentTable[[#Headers],[Task UID]]:AssignmentTable[[#This Row],[Task UID]],AssignmentTable[[#This Row],[Task UID]],AssignmentTable[[#Headers],[_Valid]]:AssignmentTable[[#This Row],[_Valid]],1),"")</f>
        <v/>
      </c>
      <c r="L95" s="38" t="str">
        <f aca="false">IF(AssignmentTable[[#This Row],[_Valid]]=1,AssignmentTable[[#This Row],[Resource]]&amp;IF(OR(AssignmentTable[[#This Row],[Units]]="",AssignmentTable[[#This Row],[Units]]=1),"","["&amp;ROUND(AssignmentTable[[#This Row],[Units]]*100,0)&amp;"%]"),"")</f>
        <v/>
      </c>
      <c r="M95" s="38" t="n">
        <f aca="false">IF(AssignmentTable[[#This Row],[_Valid]]=1,N(INDEX(tsk_StartWD,AssignmentTable[[#This Row],[_TaskPos]])),0)</f>
        <v>0</v>
      </c>
      <c r="N95" s="38" t="n">
        <f aca="false">IF(AssignmentTable[[#This Row],[_Valid]]=1,N(INDEX(tsk_FinishWD,AssignmentTable[[#This Row],[_TaskPos]])),0)</f>
        <v>0</v>
      </c>
      <c r="O95" s="38" t="n">
        <f aca="false">IF(OR(AssignmentTable[[#This Row],[Work]]=0,AssignmentTable[[#This Row],[_FinishWD]]=0),0,AssignmentTable[[#This Row],[Work]]/(AssignmentTable[[#This Row],[_FinishWD]]-AssignmentTable[[#This Row],[_StartWD]]+1))</f>
        <v>0</v>
      </c>
      <c r="P95" s="38" t="n">
        <f aca="false">AssignmentTable[[#This Row],[_WorkPerWD]]*MAX(0,AssignmentTable[[#This Row],[_StartWD]]-1)</f>
        <v>0</v>
      </c>
      <c r="Q95" s="38" t="n">
        <f aca="false">IF(AssignmentTable[[#This Row],[_Valid]]=1,AssignmentTable[[#This Row],[Work]]*N(INDEX(tsk_LeafProgress,AssignmentTable[[#This Row],[_TaskPos]])),0)</f>
        <v>0</v>
      </c>
      <c r="R95" s="38" t="n">
        <f aca="false">IF(NOT(AssignmentTable[[#This Row],[_Valid]]=1),0,IF(N(INDEX(tsk_LeafTotalCost,AssignmentTable[[#This Row],[_TaskPos]]))=0,0,N(INDEX(tsk_LeafAC,AssignmentTable[[#This Row],[_TaskPos]]))*AssignmentTable[[#This Row],[Cost]]/INDEX(tsk_LeafTotalCost,AssignmentTable[[#This Row],[_TaskPos]])))</f>
        <v>0</v>
      </c>
      <c r="S95" s="38" t="n">
        <f aca="false">IF(NOT(AssignmentTable[[#This Row],[_Valid]]=1),0,IF(N(INDEX(tsk_LateKey,AssignmentTable[[#This Row],[_TaskPos]]))&gt;0,1,0))</f>
        <v>0</v>
      </c>
      <c r="T95" s="38" t="n">
        <f aca="false">IF(NOT(AssignmentTable[[#This Row],[_Valid]]=1),0,IF(INDEX(tsk_Critical,AssignmentTable[[#This Row],[_TaskPos]])="Yes",1,0))</f>
        <v>0</v>
      </c>
      <c r="U9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6" customFormat="false" ht="15" hidden="false" customHeight="false" outlineLevel="0" collapsed="false">
      <c r="B96" s="52"/>
      <c r="C96" s="30" t="str">
        <f aca="false">IF(AssignmentTable[[#This Row],[_TaskPos]]&lt;=0,"",INDEX(tsk_Name,AssignmentTable[[#This Row],[_TaskPos]])&amp;"")</f>
        <v/>
      </c>
      <c r="D96" s="53"/>
      <c r="E96" s="95"/>
      <c r="F96" s="110" t="n">
        <f aca="false">IF(AssignmentTable[[#This Row],[_Valid]]=1,N(INDEX(tsk_Duration,AssignmentTable[[#This Row],[_TaskPos]]))*HoursPerDay*IF(AssignmentTable[[#This Row],[Units]]="",DefaultUnits,AssignmentTable[[#This Row],[Units]]),0)</f>
        <v>0</v>
      </c>
      <c r="G96" s="111" t="n">
        <f aca="false">IF(AssignmentTable[[#This Row],[Work]]=0,0,AssignmentTable[[#This Row],[Work]]*IFERROR(INDEX(res_Rate,MATCH(AssignmentTable[[#This Row],[Resource]],res_Name,0)),0))</f>
        <v>0</v>
      </c>
      <c r="H9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6" s="38" t="n">
        <f aca="false">IF(N(AssignmentTable[[#This Row],[Task UID]])=0,0,IFERROR(MATCH(AssignmentTable[[#This Row],[Task UID]],tsk_UID,0),-1))</f>
        <v>0</v>
      </c>
      <c r="J96" s="38" t="n">
        <f aca="false">IF(AND(AssignmentTable[[#This Row],[_TaskPos]]&gt;0,AssignmentTable[[#This Row],[Resource]]&lt;&gt;"",AssignmentTable[[#This Row],[Check]]=""),1,0)</f>
        <v>0</v>
      </c>
      <c r="K96" s="38" t="str">
        <f aca="false">IF(AssignmentTable[[#This Row],[_Valid]]=1,AssignmentTable[[#This Row],[Task UID]]*1000+COUNTIFS(AssignmentTable[[#Headers],[Task UID]]:AssignmentTable[[#This Row],[Task UID]],AssignmentTable[[#This Row],[Task UID]],AssignmentTable[[#Headers],[_Valid]]:AssignmentTable[[#This Row],[_Valid]],1),"")</f>
        <v/>
      </c>
      <c r="L96" s="38" t="str">
        <f aca="false">IF(AssignmentTable[[#This Row],[_Valid]]=1,AssignmentTable[[#This Row],[Resource]]&amp;IF(OR(AssignmentTable[[#This Row],[Units]]="",AssignmentTable[[#This Row],[Units]]=1),"","["&amp;ROUND(AssignmentTable[[#This Row],[Units]]*100,0)&amp;"%]"),"")</f>
        <v/>
      </c>
      <c r="M96" s="38" t="n">
        <f aca="false">IF(AssignmentTable[[#This Row],[_Valid]]=1,N(INDEX(tsk_StartWD,AssignmentTable[[#This Row],[_TaskPos]])),0)</f>
        <v>0</v>
      </c>
      <c r="N96" s="38" t="n">
        <f aca="false">IF(AssignmentTable[[#This Row],[_Valid]]=1,N(INDEX(tsk_FinishWD,AssignmentTable[[#This Row],[_TaskPos]])),0)</f>
        <v>0</v>
      </c>
      <c r="O96" s="38" t="n">
        <f aca="false">IF(OR(AssignmentTable[[#This Row],[Work]]=0,AssignmentTable[[#This Row],[_FinishWD]]=0),0,AssignmentTable[[#This Row],[Work]]/(AssignmentTable[[#This Row],[_FinishWD]]-AssignmentTable[[#This Row],[_StartWD]]+1))</f>
        <v>0</v>
      </c>
      <c r="P96" s="38" t="n">
        <f aca="false">AssignmentTable[[#This Row],[_WorkPerWD]]*MAX(0,AssignmentTable[[#This Row],[_StartWD]]-1)</f>
        <v>0</v>
      </c>
      <c r="Q96" s="38" t="n">
        <f aca="false">IF(AssignmentTable[[#This Row],[_Valid]]=1,AssignmentTable[[#This Row],[Work]]*N(INDEX(tsk_LeafProgress,AssignmentTable[[#This Row],[_TaskPos]])),0)</f>
        <v>0</v>
      </c>
      <c r="R96" s="38" t="n">
        <f aca="false">IF(NOT(AssignmentTable[[#This Row],[_Valid]]=1),0,IF(N(INDEX(tsk_LeafTotalCost,AssignmentTable[[#This Row],[_TaskPos]]))=0,0,N(INDEX(tsk_LeafAC,AssignmentTable[[#This Row],[_TaskPos]]))*AssignmentTable[[#This Row],[Cost]]/INDEX(tsk_LeafTotalCost,AssignmentTable[[#This Row],[_TaskPos]])))</f>
        <v>0</v>
      </c>
      <c r="S96" s="38" t="n">
        <f aca="false">IF(NOT(AssignmentTable[[#This Row],[_Valid]]=1),0,IF(N(INDEX(tsk_LateKey,AssignmentTable[[#This Row],[_TaskPos]]))&gt;0,1,0))</f>
        <v>0</v>
      </c>
      <c r="T96" s="38" t="n">
        <f aca="false">IF(NOT(AssignmentTable[[#This Row],[_Valid]]=1),0,IF(INDEX(tsk_Critical,AssignmentTable[[#This Row],[_TaskPos]])="Yes",1,0))</f>
        <v>0</v>
      </c>
      <c r="U9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7" customFormat="false" ht="15" hidden="false" customHeight="false" outlineLevel="0" collapsed="false">
      <c r="B97" s="52"/>
      <c r="C97" s="30" t="str">
        <f aca="false">IF(AssignmentTable[[#This Row],[_TaskPos]]&lt;=0,"",INDEX(tsk_Name,AssignmentTable[[#This Row],[_TaskPos]])&amp;"")</f>
        <v/>
      </c>
      <c r="D97" s="53"/>
      <c r="E97" s="95"/>
      <c r="F97" s="110" t="n">
        <f aca="false">IF(AssignmentTable[[#This Row],[_Valid]]=1,N(INDEX(tsk_Duration,AssignmentTable[[#This Row],[_TaskPos]]))*HoursPerDay*IF(AssignmentTable[[#This Row],[Units]]="",DefaultUnits,AssignmentTable[[#This Row],[Units]]),0)</f>
        <v>0</v>
      </c>
      <c r="G97" s="111" t="n">
        <f aca="false">IF(AssignmentTable[[#This Row],[Work]]=0,0,AssignmentTable[[#This Row],[Work]]*IFERROR(INDEX(res_Rate,MATCH(AssignmentTable[[#This Row],[Resource]],res_Name,0)),0))</f>
        <v>0</v>
      </c>
      <c r="H9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7" s="38" t="n">
        <f aca="false">IF(N(AssignmentTable[[#This Row],[Task UID]])=0,0,IFERROR(MATCH(AssignmentTable[[#This Row],[Task UID]],tsk_UID,0),-1))</f>
        <v>0</v>
      </c>
      <c r="J97" s="38" t="n">
        <f aca="false">IF(AND(AssignmentTable[[#This Row],[_TaskPos]]&gt;0,AssignmentTable[[#This Row],[Resource]]&lt;&gt;"",AssignmentTable[[#This Row],[Check]]=""),1,0)</f>
        <v>0</v>
      </c>
      <c r="K97" s="38" t="str">
        <f aca="false">IF(AssignmentTable[[#This Row],[_Valid]]=1,AssignmentTable[[#This Row],[Task UID]]*1000+COUNTIFS(AssignmentTable[[#Headers],[Task UID]]:AssignmentTable[[#This Row],[Task UID]],AssignmentTable[[#This Row],[Task UID]],AssignmentTable[[#Headers],[_Valid]]:AssignmentTable[[#This Row],[_Valid]],1),"")</f>
        <v/>
      </c>
      <c r="L97" s="38" t="str">
        <f aca="false">IF(AssignmentTable[[#This Row],[_Valid]]=1,AssignmentTable[[#This Row],[Resource]]&amp;IF(OR(AssignmentTable[[#This Row],[Units]]="",AssignmentTable[[#This Row],[Units]]=1),"","["&amp;ROUND(AssignmentTable[[#This Row],[Units]]*100,0)&amp;"%]"),"")</f>
        <v/>
      </c>
      <c r="M97" s="38" t="n">
        <f aca="false">IF(AssignmentTable[[#This Row],[_Valid]]=1,N(INDEX(tsk_StartWD,AssignmentTable[[#This Row],[_TaskPos]])),0)</f>
        <v>0</v>
      </c>
      <c r="N97" s="38" t="n">
        <f aca="false">IF(AssignmentTable[[#This Row],[_Valid]]=1,N(INDEX(tsk_FinishWD,AssignmentTable[[#This Row],[_TaskPos]])),0)</f>
        <v>0</v>
      </c>
      <c r="O97" s="38" t="n">
        <f aca="false">IF(OR(AssignmentTable[[#This Row],[Work]]=0,AssignmentTable[[#This Row],[_FinishWD]]=0),0,AssignmentTable[[#This Row],[Work]]/(AssignmentTable[[#This Row],[_FinishWD]]-AssignmentTable[[#This Row],[_StartWD]]+1))</f>
        <v>0</v>
      </c>
      <c r="P97" s="38" t="n">
        <f aca="false">AssignmentTable[[#This Row],[_WorkPerWD]]*MAX(0,AssignmentTable[[#This Row],[_StartWD]]-1)</f>
        <v>0</v>
      </c>
      <c r="Q97" s="38" t="n">
        <f aca="false">IF(AssignmentTable[[#This Row],[_Valid]]=1,AssignmentTable[[#This Row],[Work]]*N(INDEX(tsk_LeafProgress,AssignmentTable[[#This Row],[_TaskPos]])),0)</f>
        <v>0</v>
      </c>
      <c r="R97" s="38" t="n">
        <f aca="false">IF(NOT(AssignmentTable[[#This Row],[_Valid]]=1),0,IF(N(INDEX(tsk_LeafTotalCost,AssignmentTable[[#This Row],[_TaskPos]]))=0,0,N(INDEX(tsk_LeafAC,AssignmentTable[[#This Row],[_TaskPos]]))*AssignmentTable[[#This Row],[Cost]]/INDEX(tsk_LeafTotalCost,AssignmentTable[[#This Row],[_TaskPos]])))</f>
        <v>0</v>
      </c>
      <c r="S97" s="38" t="n">
        <f aca="false">IF(NOT(AssignmentTable[[#This Row],[_Valid]]=1),0,IF(N(INDEX(tsk_LateKey,AssignmentTable[[#This Row],[_TaskPos]]))&gt;0,1,0))</f>
        <v>0</v>
      </c>
      <c r="T97" s="38" t="n">
        <f aca="false">IF(NOT(AssignmentTable[[#This Row],[_Valid]]=1),0,IF(INDEX(tsk_Critical,AssignmentTable[[#This Row],[_TaskPos]])="Yes",1,0))</f>
        <v>0</v>
      </c>
      <c r="U9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8" customFormat="false" ht="15" hidden="false" customHeight="false" outlineLevel="0" collapsed="false">
      <c r="B98" s="52"/>
      <c r="C98" s="30" t="str">
        <f aca="false">IF(AssignmentTable[[#This Row],[_TaskPos]]&lt;=0,"",INDEX(tsk_Name,AssignmentTable[[#This Row],[_TaskPos]])&amp;"")</f>
        <v/>
      </c>
      <c r="D98" s="53"/>
      <c r="E98" s="95"/>
      <c r="F98" s="110" t="n">
        <f aca="false">IF(AssignmentTable[[#This Row],[_Valid]]=1,N(INDEX(tsk_Duration,AssignmentTable[[#This Row],[_TaskPos]]))*HoursPerDay*IF(AssignmentTable[[#This Row],[Units]]="",DefaultUnits,AssignmentTable[[#This Row],[Units]]),0)</f>
        <v>0</v>
      </c>
      <c r="G98" s="111" t="n">
        <f aca="false">IF(AssignmentTable[[#This Row],[Work]]=0,0,AssignmentTable[[#This Row],[Work]]*IFERROR(INDEX(res_Rate,MATCH(AssignmentTable[[#This Row],[Resource]],res_Name,0)),0))</f>
        <v>0</v>
      </c>
      <c r="H9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8" s="38" t="n">
        <f aca="false">IF(N(AssignmentTable[[#This Row],[Task UID]])=0,0,IFERROR(MATCH(AssignmentTable[[#This Row],[Task UID]],tsk_UID,0),-1))</f>
        <v>0</v>
      </c>
      <c r="J98" s="38" t="n">
        <f aca="false">IF(AND(AssignmentTable[[#This Row],[_TaskPos]]&gt;0,AssignmentTable[[#This Row],[Resource]]&lt;&gt;"",AssignmentTable[[#This Row],[Check]]=""),1,0)</f>
        <v>0</v>
      </c>
      <c r="K98" s="38" t="str">
        <f aca="false">IF(AssignmentTable[[#This Row],[_Valid]]=1,AssignmentTable[[#This Row],[Task UID]]*1000+COUNTIFS(AssignmentTable[[#Headers],[Task UID]]:AssignmentTable[[#This Row],[Task UID]],AssignmentTable[[#This Row],[Task UID]],AssignmentTable[[#Headers],[_Valid]]:AssignmentTable[[#This Row],[_Valid]],1),"")</f>
        <v/>
      </c>
      <c r="L98" s="38" t="str">
        <f aca="false">IF(AssignmentTable[[#This Row],[_Valid]]=1,AssignmentTable[[#This Row],[Resource]]&amp;IF(OR(AssignmentTable[[#This Row],[Units]]="",AssignmentTable[[#This Row],[Units]]=1),"","["&amp;ROUND(AssignmentTable[[#This Row],[Units]]*100,0)&amp;"%]"),"")</f>
        <v/>
      </c>
      <c r="M98" s="38" t="n">
        <f aca="false">IF(AssignmentTable[[#This Row],[_Valid]]=1,N(INDEX(tsk_StartWD,AssignmentTable[[#This Row],[_TaskPos]])),0)</f>
        <v>0</v>
      </c>
      <c r="N98" s="38" t="n">
        <f aca="false">IF(AssignmentTable[[#This Row],[_Valid]]=1,N(INDEX(tsk_FinishWD,AssignmentTable[[#This Row],[_TaskPos]])),0)</f>
        <v>0</v>
      </c>
      <c r="O98" s="38" t="n">
        <f aca="false">IF(OR(AssignmentTable[[#This Row],[Work]]=0,AssignmentTable[[#This Row],[_FinishWD]]=0),0,AssignmentTable[[#This Row],[Work]]/(AssignmentTable[[#This Row],[_FinishWD]]-AssignmentTable[[#This Row],[_StartWD]]+1))</f>
        <v>0</v>
      </c>
      <c r="P98" s="38" t="n">
        <f aca="false">AssignmentTable[[#This Row],[_WorkPerWD]]*MAX(0,AssignmentTable[[#This Row],[_StartWD]]-1)</f>
        <v>0</v>
      </c>
      <c r="Q98" s="38" t="n">
        <f aca="false">IF(AssignmentTable[[#This Row],[_Valid]]=1,AssignmentTable[[#This Row],[Work]]*N(INDEX(tsk_LeafProgress,AssignmentTable[[#This Row],[_TaskPos]])),0)</f>
        <v>0</v>
      </c>
      <c r="R98" s="38" t="n">
        <f aca="false">IF(NOT(AssignmentTable[[#This Row],[_Valid]]=1),0,IF(N(INDEX(tsk_LeafTotalCost,AssignmentTable[[#This Row],[_TaskPos]]))=0,0,N(INDEX(tsk_LeafAC,AssignmentTable[[#This Row],[_TaskPos]]))*AssignmentTable[[#This Row],[Cost]]/INDEX(tsk_LeafTotalCost,AssignmentTable[[#This Row],[_TaskPos]])))</f>
        <v>0</v>
      </c>
      <c r="S98" s="38" t="n">
        <f aca="false">IF(NOT(AssignmentTable[[#This Row],[_Valid]]=1),0,IF(N(INDEX(tsk_LateKey,AssignmentTable[[#This Row],[_TaskPos]]))&gt;0,1,0))</f>
        <v>0</v>
      </c>
      <c r="T98" s="38" t="n">
        <f aca="false">IF(NOT(AssignmentTable[[#This Row],[_Valid]]=1),0,IF(INDEX(tsk_Critical,AssignmentTable[[#This Row],[_TaskPos]])="Yes",1,0))</f>
        <v>0</v>
      </c>
      <c r="U9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9" customFormat="false" ht="15" hidden="false" customHeight="false" outlineLevel="0" collapsed="false">
      <c r="B99" s="52"/>
      <c r="C99" s="30" t="str">
        <f aca="false">IF(AssignmentTable[[#This Row],[_TaskPos]]&lt;=0,"",INDEX(tsk_Name,AssignmentTable[[#This Row],[_TaskPos]])&amp;"")</f>
        <v/>
      </c>
      <c r="D99" s="53"/>
      <c r="E99" s="95"/>
      <c r="F99" s="110" t="n">
        <f aca="false">IF(AssignmentTable[[#This Row],[_Valid]]=1,N(INDEX(tsk_Duration,AssignmentTable[[#This Row],[_TaskPos]]))*HoursPerDay*IF(AssignmentTable[[#This Row],[Units]]="",DefaultUnits,AssignmentTable[[#This Row],[Units]]),0)</f>
        <v>0</v>
      </c>
      <c r="G99" s="111" t="n">
        <f aca="false">IF(AssignmentTable[[#This Row],[Work]]=0,0,AssignmentTable[[#This Row],[Work]]*IFERROR(INDEX(res_Rate,MATCH(AssignmentTable[[#This Row],[Resource]],res_Name,0)),0))</f>
        <v>0</v>
      </c>
      <c r="H9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9" s="38" t="n">
        <f aca="false">IF(N(AssignmentTable[[#This Row],[Task UID]])=0,0,IFERROR(MATCH(AssignmentTable[[#This Row],[Task UID]],tsk_UID,0),-1))</f>
        <v>0</v>
      </c>
      <c r="J99" s="38" t="n">
        <f aca="false">IF(AND(AssignmentTable[[#This Row],[_TaskPos]]&gt;0,AssignmentTable[[#This Row],[Resource]]&lt;&gt;"",AssignmentTable[[#This Row],[Check]]=""),1,0)</f>
        <v>0</v>
      </c>
      <c r="K99" s="38" t="str">
        <f aca="false">IF(AssignmentTable[[#This Row],[_Valid]]=1,AssignmentTable[[#This Row],[Task UID]]*1000+COUNTIFS(AssignmentTable[[#Headers],[Task UID]]:AssignmentTable[[#This Row],[Task UID]],AssignmentTable[[#This Row],[Task UID]],AssignmentTable[[#Headers],[_Valid]]:AssignmentTable[[#This Row],[_Valid]],1),"")</f>
        <v/>
      </c>
      <c r="L99" s="38" t="str">
        <f aca="false">IF(AssignmentTable[[#This Row],[_Valid]]=1,AssignmentTable[[#This Row],[Resource]]&amp;IF(OR(AssignmentTable[[#This Row],[Units]]="",AssignmentTable[[#This Row],[Units]]=1),"","["&amp;ROUND(AssignmentTable[[#This Row],[Units]]*100,0)&amp;"%]"),"")</f>
        <v/>
      </c>
      <c r="M99" s="38" t="n">
        <f aca="false">IF(AssignmentTable[[#This Row],[_Valid]]=1,N(INDEX(tsk_StartWD,AssignmentTable[[#This Row],[_TaskPos]])),0)</f>
        <v>0</v>
      </c>
      <c r="N99" s="38" t="n">
        <f aca="false">IF(AssignmentTable[[#This Row],[_Valid]]=1,N(INDEX(tsk_FinishWD,AssignmentTable[[#This Row],[_TaskPos]])),0)</f>
        <v>0</v>
      </c>
      <c r="O99" s="38" t="n">
        <f aca="false">IF(OR(AssignmentTable[[#This Row],[Work]]=0,AssignmentTable[[#This Row],[_FinishWD]]=0),0,AssignmentTable[[#This Row],[Work]]/(AssignmentTable[[#This Row],[_FinishWD]]-AssignmentTable[[#This Row],[_StartWD]]+1))</f>
        <v>0</v>
      </c>
      <c r="P99" s="38" t="n">
        <f aca="false">AssignmentTable[[#This Row],[_WorkPerWD]]*MAX(0,AssignmentTable[[#This Row],[_StartWD]]-1)</f>
        <v>0</v>
      </c>
      <c r="Q99" s="38" t="n">
        <f aca="false">IF(AssignmentTable[[#This Row],[_Valid]]=1,AssignmentTable[[#This Row],[Work]]*N(INDEX(tsk_LeafProgress,AssignmentTable[[#This Row],[_TaskPos]])),0)</f>
        <v>0</v>
      </c>
      <c r="R99" s="38" t="n">
        <f aca="false">IF(NOT(AssignmentTable[[#This Row],[_Valid]]=1),0,IF(N(INDEX(tsk_LeafTotalCost,AssignmentTable[[#This Row],[_TaskPos]]))=0,0,N(INDEX(tsk_LeafAC,AssignmentTable[[#This Row],[_TaskPos]]))*AssignmentTable[[#This Row],[Cost]]/INDEX(tsk_LeafTotalCost,AssignmentTable[[#This Row],[_TaskPos]])))</f>
        <v>0</v>
      </c>
      <c r="S99" s="38" t="n">
        <f aca="false">IF(NOT(AssignmentTable[[#This Row],[_Valid]]=1),0,IF(N(INDEX(tsk_LateKey,AssignmentTable[[#This Row],[_TaskPos]]))&gt;0,1,0))</f>
        <v>0</v>
      </c>
      <c r="T99" s="38" t="n">
        <f aca="false">IF(NOT(AssignmentTable[[#This Row],[_Valid]]=1),0,IF(INDEX(tsk_Critical,AssignmentTable[[#This Row],[_TaskPos]])="Yes",1,0))</f>
        <v>0</v>
      </c>
      <c r="U9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0" customFormat="false" ht="15" hidden="false" customHeight="false" outlineLevel="0" collapsed="false">
      <c r="B100" s="52"/>
      <c r="C100" s="30" t="str">
        <f aca="false">IF(AssignmentTable[[#This Row],[_TaskPos]]&lt;=0,"",INDEX(tsk_Name,AssignmentTable[[#This Row],[_TaskPos]])&amp;"")</f>
        <v/>
      </c>
      <c r="D100" s="53"/>
      <c r="E100" s="95"/>
      <c r="F100" s="110" t="n">
        <f aca="false">IF(AssignmentTable[[#This Row],[_Valid]]=1,N(INDEX(tsk_Duration,AssignmentTable[[#This Row],[_TaskPos]]))*HoursPerDay*IF(AssignmentTable[[#This Row],[Units]]="",DefaultUnits,AssignmentTable[[#This Row],[Units]]),0)</f>
        <v>0</v>
      </c>
      <c r="G100" s="111" t="n">
        <f aca="false">IF(AssignmentTable[[#This Row],[Work]]=0,0,AssignmentTable[[#This Row],[Work]]*IFERROR(INDEX(res_Rate,MATCH(AssignmentTable[[#This Row],[Resource]],res_Name,0)),0))</f>
        <v>0</v>
      </c>
      <c r="H10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0" s="38" t="n">
        <f aca="false">IF(N(AssignmentTable[[#This Row],[Task UID]])=0,0,IFERROR(MATCH(AssignmentTable[[#This Row],[Task UID]],tsk_UID,0),-1))</f>
        <v>0</v>
      </c>
      <c r="J100" s="38" t="n">
        <f aca="false">IF(AND(AssignmentTable[[#This Row],[_TaskPos]]&gt;0,AssignmentTable[[#This Row],[Resource]]&lt;&gt;"",AssignmentTable[[#This Row],[Check]]=""),1,0)</f>
        <v>0</v>
      </c>
      <c r="K100" s="38" t="str">
        <f aca="false">IF(AssignmentTable[[#This Row],[_Valid]]=1,AssignmentTable[[#This Row],[Task UID]]*1000+COUNTIFS(AssignmentTable[[#Headers],[Task UID]]:AssignmentTable[[#This Row],[Task UID]],AssignmentTable[[#This Row],[Task UID]],AssignmentTable[[#Headers],[_Valid]]:AssignmentTable[[#This Row],[_Valid]],1),"")</f>
        <v/>
      </c>
      <c r="L100" s="38" t="str">
        <f aca="false">IF(AssignmentTable[[#This Row],[_Valid]]=1,AssignmentTable[[#This Row],[Resource]]&amp;IF(OR(AssignmentTable[[#This Row],[Units]]="",AssignmentTable[[#This Row],[Units]]=1),"","["&amp;ROUND(AssignmentTable[[#This Row],[Units]]*100,0)&amp;"%]"),"")</f>
        <v/>
      </c>
      <c r="M100" s="38" t="n">
        <f aca="false">IF(AssignmentTable[[#This Row],[_Valid]]=1,N(INDEX(tsk_StartWD,AssignmentTable[[#This Row],[_TaskPos]])),0)</f>
        <v>0</v>
      </c>
      <c r="N100" s="38" t="n">
        <f aca="false">IF(AssignmentTable[[#This Row],[_Valid]]=1,N(INDEX(tsk_FinishWD,AssignmentTable[[#This Row],[_TaskPos]])),0)</f>
        <v>0</v>
      </c>
      <c r="O100" s="38" t="n">
        <f aca="false">IF(OR(AssignmentTable[[#This Row],[Work]]=0,AssignmentTable[[#This Row],[_FinishWD]]=0),0,AssignmentTable[[#This Row],[Work]]/(AssignmentTable[[#This Row],[_FinishWD]]-AssignmentTable[[#This Row],[_StartWD]]+1))</f>
        <v>0</v>
      </c>
      <c r="P100" s="38" t="n">
        <f aca="false">AssignmentTable[[#This Row],[_WorkPerWD]]*MAX(0,AssignmentTable[[#This Row],[_StartWD]]-1)</f>
        <v>0</v>
      </c>
      <c r="Q100" s="38" t="n">
        <f aca="false">IF(AssignmentTable[[#This Row],[_Valid]]=1,AssignmentTable[[#This Row],[Work]]*N(INDEX(tsk_LeafProgress,AssignmentTable[[#This Row],[_TaskPos]])),0)</f>
        <v>0</v>
      </c>
      <c r="R100" s="38" t="n">
        <f aca="false">IF(NOT(AssignmentTable[[#This Row],[_Valid]]=1),0,IF(N(INDEX(tsk_LeafTotalCost,AssignmentTable[[#This Row],[_TaskPos]]))=0,0,N(INDEX(tsk_LeafAC,AssignmentTable[[#This Row],[_TaskPos]]))*AssignmentTable[[#This Row],[Cost]]/INDEX(tsk_LeafTotalCost,AssignmentTable[[#This Row],[_TaskPos]])))</f>
        <v>0</v>
      </c>
      <c r="S100" s="38" t="n">
        <f aca="false">IF(NOT(AssignmentTable[[#This Row],[_Valid]]=1),0,IF(N(INDEX(tsk_LateKey,AssignmentTable[[#This Row],[_TaskPos]]))&gt;0,1,0))</f>
        <v>0</v>
      </c>
      <c r="T100" s="38" t="n">
        <f aca="false">IF(NOT(AssignmentTable[[#This Row],[_Valid]]=1),0,IF(INDEX(tsk_Critical,AssignmentTable[[#This Row],[_TaskPos]])="Yes",1,0))</f>
        <v>0</v>
      </c>
      <c r="U10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1" customFormat="false" ht="15" hidden="false" customHeight="false" outlineLevel="0" collapsed="false">
      <c r="B101" s="52"/>
      <c r="C101" s="30" t="str">
        <f aca="false">IF(AssignmentTable[[#This Row],[_TaskPos]]&lt;=0,"",INDEX(tsk_Name,AssignmentTable[[#This Row],[_TaskPos]])&amp;"")</f>
        <v/>
      </c>
      <c r="D101" s="53"/>
      <c r="E101" s="95"/>
      <c r="F101" s="110" t="n">
        <f aca="false">IF(AssignmentTable[[#This Row],[_Valid]]=1,N(INDEX(tsk_Duration,AssignmentTable[[#This Row],[_TaskPos]]))*HoursPerDay*IF(AssignmentTable[[#This Row],[Units]]="",DefaultUnits,AssignmentTable[[#This Row],[Units]]),0)</f>
        <v>0</v>
      </c>
      <c r="G101" s="111" t="n">
        <f aca="false">IF(AssignmentTable[[#This Row],[Work]]=0,0,AssignmentTable[[#This Row],[Work]]*IFERROR(INDEX(res_Rate,MATCH(AssignmentTable[[#This Row],[Resource]],res_Name,0)),0))</f>
        <v>0</v>
      </c>
      <c r="H10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1" s="38" t="n">
        <f aca="false">IF(N(AssignmentTable[[#This Row],[Task UID]])=0,0,IFERROR(MATCH(AssignmentTable[[#This Row],[Task UID]],tsk_UID,0),-1))</f>
        <v>0</v>
      </c>
      <c r="J101" s="38" t="n">
        <f aca="false">IF(AND(AssignmentTable[[#This Row],[_TaskPos]]&gt;0,AssignmentTable[[#This Row],[Resource]]&lt;&gt;"",AssignmentTable[[#This Row],[Check]]=""),1,0)</f>
        <v>0</v>
      </c>
      <c r="K101" s="38" t="str">
        <f aca="false">IF(AssignmentTable[[#This Row],[_Valid]]=1,AssignmentTable[[#This Row],[Task UID]]*1000+COUNTIFS(AssignmentTable[[#Headers],[Task UID]]:AssignmentTable[[#This Row],[Task UID]],AssignmentTable[[#This Row],[Task UID]],AssignmentTable[[#Headers],[_Valid]]:AssignmentTable[[#This Row],[_Valid]],1),"")</f>
        <v/>
      </c>
      <c r="L101" s="38" t="str">
        <f aca="false">IF(AssignmentTable[[#This Row],[_Valid]]=1,AssignmentTable[[#This Row],[Resource]]&amp;IF(OR(AssignmentTable[[#This Row],[Units]]="",AssignmentTable[[#This Row],[Units]]=1),"","["&amp;ROUND(AssignmentTable[[#This Row],[Units]]*100,0)&amp;"%]"),"")</f>
        <v/>
      </c>
      <c r="M101" s="38" t="n">
        <f aca="false">IF(AssignmentTable[[#This Row],[_Valid]]=1,N(INDEX(tsk_StartWD,AssignmentTable[[#This Row],[_TaskPos]])),0)</f>
        <v>0</v>
      </c>
      <c r="N101" s="38" t="n">
        <f aca="false">IF(AssignmentTable[[#This Row],[_Valid]]=1,N(INDEX(tsk_FinishWD,AssignmentTable[[#This Row],[_TaskPos]])),0)</f>
        <v>0</v>
      </c>
      <c r="O101" s="38" t="n">
        <f aca="false">IF(OR(AssignmentTable[[#This Row],[Work]]=0,AssignmentTable[[#This Row],[_FinishWD]]=0),0,AssignmentTable[[#This Row],[Work]]/(AssignmentTable[[#This Row],[_FinishWD]]-AssignmentTable[[#This Row],[_StartWD]]+1))</f>
        <v>0</v>
      </c>
      <c r="P101" s="38" t="n">
        <f aca="false">AssignmentTable[[#This Row],[_WorkPerWD]]*MAX(0,AssignmentTable[[#This Row],[_StartWD]]-1)</f>
        <v>0</v>
      </c>
      <c r="Q101" s="38" t="n">
        <f aca="false">IF(AssignmentTable[[#This Row],[_Valid]]=1,AssignmentTable[[#This Row],[Work]]*N(INDEX(tsk_LeafProgress,AssignmentTable[[#This Row],[_TaskPos]])),0)</f>
        <v>0</v>
      </c>
      <c r="R101" s="38" t="n">
        <f aca="false">IF(NOT(AssignmentTable[[#This Row],[_Valid]]=1),0,IF(N(INDEX(tsk_LeafTotalCost,AssignmentTable[[#This Row],[_TaskPos]]))=0,0,N(INDEX(tsk_LeafAC,AssignmentTable[[#This Row],[_TaskPos]]))*AssignmentTable[[#This Row],[Cost]]/INDEX(tsk_LeafTotalCost,AssignmentTable[[#This Row],[_TaskPos]])))</f>
        <v>0</v>
      </c>
      <c r="S101" s="38" t="n">
        <f aca="false">IF(NOT(AssignmentTable[[#This Row],[_Valid]]=1),0,IF(N(INDEX(tsk_LateKey,AssignmentTable[[#This Row],[_TaskPos]]))&gt;0,1,0))</f>
        <v>0</v>
      </c>
      <c r="T101" s="38" t="n">
        <f aca="false">IF(NOT(AssignmentTable[[#This Row],[_Valid]]=1),0,IF(INDEX(tsk_Critical,AssignmentTable[[#This Row],[_TaskPos]])="Yes",1,0))</f>
        <v>0</v>
      </c>
      <c r="U10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2" customFormat="false" ht="15" hidden="false" customHeight="false" outlineLevel="0" collapsed="false">
      <c r="B102" s="52"/>
      <c r="C102" s="30" t="str">
        <f aca="false">IF(AssignmentTable[[#This Row],[_TaskPos]]&lt;=0,"",INDEX(tsk_Name,AssignmentTable[[#This Row],[_TaskPos]])&amp;"")</f>
        <v/>
      </c>
      <c r="D102" s="53"/>
      <c r="E102" s="95"/>
      <c r="F102" s="110" t="n">
        <f aca="false">IF(AssignmentTable[[#This Row],[_Valid]]=1,N(INDEX(tsk_Duration,AssignmentTable[[#This Row],[_TaskPos]]))*HoursPerDay*IF(AssignmentTable[[#This Row],[Units]]="",DefaultUnits,AssignmentTable[[#This Row],[Units]]),0)</f>
        <v>0</v>
      </c>
      <c r="G102" s="111" t="n">
        <f aca="false">IF(AssignmentTable[[#This Row],[Work]]=0,0,AssignmentTable[[#This Row],[Work]]*IFERROR(INDEX(res_Rate,MATCH(AssignmentTable[[#This Row],[Resource]],res_Name,0)),0))</f>
        <v>0</v>
      </c>
      <c r="H10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2" s="38" t="n">
        <f aca="false">IF(N(AssignmentTable[[#This Row],[Task UID]])=0,0,IFERROR(MATCH(AssignmentTable[[#This Row],[Task UID]],tsk_UID,0),-1))</f>
        <v>0</v>
      </c>
      <c r="J102" s="38" t="n">
        <f aca="false">IF(AND(AssignmentTable[[#This Row],[_TaskPos]]&gt;0,AssignmentTable[[#This Row],[Resource]]&lt;&gt;"",AssignmentTable[[#This Row],[Check]]=""),1,0)</f>
        <v>0</v>
      </c>
      <c r="K102" s="38" t="str">
        <f aca="false">IF(AssignmentTable[[#This Row],[_Valid]]=1,AssignmentTable[[#This Row],[Task UID]]*1000+COUNTIFS(AssignmentTable[[#Headers],[Task UID]]:AssignmentTable[[#This Row],[Task UID]],AssignmentTable[[#This Row],[Task UID]],AssignmentTable[[#Headers],[_Valid]]:AssignmentTable[[#This Row],[_Valid]],1),"")</f>
        <v/>
      </c>
      <c r="L102" s="38" t="str">
        <f aca="false">IF(AssignmentTable[[#This Row],[_Valid]]=1,AssignmentTable[[#This Row],[Resource]]&amp;IF(OR(AssignmentTable[[#This Row],[Units]]="",AssignmentTable[[#This Row],[Units]]=1),"","["&amp;ROUND(AssignmentTable[[#This Row],[Units]]*100,0)&amp;"%]"),"")</f>
        <v/>
      </c>
      <c r="M102" s="38" t="n">
        <f aca="false">IF(AssignmentTable[[#This Row],[_Valid]]=1,N(INDEX(tsk_StartWD,AssignmentTable[[#This Row],[_TaskPos]])),0)</f>
        <v>0</v>
      </c>
      <c r="N102" s="38" t="n">
        <f aca="false">IF(AssignmentTable[[#This Row],[_Valid]]=1,N(INDEX(tsk_FinishWD,AssignmentTable[[#This Row],[_TaskPos]])),0)</f>
        <v>0</v>
      </c>
      <c r="O102" s="38" t="n">
        <f aca="false">IF(OR(AssignmentTable[[#This Row],[Work]]=0,AssignmentTable[[#This Row],[_FinishWD]]=0),0,AssignmentTable[[#This Row],[Work]]/(AssignmentTable[[#This Row],[_FinishWD]]-AssignmentTable[[#This Row],[_StartWD]]+1))</f>
        <v>0</v>
      </c>
      <c r="P102" s="38" t="n">
        <f aca="false">AssignmentTable[[#This Row],[_WorkPerWD]]*MAX(0,AssignmentTable[[#This Row],[_StartWD]]-1)</f>
        <v>0</v>
      </c>
      <c r="Q102" s="38" t="n">
        <f aca="false">IF(AssignmentTable[[#This Row],[_Valid]]=1,AssignmentTable[[#This Row],[Work]]*N(INDEX(tsk_LeafProgress,AssignmentTable[[#This Row],[_TaskPos]])),0)</f>
        <v>0</v>
      </c>
      <c r="R102" s="38" t="n">
        <f aca="false">IF(NOT(AssignmentTable[[#This Row],[_Valid]]=1),0,IF(N(INDEX(tsk_LeafTotalCost,AssignmentTable[[#This Row],[_TaskPos]]))=0,0,N(INDEX(tsk_LeafAC,AssignmentTable[[#This Row],[_TaskPos]]))*AssignmentTable[[#This Row],[Cost]]/INDEX(tsk_LeafTotalCost,AssignmentTable[[#This Row],[_TaskPos]])))</f>
        <v>0</v>
      </c>
      <c r="S102" s="38" t="n">
        <f aca="false">IF(NOT(AssignmentTable[[#This Row],[_Valid]]=1),0,IF(N(INDEX(tsk_LateKey,AssignmentTable[[#This Row],[_TaskPos]]))&gt;0,1,0))</f>
        <v>0</v>
      </c>
      <c r="T102" s="38" t="n">
        <f aca="false">IF(NOT(AssignmentTable[[#This Row],[_Valid]]=1),0,IF(INDEX(tsk_Critical,AssignmentTable[[#This Row],[_TaskPos]])="Yes",1,0))</f>
        <v>0</v>
      </c>
      <c r="U10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3" customFormat="false" ht="15" hidden="false" customHeight="false" outlineLevel="0" collapsed="false">
      <c r="B103" s="52"/>
      <c r="C103" s="30" t="str">
        <f aca="false">IF(AssignmentTable[[#This Row],[_TaskPos]]&lt;=0,"",INDEX(tsk_Name,AssignmentTable[[#This Row],[_TaskPos]])&amp;"")</f>
        <v/>
      </c>
      <c r="D103" s="53"/>
      <c r="E103" s="95"/>
      <c r="F103" s="110" t="n">
        <f aca="false">IF(AssignmentTable[[#This Row],[_Valid]]=1,N(INDEX(tsk_Duration,AssignmentTable[[#This Row],[_TaskPos]]))*HoursPerDay*IF(AssignmentTable[[#This Row],[Units]]="",DefaultUnits,AssignmentTable[[#This Row],[Units]]),0)</f>
        <v>0</v>
      </c>
      <c r="G103" s="111" t="n">
        <f aca="false">IF(AssignmentTable[[#This Row],[Work]]=0,0,AssignmentTable[[#This Row],[Work]]*IFERROR(INDEX(res_Rate,MATCH(AssignmentTable[[#This Row],[Resource]],res_Name,0)),0))</f>
        <v>0</v>
      </c>
      <c r="H10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3" s="38" t="n">
        <f aca="false">IF(N(AssignmentTable[[#This Row],[Task UID]])=0,0,IFERROR(MATCH(AssignmentTable[[#This Row],[Task UID]],tsk_UID,0),-1))</f>
        <v>0</v>
      </c>
      <c r="J103" s="38" t="n">
        <f aca="false">IF(AND(AssignmentTable[[#This Row],[_TaskPos]]&gt;0,AssignmentTable[[#This Row],[Resource]]&lt;&gt;"",AssignmentTable[[#This Row],[Check]]=""),1,0)</f>
        <v>0</v>
      </c>
      <c r="K103" s="38" t="str">
        <f aca="false">IF(AssignmentTable[[#This Row],[_Valid]]=1,AssignmentTable[[#This Row],[Task UID]]*1000+COUNTIFS(AssignmentTable[[#Headers],[Task UID]]:AssignmentTable[[#This Row],[Task UID]],AssignmentTable[[#This Row],[Task UID]],AssignmentTable[[#Headers],[_Valid]]:AssignmentTable[[#This Row],[_Valid]],1),"")</f>
        <v/>
      </c>
      <c r="L103" s="38" t="str">
        <f aca="false">IF(AssignmentTable[[#This Row],[_Valid]]=1,AssignmentTable[[#This Row],[Resource]]&amp;IF(OR(AssignmentTable[[#This Row],[Units]]="",AssignmentTable[[#This Row],[Units]]=1),"","["&amp;ROUND(AssignmentTable[[#This Row],[Units]]*100,0)&amp;"%]"),"")</f>
        <v/>
      </c>
      <c r="M103" s="38" t="n">
        <f aca="false">IF(AssignmentTable[[#This Row],[_Valid]]=1,N(INDEX(tsk_StartWD,AssignmentTable[[#This Row],[_TaskPos]])),0)</f>
        <v>0</v>
      </c>
      <c r="N103" s="38" t="n">
        <f aca="false">IF(AssignmentTable[[#This Row],[_Valid]]=1,N(INDEX(tsk_FinishWD,AssignmentTable[[#This Row],[_TaskPos]])),0)</f>
        <v>0</v>
      </c>
      <c r="O103" s="38" t="n">
        <f aca="false">IF(OR(AssignmentTable[[#This Row],[Work]]=0,AssignmentTable[[#This Row],[_FinishWD]]=0),0,AssignmentTable[[#This Row],[Work]]/(AssignmentTable[[#This Row],[_FinishWD]]-AssignmentTable[[#This Row],[_StartWD]]+1))</f>
        <v>0</v>
      </c>
      <c r="P103" s="38" t="n">
        <f aca="false">AssignmentTable[[#This Row],[_WorkPerWD]]*MAX(0,AssignmentTable[[#This Row],[_StartWD]]-1)</f>
        <v>0</v>
      </c>
      <c r="Q103" s="38" t="n">
        <f aca="false">IF(AssignmentTable[[#This Row],[_Valid]]=1,AssignmentTable[[#This Row],[Work]]*N(INDEX(tsk_LeafProgress,AssignmentTable[[#This Row],[_TaskPos]])),0)</f>
        <v>0</v>
      </c>
      <c r="R103" s="38" t="n">
        <f aca="false">IF(NOT(AssignmentTable[[#This Row],[_Valid]]=1),0,IF(N(INDEX(tsk_LeafTotalCost,AssignmentTable[[#This Row],[_TaskPos]]))=0,0,N(INDEX(tsk_LeafAC,AssignmentTable[[#This Row],[_TaskPos]]))*AssignmentTable[[#This Row],[Cost]]/INDEX(tsk_LeafTotalCost,AssignmentTable[[#This Row],[_TaskPos]])))</f>
        <v>0</v>
      </c>
      <c r="S103" s="38" t="n">
        <f aca="false">IF(NOT(AssignmentTable[[#This Row],[_Valid]]=1),0,IF(N(INDEX(tsk_LateKey,AssignmentTable[[#This Row],[_TaskPos]]))&gt;0,1,0))</f>
        <v>0</v>
      </c>
      <c r="T103" s="38" t="n">
        <f aca="false">IF(NOT(AssignmentTable[[#This Row],[_Valid]]=1),0,IF(INDEX(tsk_Critical,AssignmentTable[[#This Row],[_TaskPos]])="Yes",1,0))</f>
        <v>0</v>
      </c>
      <c r="U10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4" customFormat="false" ht="15" hidden="false" customHeight="false" outlineLevel="0" collapsed="false">
      <c r="B104" s="52"/>
      <c r="C104" s="30" t="str">
        <f aca="false">IF(AssignmentTable[[#This Row],[_TaskPos]]&lt;=0,"",INDEX(tsk_Name,AssignmentTable[[#This Row],[_TaskPos]])&amp;"")</f>
        <v/>
      </c>
      <c r="D104" s="53"/>
      <c r="E104" s="95"/>
      <c r="F104" s="110" t="n">
        <f aca="false">IF(AssignmentTable[[#This Row],[_Valid]]=1,N(INDEX(tsk_Duration,AssignmentTable[[#This Row],[_TaskPos]]))*HoursPerDay*IF(AssignmentTable[[#This Row],[Units]]="",DefaultUnits,AssignmentTable[[#This Row],[Units]]),0)</f>
        <v>0</v>
      </c>
      <c r="G104" s="111" t="n">
        <f aca="false">IF(AssignmentTable[[#This Row],[Work]]=0,0,AssignmentTable[[#This Row],[Work]]*IFERROR(INDEX(res_Rate,MATCH(AssignmentTable[[#This Row],[Resource]],res_Name,0)),0))</f>
        <v>0</v>
      </c>
      <c r="H10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4" s="38" t="n">
        <f aca="false">IF(N(AssignmentTable[[#This Row],[Task UID]])=0,0,IFERROR(MATCH(AssignmentTable[[#This Row],[Task UID]],tsk_UID,0),-1))</f>
        <v>0</v>
      </c>
      <c r="J104" s="38" t="n">
        <f aca="false">IF(AND(AssignmentTable[[#This Row],[_TaskPos]]&gt;0,AssignmentTable[[#This Row],[Resource]]&lt;&gt;"",AssignmentTable[[#This Row],[Check]]=""),1,0)</f>
        <v>0</v>
      </c>
      <c r="K104" s="38" t="str">
        <f aca="false">IF(AssignmentTable[[#This Row],[_Valid]]=1,AssignmentTable[[#This Row],[Task UID]]*1000+COUNTIFS(AssignmentTable[[#Headers],[Task UID]]:AssignmentTable[[#This Row],[Task UID]],AssignmentTable[[#This Row],[Task UID]],AssignmentTable[[#Headers],[_Valid]]:AssignmentTable[[#This Row],[_Valid]],1),"")</f>
        <v/>
      </c>
      <c r="L104" s="38" t="str">
        <f aca="false">IF(AssignmentTable[[#This Row],[_Valid]]=1,AssignmentTable[[#This Row],[Resource]]&amp;IF(OR(AssignmentTable[[#This Row],[Units]]="",AssignmentTable[[#This Row],[Units]]=1),"","["&amp;ROUND(AssignmentTable[[#This Row],[Units]]*100,0)&amp;"%]"),"")</f>
        <v/>
      </c>
      <c r="M104" s="38" t="n">
        <f aca="false">IF(AssignmentTable[[#This Row],[_Valid]]=1,N(INDEX(tsk_StartWD,AssignmentTable[[#This Row],[_TaskPos]])),0)</f>
        <v>0</v>
      </c>
      <c r="N104" s="38" t="n">
        <f aca="false">IF(AssignmentTable[[#This Row],[_Valid]]=1,N(INDEX(tsk_FinishWD,AssignmentTable[[#This Row],[_TaskPos]])),0)</f>
        <v>0</v>
      </c>
      <c r="O104" s="38" t="n">
        <f aca="false">IF(OR(AssignmentTable[[#This Row],[Work]]=0,AssignmentTable[[#This Row],[_FinishWD]]=0),0,AssignmentTable[[#This Row],[Work]]/(AssignmentTable[[#This Row],[_FinishWD]]-AssignmentTable[[#This Row],[_StartWD]]+1))</f>
        <v>0</v>
      </c>
      <c r="P104" s="38" t="n">
        <f aca="false">AssignmentTable[[#This Row],[_WorkPerWD]]*MAX(0,AssignmentTable[[#This Row],[_StartWD]]-1)</f>
        <v>0</v>
      </c>
      <c r="Q104" s="38" t="n">
        <f aca="false">IF(AssignmentTable[[#This Row],[_Valid]]=1,AssignmentTable[[#This Row],[Work]]*N(INDEX(tsk_LeafProgress,AssignmentTable[[#This Row],[_TaskPos]])),0)</f>
        <v>0</v>
      </c>
      <c r="R104" s="38" t="n">
        <f aca="false">IF(NOT(AssignmentTable[[#This Row],[_Valid]]=1),0,IF(N(INDEX(tsk_LeafTotalCost,AssignmentTable[[#This Row],[_TaskPos]]))=0,0,N(INDEX(tsk_LeafAC,AssignmentTable[[#This Row],[_TaskPos]]))*AssignmentTable[[#This Row],[Cost]]/INDEX(tsk_LeafTotalCost,AssignmentTable[[#This Row],[_TaskPos]])))</f>
        <v>0</v>
      </c>
      <c r="S104" s="38" t="n">
        <f aca="false">IF(NOT(AssignmentTable[[#This Row],[_Valid]]=1),0,IF(N(INDEX(tsk_LateKey,AssignmentTable[[#This Row],[_TaskPos]]))&gt;0,1,0))</f>
        <v>0</v>
      </c>
      <c r="T104" s="38" t="n">
        <f aca="false">IF(NOT(AssignmentTable[[#This Row],[_Valid]]=1),0,IF(INDEX(tsk_Critical,AssignmentTable[[#This Row],[_TaskPos]])="Yes",1,0))</f>
        <v>0</v>
      </c>
      <c r="U10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5" customFormat="false" ht="15" hidden="false" customHeight="false" outlineLevel="0" collapsed="false">
      <c r="B105" s="52"/>
      <c r="C105" s="30" t="str">
        <f aca="false">IF(AssignmentTable[[#This Row],[_TaskPos]]&lt;=0,"",INDEX(tsk_Name,AssignmentTable[[#This Row],[_TaskPos]])&amp;"")</f>
        <v/>
      </c>
      <c r="D105" s="53"/>
      <c r="E105" s="95"/>
      <c r="F105" s="110" t="n">
        <f aca="false">IF(AssignmentTable[[#This Row],[_Valid]]=1,N(INDEX(tsk_Duration,AssignmentTable[[#This Row],[_TaskPos]]))*HoursPerDay*IF(AssignmentTable[[#This Row],[Units]]="",DefaultUnits,AssignmentTable[[#This Row],[Units]]),0)</f>
        <v>0</v>
      </c>
      <c r="G105" s="111" t="n">
        <f aca="false">IF(AssignmentTable[[#This Row],[Work]]=0,0,AssignmentTable[[#This Row],[Work]]*IFERROR(INDEX(res_Rate,MATCH(AssignmentTable[[#This Row],[Resource]],res_Name,0)),0))</f>
        <v>0</v>
      </c>
      <c r="H10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5" s="38" t="n">
        <f aca="false">IF(N(AssignmentTable[[#This Row],[Task UID]])=0,0,IFERROR(MATCH(AssignmentTable[[#This Row],[Task UID]],tsk_UID,0),-1))</f>
        <v>0</v>
      </c>
      <c r="J105" s="38" t="n">
        <f aca="false">IF(AND(AssignmentTable[[#This Row],[_TaskPos]]&gt;0,AssignmentTable[[#This Row],[Resource]]&lt;&gt;"",AssignmentTable[[#This Row],[Check]]=""),1,0)</f>
        <v>0</v>
      </c>
      <c r="K105" s="38" t="str">
        <f aca="false">IF(AssignmentTable[[#This Row],[_Valid]]=1,AssignmentTable[[#This Row],[Task UID]]*1000+COUNTIFS(AssignmentTable[[#Headers],[Task UID]]:AssignmentTable[[#This Row],[Task UID]],AssignmentTable[[#This Row],[Task UID]],AssignmentTable[[#Headers],[_Valid]]:AssignmentTable[[#This Row],[_Valid]],1),"")</f>
        <v/>
      </c>
      <c r="L105" s="38" t="str">
        <f aca="false">IF(AssignmentTable[[#This Row],[_Valid]]=1,AssignmentTable[[#This Row],[Resource]]&amp;IF(OR(AssignmentTable[[#This Row],[Units]]="",AssignmentTable[[#This Row],[Units]]=1),"","["&amp;ROUND(AssignmentTable[[#This Row],[Units]]*100,0)&amp;"%]"),"")</f>
        <v/>
      </c>
      <c r="M105" s="38" t="n">
        <f aca="false">IF(AssignmentTable[[#This Row],[_Valid]]=1,N(INDEX(tsk_StartWD,AssignmentTable[[#This Row],[_TaskPos]])),0)</f>
        <v>0</v>
      </c>
      <c r="N105" s="38" t="n">
        <f aca="false">IF(AssignmentTable[[#This Row],[_Valid]]=1,N(INDEX(tsk_FinishWD,AssignmentTable[[#This Row],[_TaskPos]])),0)</f>
        <v>0</v>
      </c>
      <c r="O105" s="38" t="n">
        <f aca="false">IF(OR(AssignmentTable[[#This Row],[Work]]=0,AssignmentTable[[#This Row],[_FinishWD]]=0),0,AssignmentTable[[#This Row],[Work]]/(AssignmentTable[[#This Row],[_FinishWD]]-AssignmentTable[[#This Row],[_StartWD]]+1))</f>
        <v>0</v>
      </c>
      <c r="P105" s="38" t="n">
        <f aca="false">AssignmentTable[[#This Row],[_WorkPerWD]]*MAX(0,AssignmentTable[[#This Row],[_StartWD]]-1)</f>
        <v>0</v>
      </c>
      <c r="Q105" s="38" t="n">
        <f aca="false">IF(AssignmentTable[[#This Row],[_Valid]]=1,AssignmentTable[[#This Row],[Work]]*N(INDEX(tsk_LeafProgress,AssignmentTable[[#This Row],[_TaskPos]])),0)</f>
        <v>0</v>
      </c>
      <c r="R105" s="38" t="n">
        <f aca="false">IF(NOT(AssignmentTable[[#This Row],[_Valid]]=1),0,IF(N(INDEX(tsk_LeafTotalCost,AssignmentTable[[#This Row],[_TaskPos]]))=0,0,N(INDEX(tsk_LeafAC,AssignmentTable[[#This Row],[_TaskPos]]))*AssignmentTable[[#This Row],[Cost]]/INDEX(tsk_LeafTotalCost,AssignmentTable[[#This Row],[_TaskPos]])))</f>
        <v>0</v>
      </c>
      <c r="S105" s="38" t="n">
        <f aca="false">IF(NOT(AssignmentTable[[#This Row],[_Valid]]=1),0,IF(N(INDEX(tsk_LateKey,AssignmentTable[[#This Row],[_TaskPos]]))&gt;0,1,0))</f>
        <v>0</v>
      </c>
      <c r="T105" s="38" t="n">
        <f aca="false">IF(NOT(AssignmentTable[[#This Row],[_Valid]]=1),0,IF(INDEX(tsk_Critical,AssignmentTable[[#This Row],[_TaskPos]])="Yes",1,0))</f>
        <v>0</v>
      </c>
      <c r="U10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sheetData>
  <conditionalFormatting sqref="H6:H105">
    <cfRule type="expression" priority="2" aboveAverage="0" equalAverage="0" bottom="0" percent="0" rank="0" text="" dxfId="43">
      <formula>$H6&lt;&gt;""</formula>
    </cfRule>
  </conditionalFormatting>
  <conditionalFormatting sqref="D6:D105">
    <cfRule type="expression" priority="3" aboveAverage="0" equalAverage="0" bottom="0" percent="0" rank="0" text="" dxfId="16">
      <formula>$U6="Yes"</formula>
    </cfRule>
  </conditionalFormatting>
  <dataValidations count="3">
    <dataValidation allowBlank="false" errorStyle="stop" operator="between" showDropDown="false" showErrorMessage="false" showInputMessage="false" sqref="D6:D105" type="list">
      <formula1>res_Name</formula1>
      <formula2>0</formula2>
    </dataValidation>
    <dataValidation allowBlank="false" errorStyle="stop" operator="greaterThanOrEqual" showDropDown="false" showErrorMessage="false" showInputMessage="false" sqref="B6:B105" type="whole">
      <formula1>1</formula1>
      <formula2>0</formula2>
    </dataValidation>
    <dataValidation allowBlank="false" errorStyle="stop" operator="between" showDropDown="false" showErrorMessage="false" showInputMessage="false" sqref="E6:E105"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32" t="str">
        <f aca="false">ProjectName&amp;"  -  Sprint &amp; Capacity Planning"</f>
        <v>New Project  -  Sprint &amp; Capacity Planning</v>
      </c>
    </row>
    <row r="2" customFormat="false" ht="15" hidden="false" customHeight="false" outlineLevel="0" collapsed="false">
      <c r="A2" s="2" t="s">
        <v>631</v>
      </c>
    </row>
    <row r="5" customFormat="false" ht="23.85" hidden="false" customHeight="false" outlineLevel="0" collapsed="false">
      <c r="A5" s="15" t="s">
        <v>375</v>
      </c>
      <c r="B5" s="15" t="s">
        <v>496</v>
      </c>
      <c r="C5" s="15" t="s">
        <v>156</v>
      </c>
      <c r="D5" s="15" t="s">
        <v>632</v>
      </c>
      <c r="E5" s="15" t="s">
        <v>633</v>
      </c>
      <c r="F5" s="50" t="s">
        <v>634</v>
      </c>
      <c r="G5" s="15" t="s">
        <v>635</v>
      </c>
      <c r="H5" s="15" t="s">
        <v>636</v>
      </c>
      <c r="I5" s="15" t="s">
        <v>96</v>
      </c>
      <c r="J5" s="15" t="s">
        <v>637</v>
      </c>
      <c r="K5" s="15" t="s">
        <v>28</v>
      </c>
      <c r="L5" s="50" t="s">
        <v>638</v>
      </c>
      <c r="M5" s="15" t="s">
        <v>639</v>
      </c>
      <c r="N5" s="15" t="s">
        <v>640</v>
      </c>
      <c r="O5" s="15" t="s">
        <v>641</v>
      </c>
      <c r="P5" s="15" t="s">
        <v>642</v>
      </c>
      <c r="Q5" s="15" t="s">
        <v>643</v>
      </c>
      <c r="R5" s="15" t="s">
        <v>644</v>
      </c>
      <c r="S5" s="37" t="s">
        <v>300</v>
      </c>
      <c r="T5" s="37" t="s">
        <v>645</v>
      </c>
      <c r="U5" s="37" t="s">
        <v>646</v>
      </c>
      <c r="V5" s="37" t="s">
        <v>647</v>
      </c>
    </row>
    <row r="6" customFormat="false" ht="15" hidden="false" customHeight="false" outlineLevel="0" collapsed="false">
      <c r="A6" s="51" t="n">
        <f aca="false">ROW()-ROW(SprintTable[[#Headers],[No]])</f>
        <v>1</v>
      </c>
      <c r="B6" s="30" t="str">
        <f aca="false">IF(SprintTable[[#This Row],[No]]&lt;=SprintCount,SprintPrefix&amp;SprintTable[[#This Row],[No]],"")</f>
        <v>Sprint 1</v>
      </c>
      <c r="C6" s="31" t="n">
        <f aca="false">Sprint1Start+(SprintTable[[#This Row],[No]]-1)*SprintLength</f>
        <v>1</v>
      </c>
      <c r="D6" s="31" t="n">
        <f aca="false">SprintTable[[#This Row],[Start]]+SprintLength-1</f>
        <v>14</v>
      </c>
      <c r="E6" s="51" t="n">
        <f aca="false">NETWORKDAYS.INTL(SprintTable[[#This Row],[Start]],SprintTable[[#This Row],[End]],WorkWeek,Holidays)</f>
        <v>10</v>
      </c>
      <c r="F6" s="53"/>
      <c r="G6" s="51" t="n">
        <f aca="false">IF(SprintTable[[#This Row],[Sprint]]="","",COUNTIF(tsk_Sprint,SprintTable[[#This Row],[Sprint]]))</f>
        <v>0</v>
      </c>
      <c r="H6"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6"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6" s="109" t="str">
        <f aca="false">IF(OR(SprintTable[[#This Row],[Sprint]]="",N(SprintTable[[#This Row],[Capacity]])=0),"",SprintTable[[#This Row],[Planned Work]]/SprintTable[[#This Row],[Capacity]])</f>
        <v/>
      </c>
      <c r="K6" s="51" t="str">
        <f aca="false">IF(SprintTable[[#This Row],[Sprint]]="","",IF(StatusDate&gt;SprintTable[[#This Row],[End]],"Closed",IF(StatusDate&gt;=SprintTable[[#This Row],[Start]],"Active","Future")))</f>
        <v>Active</v>
      </c>
      <c r="L6" s="98"/>
      <c r="M6" s="70" t="n">
        <f aca="false">IF(SprintTable[[#This Row],[Sprint]]="","",SUMIFS(tsk_LeafPoints,tsk_Sprint,SprintTable[[#This Row],[Sprint]]))</f>
        <v>0</v>
      </c>
      <c r="N6" s="70" t="n">
        <f aca="false">IF(OR(SprintTable[[#This Row],[Sprint]]="",SprintTable[[#This Row],[Status]]="Future"),"",SUMIFS(tsk_LeafPoints,tsk_DoneDate,"&gt;="&amp;SprintTable[[#This Row],[Start]],tsk_DoneDate,"&lt;="&amp;SprintTable[[#This Row],[End]]))</f>
        <v>0</v>
      </c>
      <c r="O6" s="133" t="str">
        <f aca="false">IF(OR(SprintTable[[#This Row],[Sprint]]="",SprintTable[[#This Row],[Status]]&lt;&gt;"Closed"),"",AVERAGE(INDEX(SprintTable[Done Points],MAX(1,SprintTable[[#This Row],[No]]-2)):INDEX(SprintTable[Done Points],SprintTable[[#This Row],[No]])))</f>
        <v/>
      </c>
      <c r="P6" s="70" t="n">
        <f aca="false">IF(OR(SprintTable[[#This Row],[Sprint]]="",SprintTable[[#This Row],[Status]]="Future"),"",TotalPoints-SUMIFS(tsk_LeafPoints,tsk_DoneDate,"&lt;="&amp;MIN(SprintTable[[#This Row],[End]],StatusDate)))</f>
        <v>0</v>
      </c>
      <c r="Q6" s="70" t="n">
        <f aca="false">IF(SprintTable[[#This Row],[Sprint]]="","",TotalPoints-SUMIFS(tsk_LeafPoints,tsk_FcFinish,"&lt;="&amp;SprintTable[[#This Row],[End]]))</f>
        <v>0</v>
      </c>
      <c r="R6" s="70" t="n">
        <f aca="false">IF(SprintTable[[#This Row],[Sprint]]="","",TotalPoints*MAX(0,1-SprintTable[[#This Row],[No]]/SprintCount))</f>
        <v>0</v>
      </c>
      <c r="S6" s="90" t="n">
        <f aca="false">IF(SprintTable[[#This Row],[Remaining Points]]="",NA(),SprintTable[[#This Row],[Remaining Points]])</f>
        <v>0</v>
      </c>
      <c r="T6" s="38" t="n">
        <f aca="false">IFERROR(MATCH(MID("JanFebMarAprMayJunJulAugSepOctNovDec",MONTH(DATE(YEAR(SprintTable[[#This Row],[Start]]),MONTH(SprintTable[[#This Row],[Start]])+0,1))*3-2,3)&amp;"-"&amp;RIGHT(YEAR(DATE(YEAR(SprintTable[[#This Row],[Start]]),MONTH(SprintTable[[#This Row],[Start]])+0,1)),2),LeaveTable[#Headers],0),0)</f>
        <v>0</v>
      </c>
      <c r="U6" s="38" t="n">
        <f aca="false">IFERROR(MATCH(MID("JanFebMarAprMayJunJulAugSepOctNovDec",MONTH(DATE(YEAR(SprintTable[[#This Row],[Start]]),MONTH(SprintTable[[#This Row],[Start]])+1,1))*3-2,3)&amp;"-"&amp;RIGHT(YEAR(DATE(YEAR(SprintTable[[#This Row],[Start]]),MONTH(SprintTable[[#This Row],[Start]])+1,1)),2),LeaveTable[#Headers],0),0)</f>
        <v>0</v>
      </c>
      <c r="V6" s="38" t="n">
        <f aca="false">IFERROR(MATCH(MID("JanFebMarAprMayJunJulAugSepOctNovDec",MONTH(DATE(YEAR(SprintTable[[#This Row],[Start]]),MONTH(SprintTable[[#This Row],[Start]])+2,1))*3-2,3)&amp;"-"&amp;RIGHT(YEAR(DATE(YEAR(SprintTable[[#This Row],[Start]]),MONTH(SprintTable[[#This Row],[Start]])+2,1)),2),LeaveTable[#Headers],0),0)</f>
        <v>0</v>
      </c>
    </row>
    <row r="7" customFormat="false" ht="15" hidden="false" customHeight="false" outlineLevel="0" collapsed="false">
      <c r="A7" s="51" t="n">
        <f aca="false">ROW()-ROW(SprintTable[[#Headers],[No]])</f>
        <v>2</v>
      </c>
      <c r="B7" s="30" t="str">
        <f aca="false">IF(SprintTable[[#This Row],[No]]&lt;=SprintCount,SprintPrefix&amp;SprintTable[[#This Row],[No]],"")</f>
        <v>Sprint 2</v>
      </c>
      <c r="C7" s="31" t="n">
        <f aca="false">Sprint1Start+(SprintTable[[#This Row],[No]]-1)*SprintLength</f>
        <v>15</v>
      </c>
      <c r="D7" s="31" t="n">
        <f aca="false">SprintTable[[#This Row],[Start]]+SprintLength-1</f>
        <v>28</v>
      </c>
      <c r="E7" s="51" t="n">
        <f aca="false">NETWORKDAYS.INTL(SprintTable[[#This Row],[Start]],SprintTable[[#This Row],[End]],WorkWeek,Holidays)</f>
        <v>10</v>
      </c>
      <c r="F7" s="53"/>
      <c r="G7" s="51" t="n">
        <f aca="false">IF(SprintTable[[#This Row],[Sprint]]="","",COUNTIF(tsk_Sprint,SprintTable[[#This Row],[Sprint]]))</f>
        <v>0</v>
      </c>
      <c r="H7"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7"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7" s="109" t="str">
        <f aca="false">IF(OR(SprintTable[[#This Row],[Sprint]]="",N(SprintTable[[#This Row],[Capacity]])=0),"",SprintTable[[#This Row],[Planned Work]]/SprintTable[[#This Row],[Capacity]])</f>
        <v/>
      </c>
      <c r="K7" s="51" t="str">
        <f aca="false">IF(SprintTable[[#This Row],[Sprint]]="","",IF(StatusDate&gt;SprintTable[[#This Row],[End]],"Closed",IF(StatusDate&gt;=SprintTable[[#This Row],[Start]],"Active","Future")))</f>
        <v>Future</v>
      </c>
      <c r="L7" s="98"/>
      <c r="M7" s="70" t="n">
        <f aca="false">IF(SprintTable[[#This Row],[Sprint]]="","",SUMIFS(tsk_LeafPoints,tsk_Sprint,SprintTable[[#This Row],[Sprint]]))</f>
        <v>0</v>
      </c>
      <c r="N7" s="70" t="str">
        <f aca="false">IF(OR(SprintTable[[#This Row],[Sprint]]="",SprintTable[[#This Row],[Status]]="Future"),"",SUMIFS(tsk_LeafPoints,tsk_DoneDate,"&gt;="&amp;SprintTable[[#This Row],[Start]],tsk_DoneDate,"&lt;="&amp;SprintTable[[#This Row],[End]]))</f>
        <v/>
      </c>
      <c r="O7" s="133" t="str">
        <f aca="false">IF(OR(SprintTable[[#This Row],[Sprint]]="",SprintTable[[#This Row],[Status]]&lt;&gt;"Closed"),"",AVERAGE(INDEX(SprintTable[Done Points],MAX(1,SprintTable[[#This Row],[No]]-2)):INDEX(SprintTable[Done Points],SprintTable[[#This Row],[No]])))</f>
        <v/>
      </c>
      <c r="P7" s="70" t="str">
        <f aca="false">IF(OR(SprintTable[[#This Row],[Sprint]]="",SprintTable[[#This Row],[Status]]="Future"),"",TotalPoints-SUMIFS(tsk_LeafPoints,tsk_DoneDate,"&lt;="&amp;MIN(SprintTable[[#This Row],[End]],StatusDate)))</f>
        <v/>
      </c>
      <c r="Q7" s="70" t="n">
        <f aca="false">IF(SprintTable[[#This Row],[Sprint]]="","",TotalPoints-SUMIFS(tsk_LeafPoints,tsk_FcFinish,"&lt;="&amp;SprintTable[[#This Row],[End]]))</f>
        <v>0</v>
      </c>
      <c r="R7" s="70" t="n">
        <f aca="false">IF(SprintTable[[#This Row],[Sprint]]="","",TotalPoints*MAX(0,1-SprintTable[[#This Row],[No]]/SprintCount))</f>
        <v>0</v>
      </c>
      <c r="S7" s="38" t="e">
        <f aca="false">IF(SprintTable[[#This Row],[Remaining Points]]="",NA(),SprintTable[[#This Row],[Remaining Points]])</f>
        <v>#N/A</v>
      </c>
      <c r="T7" s="38" t="n">
        <f aca="false">IFERROR(MATCH(MID("JanFebMarAprMayJunJulAugSepOctNovDec",MONTH(DATE(YEAR(SprintTable[[#This Row],[Start]]),MONTH(SprintTable[[#This Row],[Start]])+0,1))*3-2,3)&amp;"-"&amp;RIGHT(YEAR(DATE(YEAR(SprintTable[[#This Row],[Start]]),MONTH(SprintTable[[#This Row],[Start]])+0,1)),2),LeaveTable[#Headers],0),0)</f>
        <v>0</v>
      </c>
      <c r="U7" s="38" t="n">
        <f aca="false">IFERROR(MATCH(MID("JanFebMarAprMayJunJulAugSepOctNovDec",MONTH(DATE(YEAR(SprintTable[[#This Row],[Start]]),MONTH(SprintTable[[#This Row],[Start]])+1,1))*3-2,3)&amp;"-"&amp;RIGHT(YEAR(DATE(YEAR(SprintTable[[#This Row],[Start]]),MONTH(SprintTable[[#This Row],[Start]])+1,1)),2),LeaveTable[#Headers],0),0)</f>
        <v>0</v>
      </c>
      <c r="V7" s="38" t="n">
        <f aca="false">IFERROR(MATCH(MID("JanFebMarAprMayJunJulAugSepOctNovDec",MONTH(DATE(YEAR(SprintTable[[#This Row],[Start]]),MONTH(SprintTable[[#This Row],[Start]])+2,1))*3-2,3)&amp;"-"&amp;RIGHT(YEAR(DATE(YEAR(SprintTable[[#This Row],[Start]]),MONTH(SprintTable[[#This Row],[Start]])+2,1)),2),LeaveTable[#Headers],0),0)</f>
        <v>0</v>
      </c>
    </row>
    <row r="8" customFormat="false" ht="15" hidden="false" customHeight="false" outlineLevel="0" collapsed="false">
      <c r="A8" s="51" t="n">
        <f aca="false">ROW()-ROW(SprintTable[[#Headers],[No]])</f>
        <v>3</v>
      </c>
      <c r="B8" s="30" t="str">
        <f aca="false">IF(SprintTable[[#This Row],[No]]&lt;=SprintCount,SprintPrefix&amp;SprintTable[[#This Row],[No]],"")</f>
        <v>Sprint 3</v>
      </c>
      <c r="C8" s="31" t="n">
        <f aca="false">Sprint1Start+(SprintTable[[#This Row],[No]]-1)*SprintLength</f>
        <v>29</v>
      </c>
      <c r="D8" s="31" t="n">
        <f aca="false">SprintTable[[#This Row],[Start]]+SprintLength-1</f>
        <v>42</v>
      </c>
      <c r="E8" s="51" t="n">
        <f aca="false">NETWORKDAYS.INTL(SprintTable[[#This Row],[Start]],SprintTable[[#This Row],[End]],WorkWeek,Holidays)</f>
        <v>10</v>
      </c>
      <c r="F8" s="53"/>
      <c r="G8" s="51" t="n">
        <f aca="false">IF(SprintTable[[#This Row],[Sprint]]="","",COUNTIF(tsk_Sprint,SprintTable[[#This Row],[Sprint]]))</f>
        <v>0</v>
      </c>
      <c r="H8"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8"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8" s="109" t="str">
        <f aca="false">IF(OR(SprintTable[[#This Row],[Sprint]]="",N(SprintTable[[#This Row],[Capacity]])=0),"",SprintTable[[#This Row],[Planned Work]]/SprintTable[[#This Row],[Capacity]])</f>
        <v/>
      </c>
      <c r="K8" s="51" t="str">
        <f aca="false">IF(SprintTable[[#This Row],[Sprint]]="","",IF(StatusDate&gt;SprintTable[[#This Row],[End]],"Closed",IF(StatusDate&gt;=SprintTable[[#This Row],[Start]],"Active","Future")))</f>
        <v>Future</v>
      </c>
      <c r="L8" s="98"/>
      <c r="M8" s="70" t="n">
        <f aca="false">IF(SprintTable[[#This Row],[Sprint]]="","",SUMIFS(tsk_LeafPoints,tsk_Sprint,SprintTable[[#This Row],[Sprint]]))</f>
        <v>0</v>
      </c>
      <c r="N8" s="70" t="str">
        <f aca="false">IF(OR(SprintTable[[#This Row],[Sprint]]="",SprintTable[[#This Row],[Status]]="Future"),"",SUMIFS(tsk_LeafPoints,tsk_DoneDate,"&gt;="&amp;SprintTable[[#This Row],[Start]],tsk_DoneDate,"&lt;="&amp;SprintTable[[#This Row],[End]]))</f>
        <v/>
      </c>
      <c r="O8" s="133" t="str">
        <f aca="false">IF(OR(SprintTable[[#This Row],[Sprint]]="",SprintTable[[#This Row],[Status]]&lt;&gt;"Closed"),"",AVERAGE(INDEX(SprintTable[Done Points],MAX(1,SprintTable[[#This Row],[No]]-2)):INDEX(SprintTable[Done Points],SprintTable[[#This Row],[No]])))</f>
        <v/>
      </c>
      <c r="P8" s="70" t="str">
        <f aca="false">IF(OR(SprintTable[[#This Row],[Sprint]]="",SprintTable[[#This Row],[Status]]="Future"),"",TotalPoints-SUMIFS(tsk_LeafPoints,tsk_DoneDate,"&lt;="&amp;MIN(SprintTable[[#This Row],[End]],StatusDate)))</f>
        <v/>
      </c>
      <c r="Q8" s="70" t="n">
        <f aca="false">IF(SprintTable[[#This Row],[Sprint]]="","",TotalPoints-SUMIFS(tsk_LeafPoints,tsk_FcFinish,"&lt;="&amp;SprintTable[[#This Row],[End]]))</f>
        <v>0</v>
      </c>
      <c r="R8" s="70" t="n">
        <f aca="false">IF(SprintTable[[#This Row],[Sprint]]="","",TotalPoints*MAX(0,1-SprintTable[[#This Row],[No]]/SprintCount))</f>
        <v>0</v>
      </c>
      <c r="S8" s="38" t="e">
        <f aca="false">IF(SprintTable[[#This Row],[Remaining Points]]="",NA(),SprintTable[[#This Row],[Remaining Points]])</f>
        <v>#N/A</v>
      </c>
      <c r="T8" s="38" t="n">
        <f aca="false">IFERROR(MATCH(MID("JanFebMarAprMayJunJulAugSepOctNovDec",MONTH(DATE(YEAR(SprintTable[[#This Row],[Start]]),MONTH(SprintTable[[#This Row],[Start]])+0,1))*3-2,3)&amp;"-"&amp;RIGHT(YEAR(DATE(YEAR(SprintTable[[#This Row],[Start]]),MONTH(SprintTable[[#This Row],[Start]])+0,1)),2),LeaveTable[#Headers],0),0)</f>
        <v>0</v>
      </c>
      <c r="U8" s="38" t="n">
        <f aca="false">IFERROR(MATCH(MID("JanFebMarAprMayJunJulAugSepOctNovDec",MONTH(DATE(YEAR(SprintTable[[#This Row],[Start]]),MONTH(SprintTable[[#This Row],[Start]])+1,1))*3-2,3)&amp;"-"&amp;RIGHT(YEAR(DATE(YEAR(SprintTable[[#This Row],[Start]]),MONTH(SprintTable[[#This Row],[Start]])+1,1)),2),LeaveTable[#Headers],0),0)</f>
        <v>0</v>
      </c>
      <c r="V8" s="38" t="n">
        <f aca="false">IFERROR(MATCH(MID("JanFebMarAprMayJunJulAugSepOctNovDec",MONTH(DATE(YEAR(SprintTable[[#This Row],[Start]]),MONTH(SprintTable[[#This Row],[Start]])+2,1))*3-2,3)&amp;"-"&amp;RIGHT(YEAR(DATE(YEAR(SprintTable[[#This Row],[Start]]),MONTH(SprintTable[[#This Row],[Start]])+2,1)),2),LeaveTable[#Headers],0),0)</f>
        <v>0</v>
      </c>
    </row>
    <row r="9" customFormat="false" ht="15" hidden="false" customHeight="false" outlineLevel="0" collapsed="false">
      <c r="A9" s="51" t="n">
        <f aca="false">ROW()-ROW(SprintTable[[#Headers],[No]])</f>
        <v>4</v>
      </c>
      <c r="B9" s="30" t="str">
        <f aca="false">IF(SprintTable[[#This Row],[No]]&lt;=SprintCount,SprintPrefix&amp;SprintTable[[#This Row],[No]],"")</f>
        <v>Sprint 4</v>
      </c>
      <c r="C9" s="31" t="n">
        <f aca="false">Sprint1Start+(SprintTable[[#This Row],[No]]-1)*SprintLength</f>
        <v>43</v>
      </c>
      <c r="D9" s="31" t="n">
        <f aca="false">SprintTable[[#This Row],[Start]]+SprintLength-1</f>
        <v>56</v>
      </c>
      <c r="E9" s="51" t="n">
        <f aca="false">NETWORKDAYS.INTL(SprintTable[[#This Row],[Start]],SprintTable[[#This Row],[End]],WorkWeek,Holidays)</f>
        <v>10</v>
      </c>
      <c r="F9" s="53"/>
      <c r="G9" s="51" t="n">
        <f aca="false">IF(SprintTable[[#This Row],[Sprint]]="","",COUNTIF(tsk_Sprint,SprintTable[[#This Row],[Sprint]]))</f>
        <v>0</v>
      </c>
      <c r="H9"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9"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9" s="109" t="str">
        <f aca="false">IF(OR(SprintTable[[#This Row],[Sprint]]="",N(SprintTable[[#This Row],[Capacity]])=0),"",SprintTable[[#This Row],[Planned Work]]/SprintTable[[#This Row],[Capacity]])</f>
        <v/>
      </c>
      <c r="K9" s="51" t="str">
        <f aca="false">IF(SprintTable[[#This Row],[Sprint]]="","",IF(StatusDate&gt;SprintTable[[#This Row],[End]],"Closed",IF(StatusDate&gt;=SprintTable[[#This Row],[Start]],"Active","Future")))</f>
        <v>Future</v>
      </c>
      <c r="L9" s="98"/>
      <c r="M9" s="70" t="n">
        <f aca="false">IF(SprintTable[[#This Row],[Sprint]]="","",SUMIFS(tsk_LeafPoints,tsk_Sprint,SprintTable[[#This Row],[Sprint]]))</f>
        <v>0</v>
      </c>
      <c r="N9" s="70" t="str">
        <f aca="false">IF(OR(SprintTable[[#This Row],[Sprint]]="",SprintTable[[#This Row],[Status]]="Future"),"",SUMIFS(tsk_LeafPoints,tsk_DoneDate,"&gt;="&amp;SprintTable[[#This Row],[Start]],tsk_DoneDate,"&lt;="&amp;SprintTable[[#This Row],[End]]))</f>
        <v/>
      </c>
      <c r="O9" s="133" t="str">
        <f aca="false">IF(OR(SprintTable[[#This Row],[Sprint]]="",SprintTable[[#This Row],[Status]]&lt;&gt;"Closed"),"",AVERAGE(INDEX(SprintTable[Done Points],MAX(1,SprintTable[[#This Row],[No]]-2)):INDEX(SprintTable[Done Points],SprintTable[[#This Row],[No]])))</f>
        <v/>
      </c>
      <c r="P9" s="70" t="str">
        <f aca="false">IF(OR(SprintTable[[#This Row],[Sprint]]="",SprintTable[[#This Row],[Status]]="Future"),"",TotalPoints-SUMIFS(tsk_LeafPoints,tsk_DoneDate,"&lt;="&amp;MIN(SprintTable[[#This Row],[End]],StatusDate)))</f>
        <v/>
      </c>
      <c r="Q9" s="70" t="n">
        <f aca="false">IF(SprintTable[[#This Row],[Sprint]]="","",TotalPoints-SUMIFS(tsk_LeafPoints,tsk_FcFinish,"&lt;="&amp;SprintTable[[#This Row],[End]]))</f>
        <v>0</v>
      </c>
      <c r="R9" s="70" t="n">
        <f aca="false">IF(SprintTable[[#This Row],[Sprint]]="","",TotalPoints*MAX(0,1-SprintTable[[#This Row],[No]]/SprintCount))</f>
        <v>0</v>
      </c>
      <c r="S9" s="38" t="e">
        <f aca="false">IF(SprintTable[[#This Row],[Remaining Points]]="",NA(),SprintTable[[#This Row],[Remaining Points]])</f>
        <v>#N/A</v>
      </c>
      <c r="T9" s="38" t="n">
        <f aca="false">IFERROR(MATCH(MID("JanFebMarAprMayJunJulAugSepOctNovDec",MONTH(DATE(YEAR(SprintTable[[#This Row],[Start]]),MONTH(SprintTable[[#This Row],[Start]])+0,1))*3-2,3)&amp;"-"&amp;RIGHT(YEAR(DATE(YEAR(SprintTable[[#This Row],[Start]]),MONTH(SprintTable[[#This Row],[Start]])+0,1)),2),LeaveTable[#Headers],0),0)</f>
        <v>0</v>
      </c>
      <c r="U9" s="38" t="n">
        <f aca="false">IFERROR(MATCH(MID("JanFebMarAprMayJunJulAugSepOctNovDec",MONTH(DATE(YEAR(SprintTable[[#This Row],[Start]]),MONTH(SprintTable[[#This Row],[Start]])+1,1))*3-2,3)&amp;"-"&amp;RIGHT(YEAR(DATE(YEAR(SprintTable[[#This Row],[Start]]),MONTH(SprintTable[[#This Row],[Start]])+1,1)),2),LeaveTable[#Headers],0),0)</f>
        <v>0</v>
      </c>
      <c r="V9" s="38" t="n">
        <f aca="false">IFERROR(MATCH(MID("JanFebMarAprMayJunJulAugSepOctNovDec",MONTH(DATE(YEAR(SprintTable[[#This Row],[Start]]),MONTH(SprintTable[[#This Row],[Start]])+2,1))*3-2,3)&amp;"-"&amp;RIGHT(YEAR(DATE(YEAR(SprintTable[[#This Row],[Start]]),MONTH(SprintTable[[#This Row],[Start]])+2,1)),2),LeaveTable[#Headers],0),0)</f>
        <v>0</v>
      </c>
    </row>
    <row r="10" customFormat="false" ht="15" hidden="false" customHeight="false" outlineLevel="0" collapsed="false">
      <c r="A10" s="51" t="n">
        <f aca="false">ROW()-ROW(SprintTable[[#Headers],[No]])</f>
        <v>5</v>
      </c>
      <c r="B10" s="30" t="str">
        <f aca="false">IF(SprintTable[[#This Row],[No]]&lt;=SprintCount,SprintPrefix&amp;SprintTable[[#This Row],[No]],"")</f>
        <v>Sprint 5</v>
      </c>
      <c r="C10" s="31" t="n">
        <f aca="false">Sprint1Start+(SprintTable[[#This Row],[No]]-1)*SprintLength</f>
        <v>57</v>
      </c>
      <c r="D10" s="31" t="n">
        <f aca="false">SprintTable[[#This Row],[Start]]+SprintLength-1</f>
        <v>70</v>
      </c>
      <c r="E10" s="51" t="n">
        <f aca="false">NETWORKDAYS.INTL(SprintTable[[#This Row],[Start]],SprintTable[[#This Row],[End]],WorkWeek,Holidays)</f>
        <v>10</v>
      </c>
      <c r="F10" s="53"/>
      <c r="G10" s="51" t="n">
        <f aca="false">IF(SprintTable[[#This Row],[Sprint]]="","",COUNTIF(tsk_Sprint,SprintTable[[#This Row],[Sprint]]))</f>
        <v>0</v>
      </c>
      <c r="H10"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0"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0" s="109" t="str">
        <f aca="false">IF(OR(SprintTable[[#This Row],[Sprint]]="",N(SprintTable[[#This Row],[Capacity]])=0),"",SprintTable[[#This Row],[Planned Work]]/SprintTable[[#This Row],[Capacity]])</f>
        <v/>
      </c>
      <c r="K10" s="51" t="str">
        <f aca="false">IF(SprintTable[[#This Row],[Sprint]]="","",IF(StatusDate&gt;SprintTable[[#This Row],[End]],"Closed",IF(StatusDate&gt;=SprintTable[[#This Row],[Start]],"Active","Future")))</f>
        <v>Future</v>
      </c>
      <c r="L10" s="98"/>
      <c r="M10" s="70" t="n">
        <f aca="false">IF(SprintTable[[#This Row],[Sprint]]="","",SUMIFS(tsk_LeafPoints,tsk_Sprint,SprintTable[[#This Row],[Sprint]]))</f>
        <v>0</v>
      </c>
      <c r="N10" s="70" t="str">
        <f aca="false">IF(OR(SprintTable[[#This Row],[Sprint]]="",SprintTable[[#This Row],[Status]]="Future"),"",SUMIFS(tsk_LeafPoints,tsk_DoneDate,"&gt;="&amp;SprintTable[[#This Row],[Start]],tsk_DoneDate,"&lt;="&amp;SprintTable[[#This Row],[End]]))</f>
        <v/>
      </c>
      <c r="O10" s="133" t="str">
        <f aca="false">IF(OR(SprintTable[[#This Row],[Sprint]]="",SprintTable[[#This Row],[Status]]&lt;&gt;"Closed"),"",AVERAGE(INDEX(SprintTable[Done Points],MAX(1,SprintTable[[#This Row],[No]]-2)):INDEX(SprintTable[Done Points],SprintTable[[#This Row],[No]])))</f>
        <v/>
      </c>
      <c r="P10" s="70" t="str">
        <f aca="false">IF(OR(SprintTable[[#This Row],[Sprint]]="",SprintTable[[#This Row],[Status]]="Future"),"",TotalPoints-SUMIFS(tsk_LeafPoints,tsk_DoneDate,"&lt;="&amp;MIN(SprintTable[[#This Row],[End]],StatusDate)))</f>
        <v/>
      </c>
      <c r="Q10" s="70" t="n">
        <f aca="false">IF(SprintTable[[#This Row],[Sprint]]="","",TotalPoints-SUMIFS(tsk_LeafPoints,tsk_FcFinish,"&lt;="&amp;SprintTable[[#This Row],[End]]))</f>
        <v>0</v>
      </c>
      <c r="R10" s="70" t="n">
        <f aca="false">IF(SprintTable[[#This Row],[Sprint]]="","",TotalPoints*MAX(0,1-SprintTable[[#This Row],[No]]/SprintCount))</f>
        <v>0</v>
      </c>
      <c r="S10" s="38" t="e">
        <f aca="false">IF(SprintTable[[#This Row],[Remaining Points]]="",NA(),SprintTable[[#This Row],[Remaining Points]])</f>
        <v>#N/A</v>
      </c>
      <c r="T10" s="38" t="n">
        <f aca="false">IFERROR(MATCH(MID("JanFebMarAprMayJunJulAugSepOctNovDec",MONTH(DATE(YEAR(SprintTable[[#This Row],[Start]]),MONTH(SprintTable[[#This Row],[Start]])+0,1))*3-2,3)&amp;"-"&amp;RIGHT(YEAR(DATE(YEAR(SprintTable[[#This Row],[Start]]),MONTH(SprintTable[[#This Row],[Start]])+0,1)),2),LeaveTable[#Headers],0),0)</f>
        <v>0</v>
      </c>
      <c r="U10" s="38" t="n">
        <f aca="false">IFERROR(MATCH(MID("JanFebMarAprMayJunJulAugSepOctNovDec",MONTH(DATE(YEAR(SprintTable[[#This Row],[Start]]),MONTH(SprintTable[[#This Row],[Start]])+1,1))*3-2,3)&amp;"-"&amp;RIGHT(YEAR(DATE(YEAR(SprintTable[[#This Row],[Start]]),MONTH(SprintTable[[#This Row],[Start]])+1,1)),2),LeaveTable[#Headers],0),0)</f>
        <v>0</v>
      </c>
      <c r="V10" s="38" t="n">
        <f aca="false">IFERROR(MATCH(MID("JanFebMarAprMayJunJulAugSepOctNovDec",MONTH(DATE(YEAR(SprintTable[[#This Row],[Start]]),MONTH(SprintTable[[#This Row],[Start]])+2,1))*3-2,3)&amp;"-"&amp;RIGHT(YEAR(DATE(YEAR(SprintTable[[#This Row],[Start]]),MONTH(SprintTable[[#This Row],[Start]])+2,1)),2),LeaveTable[#Headers],0),0)</f>
        <v>0</v>
      </c>
    </row>
    <row r="11" customFormat="false" ht="15" hidden="false" customHeight="false" outlineLevel="0" collapsed="false">
      <c r="A11" s="51" t="n">
        <f aca="false">ROW()-ROW(SprintTable[[#Headers],[No]])</f>
        <v>6</v>
      </c>
      <c r="B11" s="30" t="str">
        <f aca="false">IF(SprintTable[[#This Row],[No]]&lt;=SprintCount,SprintPrefix&amp;SprintTable[[#This Row],[No]],"")</f>
        <v>Sprint 6</v>
      </c>
      <c r="C11" s="31" t="n">
        <f aca="false">Sprint1Start+(SprintTable[[#This Row],[No]]-1)*SprintLength</f>
        <v>71</v>
      </c>
      <c r="D11" s="31" t="n">
        <f aca="false">SprintTable[[#This Row],[Start]]+SprintLength-1</f>
        <v>84</v>
      </c>
      <c r="E11" s="51" t="n">
        <f aca="false">NETWORKDAYS.INTL(SprintTable[[#This Row],[Start]],SprintTable[[#This Row],[End]],WorkWeek,Holidays)</f>
        <v>10</v>
      </c>
      <c r="F11" s="53"/>
      <c r="G11" s="51" t="n">
        <f aca="false">IF(SprintTable[[#This Row],[Sprint]]="","",COUNTIF(tsk_Sprint,SprintTable[[#This Row],[Sprint]]))</f>
        <v>0</v>
      </c>
      <c r="H11"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1"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1" s="109" t="str">
        <f aca="false">IF(OR(SprintTable[[#This Row],[Sprint]]="",N(SprintTable[[#This Row],[Capacity]])=0),"",SprintTable[[#This Row],[Planned Work]]/SprintTable[[#This Row],[Capacity]])</f>
        <v/>
      </c>
      <c r="K11" s="51" t="str">
        <f aca="false">IF(SprintTable[[#This Row],[Sprint]]="","",IF(StatusDate&gt;SprintTable[[#This Row],[End]],"Closed",IF(StatusDate&gt;=SprintTable[[#This Row],[Start]],"Active","Future")))</f>
        <v>Future</v>
      </c>
      <c r="L11" s="98"/>
      <c r="M11" s="70" t="n">
        <f aca="false">IF(SprintTable[[#This Row],[Sprint]]="","",SUMIFS(tsk_LeafPoints,tsk_Sprint,SprintTable[[#This Row],[Sprint]]))</f>
        <v>0</v>
      </c>
      <c r="N11" s="70" t="str">
        <f aca="false">IF(OR(SprintTable[[#This Row],[Sprint]]="",SprintTable[[#This Row],[Status]]="Future"),"",SUMIFS(tsk_LeafPoints,tsk_DoneDate,"&gt;="&amp;SprintTable[[#This Row],[Start]],tsk_DoneDate,"&lt;="&amp;SprintTable[[#This Row],[End]]))</f>
        <v/>
      </c>
      <c r="O11" s="133" t="str">
        <f aca="false">IF(OR(SprintTable[[#This Row],[Sprint]]="",SprintTable[[#This Row],[Status]]&lt;&gt;"Closed"),"",AVERAGE(INDEX(SprintTable[Done Points],MAX(1,SprintTable[[#This Row],[No]]-2)):INDEX(SprintTable[Done Points],SprintTable[[#This Row],[No]])))</f>
        <v/>
      </c>
      <c r="P11" s="70" t="str">
        <f aca="false">IF(OR(SprintTable[[#This Row],[Sprint]]="",SprintTable[[#This Row],[Status]]="Future"),"",TotalPoints-SUMIFS(tsk_LeafPoints,tsk_DoneDate,"&lt;="&amp;MIN(SprintTable[[#This Row],[End]],StatusDate)))</f>
        <v/>
      </c>
      <c r="Q11" s="70" t="n">
        <f aca="false">IF(SprintTable[[#This Row],[Sprint]]="","",TotalPoints-SUMIFS(tsk_LeafPoints,tsk_FcFinish,"&lt;="&amp;SprintTable[[#This Row],[End]]))</f>
        <v>0</v>
      </c>
      <c r="R11" s="70" t="n">
        <f aca="false">IF(SprintTable[[#This Row],[Sprint]]="","",TotalPoints*MAX(0,1-SprintTable[[#This Row],[No]]/SprintCount))</f>
        <v>0</v>
      </c>
      <c r="S11" s="38" t="e">
        <f aca="false">IF(SprintTable[[#This Row],[Remaining Points]]="",NA(),SprintTable[[#This Row],[Remaining Points]])</f>
        <v>#N/A</v>
      </c>
      <c r="T11" s="38" t="n">
        <f aca="false">IFERROR(MATCH(MID("JanFebMarAprMayJunJulAugSepOctNovDec",MONTH(DATE(YEAR(SprintTable[[#This Row],[Start]]),MONTH(SprintTable[[#This Row],[Start]])+0,1))*3-2,3)&amp;"-"&amp;RIGHT(YEAR(DATE(YEAR(SprintTable[[#This Row],[Start]]),MONTH(SprintTable[[#This Row],[Start]])+0,1)),2),LeaveTable[#Headers],0),0)</f>
        <v>0</v>
      </c>
      <c r="U11" s="38" t="n">
        <f aca="false">IFERROR(MATCH(MID("JanFebMarAprMayJunJulAugSepOctNovDec",MONTH(DATE(YEAR(SprintTable[[#This Row],[Start]]),MONTH(SprintTable[[#This Row],[Start]])+1,1))*3-2,3)&amp;"-"&amp;RIGHT(YEAR(DATE(YEAR(SprintTable[[#This Row],[Start]]),MONTH(SprintTable[[#This Row],[Start]])+1,1)),2),LeaveTable[#Headers],0),0)</f>
        <v>0</v>
      </c>
      <c r="V11" s="38" t="n">
        <f aca="false">IFERROR(MATCH(MID("JanFebMarAprMayJunJulAugSepOctNovDec",MONTH(DATE(YEAR(SprintTable[[#This Row],[Start]]),MONTH(SprintTable[[#This Row],[Start]])+2,1))*3-2,3)&amp;"-"&amp;RIGHT(YEAR(DATE(YEAR(SprintTable[[#This Row],[Start]]),MONTH(SprintTable[[#This Row],[Start]])+2,1)),2),LeaveTable[#Headers],0),0)</f>
        <v>0</v>
      </c>
    </row>
    <row r="12" customFormat="false" ht="15" hidden="false" customHeight="false" outlineLevel="0" collapsed="false">
      <c r="A12" s="51" t="n">
        <f aca="false">ROW()-ROW(SprintTable[[#Headers],[No]])</f>
        <v>7</v>
      </c>
      <c r="B12" s="30" t="str">
        <f aca="false">IF(SprintTable[[#This Row],[No]]&lt;=SprintCount,SprintPrefix&amp;SprintTable[[#This Row],[No]],"")</f>
        <v>Sprint 7</v>
      </c>
      <c r="C12" s="31" t="n">
        <f aca="false">Sprint1Start+(SprintTable[[#This Row],[No]]-1)*SprintLength</f>
        <v>85</v>
      </c>
      <c r="D12" s="31" t="n">
        <f aca="false">SprintTable[[#This Row],[Start]]+SprintLength-1</f>
        <v>98</v>
      </c>
      <c r="E12" s="51" t="n">
        <f aca="false">NETWORKDAYS.INTL(SprintTable[[#This Row],[Start]],SprintTable[[#This Row],[End]],WorkWeek,Holidays)</f>
        <v>10</v>
      </c>
      <c r="F12" s="53"/>
      <c r="G12" s="51" t="n">
        <f aca="false">IF(SprintTable[[#This Row],[Sprint]]="","",COUNTIF(tsk_Sprint,SprintTable[[#This Row],[Sprint]]))</f>
        <v>0</v>
      </c>
      <c r="H12"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2"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2" s="109" t="str">
        <f aca="false">IF(OR(SprintTable[[#This Row],[Sprint]]="",N(SprintTable[[#This Row],[Capacity]])=0),"",SprintTable[[#This Row],[Planned Work]]/SprintTable[[#This Row],[Capacity]])</f>
        <v/>
      </c>
      <c r="K12" s="51" t="str">
        <f aca="false">IF(SprintTable[[#This Row],[Sprint]]="","",IF(StatusDate&gt;SprintTable[[#This Row],[End]],"Closed",IF(StatusDate&gt;=SprintTable[[#This Row],[Start]],"Active","Future")))</f>
        <v>Future</v>
      </c>
      <c r="L12" s="98"/>
      <c r="M12" s="70" t="n">
        <f aca="false">IF(SprintTable[[#This Row],[Sprint]]="","",SUMIFS(tsk_LeafPoints,tsk_Sprint,SprintTable[[#This Row],[Sprint]]))</f>
        <v>0</v>
      </c>
      <c r="N12" s="70" t="str">
        <f aca="false">IF(OR(SprintTable[[#This Row],[Sprint]]="",SprintTable[[#This Row],[Status]]="Future"),"",SUMIFS(tsk_LeafPoints,tsk_DoneDate,"&gt;="&amp;SprintTable[[#This Row],[Start]],tsk_DoneDate,"&lt;="&amp;SprintTable[[#This Row],[End]]))</f>
        <v/>
      </c>
      <c r="O12" s="133" t="str">
        <f aca="false">IF(OR(SprintTable[[#This Row],[Sprint]]="",SprintTable[[#This Row],[Status]]&lt;&gt;"Closed"),"",AVERAGE(INDEX(SprintTable[Done Points],MAX(1,SprintTable[[#This Row],[No]]-2)):INDEX(SprintTable[Done Points],SprintTable[[#This Row],[No]])))</f>
        <v/>
      </c>
      <c r="P12" s="70" t="str">
        <f aca="false">IF(OR(SprintTable[[#This Row],[Sprint]]="",SprintTable[[#This Row],[Status]]="Future"),"",TotalPoints-SUMIFS(tsk_LeafPoints,tsk_DoneDate,"&lt;="&amp;MIN(SprintTable[[#This Row],[End]],StatusDate)))</f>
        <v/>
      </c>
      <c r="Q12" s="70" t="n">
        <f aca="false">IF(SprintTable[[#This Row],[Sprint]]="","",TotalPoints-SUMIFS(tsk_LeafPoints,tsk_FcFinish,"&lt;="&amp;SprintTable[[#This Row],[End]]))</f>
        <v>0</v>
      </c>
      <c r="R12" s="70" t="n">
        <f aca="false">IF(SprintTable[[#This Row],[Sprint]]="","",TotalPoints*MAX(0,1-SprintTable[[#This Row],[No]]/SprintCount))</f>
        <v>0</v>
      </c>
      <c r="S12" s="38" t="e">
        <f aca="false">IF(SprintTable[[#This Row],[Remaining Points]]="",NA(),SprintTable[[#This Row],[Remaining Points]])</f>
        <v>#N/A</v>
      </c>
      <c r="T12" s="38" t="n">
        <f aca="false">IFERROR(MATCH(MID("JanFebMarAprMayJunJulAugSepOctNovDec",MONTH(DATE(YEAR(SprintTable[[#This Row],[Start]]),MONTH(SprintTable[[#This Row],[Start]])+0,1))*3-2,3)&amp;"-"&amp;RIGHT(YEAR(DATE(YEAR(SprintTable[[#This Row],[Start]]),MONTH(SprintTable[[#This Row],[Start]])+0,1)),2),LeaveTable[#Headers],0),0)</f>
        <v>0</v>
      </c>
      <c r="U12" s="38" t="n">
        <f aca="false">IFERROR(MATCH(MID("JanFebMarAprMayJunJulAugSepOctNovDec",MONTH(DATE(YEAR(SprintTable[[#This Row],[Start]]),MONTH(SprintTable[[#This Row],[Start]])+1,1))*3-2,3)&amp;"-"&amp;RIGHT(YEAR(DATE(YEAR(SprintTable[[#This Row],[Start]]),MONTH(SprintTable[[#This Row],[Start]])+1,1)),2),LeaveTable[#Headers],0),0)</f>
        <v>0</v>
      </c>
      <c r="V12" s="38" t="n">
        <f aca="false">IFERROR(MATCH(MID("JanFebMarAprMayJunJulAugSepOctNovDec",MONTH(DATE(YEAR(SprintTable[[#This Row],[Start]]),MONTH(SprintTable[[#This Row],[Start]])+2,1))*3-2,3)&amp;"-"&amp;RIGHT(YEAR(DATE(YEAR(SprintTable[[#This Row],[Start]]),MONTH(SprintTable[[#This Row],[Start]])+2,1)),2),LeaveTable[#Headers],0),0)</f>
        <v>0</v>
      </c>
    </row>
    <row r="13" customFormat="false" ht="15" hidden="false" customHeight="false" outlineLevel="0" collapsed="false">
      <c r="A13" s="51" t="n">
        <f aca="false">ROW()-ROW(SprintTable[[#Headers],[No]])</f>
        <v>8</v>
      </c>
      <c r="B13" s="30" t="str">
        <f aca="false">IF(SprintTable[[#This Row],[No]]&lt;=SprintCount,SprintPrefix&amp;SprintTable[[#This Row],[No]],"")</f>
        <v>Sprint 8</v>
      </c>
      <c r="C13" s="31" t="n">
        <f aca="false">Sprint1Start+(SprintTable[[#This Row],[No]]-1)*SprintLength</f>
        <v>99</v>
      </c>
      <c r="D13" s="31" t="n">
        <f aca="false">SprintTable[[#This Row],[Start]]+SprintLength-1</f>
        <v>112</v>
      </c>
      <c r="E13" s="51" t="n">
        <f aca="false">NETWORKDAYS.INTL(SprintTable[[#This Row],[Start]],SprintTable[[#This Row],[End]],WorkWeek,Holidays)</f>
        <v>10</v>
      </c>
      <c r="F13" s="53"/>
      <c r="G13" s="51" t="n">
        <f aca="false">IF(SprintTable[[#This Row],[Sprint]]="","",COUNTIF(tsk_Sprint,SprintTable[[#This Row],[Sprint]]))</f>
        <v>0</v>
      </c>
      <c r="H13"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3"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3" s="109" t="str">
        <f aca="false">IF(OR(SprintTable[[#This Row],[Sprint]]="",N(SprintTable[[#This Row],[Capacity]])=0),"",SprintTable[[#This Row],[Planned Work]]/SprintTable[[#This Row],[Capacity]])</f>
        <v/>
      </c>
      <c r="K13" s="51" t="str">
        <f aca="false">IF(SprintTable[[#This Row],[Sprint]]="","",IF(StatusDate&gt;SprintTable[[#This Row],[End]],"Closed",IF(StatusDate&gt;=SprintTable[[#This Row],[Start]],"Active","Future")))</f>
        <v>Future</v>
      </c>
      <c r="L13" s="98"/>
      <c r="M13" s="70" t="n">
        <f aca="false">IF(SprintTable[[#This Row],[Sprint]]="","",SUMIFS(tsk_LeafPoints,tsk_Sprint,SprintTable[[#This Row],[Sprint]]))</f>
        <v>0</v>
      </c>
      <c r="N13" s="70" t="str">
        <f aca="false">IF(OR(SprintTable[[#This Row],[Sprint]]="",SprintTable[[#This Row],[Status]]="Future"),"",SUMIFS(tsk_LeafPoints,tsk_DoneDate,"&gt;="&amp;SprintTable[[#This Row],[Start]],tsk_DoneDate,"&lt;="&amp;SprintTable[[#This Row],[End]]))</f>
        <v/>
      </c>
      <c r="O13" s="133" t="str">
        <f aca="false">IF(OR(SprintTable[[#This Row],[Sprint]]="",SprintTable[[#This Row],[Status]]&lt;&gt;"Closed"),"",AVERAGE(INDEX(SprintTable[Done Points],MAX(1,SprintTable[[#This Row],[No]]-2)):INDEX(SprintTable[Done Points],SprintTable[[#This Row],[No]])))</f>
        <v/>
      </c>
      <c r="P13" s="70" t="str">
        <f aca="false">IF(OR(SprintTable[[#This Row],[Sprint]]="",SprintTable[[#This Row],[Status]]="Future"),"",TotalPoints-SUMIFS(tsk_LeafPoints,tsk_DoneDate,"&lt;="&amp;MIN(SprintTable[[#This Row],[End]],StatusDate)))</f>
        <v/>
      </c>
      <c r="Q13" s="70" t="n">
        <f aca="false">IF(SprintTable[[#This Row],[Sprint]]="","",TotalPoints-SUMIFS(tsk_LeafPoints,tsk_FcFinish,"&lt;="&amp;SprintTable[[#This Row],[End]]))</f>
        <v>0</v>
      </c>
      <c r="R13" s="70" t="n">
        <f aca="false">IF(SprintTable[[#This Row],[Sprint]]="","",TotalPoints*MAX(0,1-SprintTable[[#This Row],[No]]/SprintCount))</f>
        <v>0</v>
      </c>
      <c r="S13" s="38" t="e">
        <f aca="false">IF(SprintTable[[#This Row],[Remaining Points]]="",NA(),SprintTable[[#This Row],[Remaining Points]])</f>
        <v>#N/A</v>
      </c>
      <c r="T13" s="38" t="n">
        <f aca="false">IFERROR(MATCH(MID("JanFebMarAprMayJunJulAugSepOctNovDec",MONTH(DATE(YEAR(SprintTable[[#This Row],[Start]]),MONTH(SprintTable[[#This Row],[Start]])+0,1))*3-2,3)&amp;"-"&amp;RIGHT(YEAR(DATE(YEAR(SprintTable[[#This Row],[Start]]),MONTH(SprintTable[[#This Row],[Start]])+0,1)),2),LeaveTable[#Headers],0),0)</f>
        <v>0</v>
      </c>
      <c r="U13" s="38" t="n">
        <f aca="false">IFERROR(MATCH(MID("JanFebMarAprMayJunJulAugSepOctNovDec",MONTH(DATE(YEAR(SprintTable[[#This Row],[Start]]),MONTH(SprintTable[[#This Row],[Start]])+1,1))*3-2,3)&amp;"-"&amp;RIGHT(YEAR(DATE(YEAR(SprintTable[[#This Row],[Start]]),MONTH(SprintTable[[#This Row],[Start]])+1,1)),2),LeaveTable[#Headers],0),0)</f>
        <v>0</v>
      </c>
      <c r="V13" s="38" t="n">
        <f aca="false">IFERROR(MATCH(MID("JanFebMarAprMayJunJulAugSepOctNovDec",MONTH(DATE(YEAR(SprintTable[[#This Row],[Start]]),MONTH(SprintTable[[#This Row],[Start]])+2,1))*3-2,3)&amp;"-"&amp;RIGHT(YEAR(DATE(YEAR(SprintTable[[#This Row],[Start]]),MONTH(SprintTable[[#This Row],[Start]])+2,1)),2),LeaveTable[#Headers],0),0)</f>
        <v>0</v>
      </c>
    </row>
    <row r="14" customFormat="false" ht="15" hidden="false" customHeight="false" outlineLevel="0" collapsed="false">
      <c r="A14" s="51" t="n">
        <f aca="false">ROW()-ROW(SprintTable[[#Headers],[No]])</f>
        <v>9</v>
      </c>
      <c r="B14" s="30" t="str">
        <f aca="false">IF(SprintTable[[#This Row],[No]]&lt;=SprintCount,SprintPrefix&amp;SprintTable[[#This Row],[No]],"")</f>
        <v>Sprint 9</v>
      </c>
      <c r="C14" s="31" t="n">
        <f aca="false">Sprint1Start+(SprintTable[[#This Row],[No]]-1)*SprintLength</f>
        <v>113</v>
      </c>
      <c r="D14" s="31" t="n">
        <f aca="false">SprintTable[[#This Row],[Start]]+SprintLength-1</f>
        <v>126</v>
      </c>
      <c r="E14" s="51" t="n">
        <f aca="false">NETWORKDAYS.INTL(SprintTable[[#This Row],[Start]],SprintTable[[#This Row],[End]],WorkWeek,Holidays)</f>
        <v>10</v>
      </c>
      <c r="F14" s="53"/>
      <c r="G14" s="51" t="n">
        <f aca="false">IF(SprintTable[[#This Row],[Sprint]]="","",COUNTIF(tsk_Sprint,SprintTable[[#This Row],[Sprint]]))</f>
        <v>0</v>
      </c>
      <c r="H14"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4"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4" s="109" t="str">
        <f aca="false">IF(OR(SprintTable[[#This Row],[Sprint]]="",N(SprintTable[[#This Row],[Capacity]])=0),"",SprintTable[[#This Row],[Planned Work]]/SprintTable[[#This Row],[Capacity]])</f>
        <v/>
      </c>
      <c r="K14" s="51" t="str">
        <f aca="false">IF(SprintTable[[#This Row],[Sprint]]="","",IF(StatusDate&gt;SprintTable[[#This Row],[End]],"Closed",IF(StatusDate&gt;=SprintTable[[#This Row],[Start]],"Active","Future")))</f>
        <v>Future</v>
      </c>
      <c r="L14" s="98"/>
      <c r="M14" s="70" t="n">
        <f aca="false">IF(SprintTable[[#This Row],[Sprint]]="","",SUMIFS(tsk_LeafPoints,tsk_Sprint,SprintTable[[#This Row],[Sprint]]))</f>
        <v>0</v>
      </c>
      <c r="N14" s="70" t="str">
        <f aca="false">IF(OR(SprintTable[[#This Row],[Sprint]]="",SprintTable[[#This Row],[Status]]="Future"),"",SUMIFS(tsk_LeafPoints,tsk_DoneDate,"&gt;="&amp;SprintTable[[#This Row],[Start]],tsk_DoneDate,"&lt;="&amp;SprintTable[[#This Row],[End]]))</f>
        <v/>
      </c>
      <c r="O14" s="133" t="str">
        <f aca="false">IF(OR(SprintTable[[#This Row],[Sprint]]="",SprintTable[[#This Row],[Status]]&lt;&gt;"Closed"),"",AVERAGE(INDEX(SprintTable[Done Points],MAX(1,SprintTable[[#This Row],[No]]-2)):INDEX(SprintTable[Done Points],SprintTable[[#This Row],[No]])))</f>
        <v/>
      </c>
      <c r="P14" s="70" t="str">
        <f aca="false">IF(OR(SprintTable[[#This Row],[Sprint]]="",SprintTable[[#This Row],[Status]]="Future"),"",TotalPoints-SUMIFS(tsk_LeafPoints,tsk_DoneDate,"&lt;="&amp;MIN(SprintTable[[#This Row],[End]],StatusDate)))</f>
        <v/>
      </c>
      <c r="Q14" s="70" t="n">
        <f aca="false">IF(SprintTable[[#This Row],[Sprint]]="","",TotalPoints-SUMIFS(tsk_LeafPoints,tsk_FcFinish,"&lt;="&amp;SprintTable[[#This Row],[End]]))</f>
        <v>0</v>
      </c>
      <c r="R14" s="70" t="n">
        <f aca="false">IF(SprintTable[[#This Row],[Sprint]]="","",TotalPoints*MAX(0,1-SprintTable[[#This Row],[No]]/SprintCount))</f>
        <v>0</v>
      </c>
      <c r="S14" s="38" t="e">
        <f aca="false">IF(SprintTable[[#This Row],[Remaining Points]]="",NA(),SprintTable[[#This Row],[Remaining Points]])</f>
        <v>#N/A</v>
      </c>
      <c r="T14" s="38" t="n">
        <f aca="false">IFERROR(MATCH(MID("JanFebMarAprMayJunJulAugSepOctNovDec",MONTH(DATE(YEAR(SprintTable[[#This Row],[Start]]),MONTH(SprintTable[[#This Row],[Start]])+0,1))*3-2,3)&amp;"-"&amp;RIGHT(YEAR(DATE(YEAR(SprintTable[[#This Row],[Start]]),MONTH(SprintTable[[#This Row],[Start]])+0,1)),2),LeaveTable[#Headers],0),0)</f>
        <v>0</v>
      </c>
      <c r="U14" s="38" t="n">
        <f aca="false">IFERROR(MATCH(MID("JanFebMarAprMayJunJulAugSepOctNovDec",MONTH(DATE(YEAR(SprintTable[[#This Row],[Start]]),MONTH(SprintTable[[#This Row],[Start]])+1,1))*3-2,3)&amp;"-"&amp;RIGHT(YEAR(DATE(YEAR(SprintTable[[#This Row],[Start]]),MONTH(SprintTable[[#This Row],[Start]])+1,1)),2),LeaveTable[#Headers],0),0)</f>
        <v>0</v>
      </c>
      <c r="V14" s="38" t="n">
        <f aca="false">IFERROR(MATCH(MID("JanFebMarAprMayJunJulAugSepOctNovDec",MONTH(DATE(YEAR(SprintTable[[#This Row],[Start]]),MONTH(SprintTable[[#This Row],[Start]])+2,1))*3-2,3)&amp;"-"&amp;RIGHT(YEAR(DATE(YEAR(SprintTable[[#This Row],[Start]]),MONTH(SprintTable[[#This Row],[Start]])+2,1)),2),LeaveTable[#Headers],0),0)</f>
        <v>0</v>
      </c>
    </row>
    <row r="15" customFormat="false" ht="15" hidden="false" customHeight="false" outlineLevel="0" collapsed="false">
      <c r="A15" s="51" t="n">
        <f aca="false">ROW()-ROW(SprintTable[[#Headers],[No]])</f>
        <v>10</v>
      </c>
      <c r="B15" s="30" t="str">
        <f aca="false">IF(SprintTable[[#This Row],[No]]&lt;=SprintCount,SprintPrefix&amp;SprintTable[[#This Row],[No]],"")</f>
        <v>Sprint 10</v>
      </c>
      <c r="C15" s="31" t="n">
        <f aca="false">Sprint1Start+(SprintTable[[#This Row],[No]]-1)*SprintLength</f>
        <v>127</v>
      </c>
      <c r="D15" s="31" t="n">
        <f aca="false">SprintTable[[#This Row],[Start]]+SprintLength-1</f>
        <v>140</v>
      </c>
      <c r="E15" s="51" t="n">
        <f aca="false">NETWORKDAYS.INTL(SprintTable[[#This Row],[Start]],SprintTable[[#This Row],[End]],WorkWeek,Holidays)</f>
        <v>10</v>
      </c>
      <c r="F15" s="53"/>
      <c r="G15" s="51" t="n">
        <f aca="false">IF(SprintTable[[#This Row],[Sprint]]="","",COUNTIF(tsk_Sprint,SprintTable[[#This Row],[Sprint]]))</f>
        <v>0</v>
      </c>
      <c r="H15"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5"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5" s="109" t="str">
        <f aca="false">IF(OR(SprintTable[[#This Row],[Sprint]]="",N(SprintTable[[#This Row],[Capacity]])=0),"",SprintTable[[#This Row],[Planned Work]]/SprintTable[[#This Row],[Capacity]])</f>
        <v/>
      </c>
      <c r="K15" s="51" t="str">
        <f aca="false">IF(SprintTable[[#This Row],[Sprint]]="","",IF(StatusDate&gt;SprintTable[[#This Row],[End]],"Closed",IF(StatusDate&gt;=SprintTable[[#This Row],[Start]],"Active","Future")))</f>
        <v>Future</v>
      </c>
      <c r="L15" s="98"/>
      <c r="M15" s="70" t="n">
        <f aca="false">IF(SprintTable[[#This Row],[Sprint]]="","",SUMIFS(tsk_LeafPoints,tsk_Sprint,SprintTable[[#This Row],[Sprint]]))</f>
        <v>0</v>
      </c>
      <c r="N15" s="70" t="str">
        <f aca="false">IF(OR(SprintTable[[#This Row],[Sprint]]="",SprintTable[[#This Row],[Status]]="Future"),"",SUMIFS(tsk_LeafPoints,tsk_DoneDate,"&gt;="&amp;SprintTable[[#This Row],[Start]],tsk_DoneDate,"&lt;="&amp;SprintTable[[#This Row],[End]]))</f>
        <v/>
      </c>
      <c r="O15" s="133" t="str">
        <f aca="false">IF(OR(SprintTable[[#This Row],[Sprint]]="",SprintTable[[#This Row],[Status]]&lt;&gt;"Closed"),"",AVERAGE(INDEX(SprintTable[Done Points],MAX(1,SprintTable[[#This Row],[No]]-2)):INDEX(SprintTable[Done Points],SprintTable[[#This Row],[No]])))</f>
        <v/>
      </c>
      <c r="P15" s="70" t="str">
        <f aca="false">IF(OR(SprintTable[[#This Row],[Sprint]]="",SprintTable[[#This Row],[Status]]="Future"),"",TotalPoints-SUMIFS(tsk_LeafPoints,tsk_DoneDate,"&lt;="&amp;MIN(SprintTable[[#This Row],[End]],StatusDate)))</f>
        <v/>
      </c>
      <c r="Q15" s="70" t="n">
        <f aca="false">IF(SprintTable[[#This Row],[Sprint]]="","",TotalPoints-SUMIFS(tsk_LeafPoints,tsk_FcFinish,"&lt;="&amp;SprintTable[[#This Row],[End]]))</f>
        <v>0</v>
      </c>
      <c r="R15" s="70" t="n">
        <f aca="false">IF(SprintTable[[#This Row],[Sprint]]="","",TotalPoints*MAX(0,1-SprintTable[[#This Row],[No]]/SprintCount))</f>
        <v>0</v>
      </c>
      <c r="S15" s="38" t="e">
        <f aca="false">IF(SprintTable[[#This Row],[Remaining Points]]="",NA(),SprintTable[[#This Row],[Remaining Points]])</f>
        <v>#N/A</v>
      </c>
      <c r="T15" s="38" t="n">
        <f aca="false">IFERROR(MATCH(MID("JanFebMarAprMayJunJulAugSepOctNovDec",MONTH(DATE(YEAR(SprintTable[[#This Row],[Start]]),MONTH(SprintTable[[#This Row],[Start]])+0,1))*3-2,3)&amp;"-"&amp;RIGHT(YEAR(DATE(YEAR(SprintTable[[#This Row],[Start]]),MONTH(SprintTable[[#This Row],[Start]])+0,1)),2),LeaveTable[#Headers],0),0)</f>
        <v>0</v>
      </c>
      <c r="U15" s="38" t="n">
        <f aca="false">IFERROR(MATCH(MID("JanFebMarAprMayJunJulAugSepOctNovDec",MONTH(DATE(YEAR(SprintTable[[#This Row],[Start]]),MONTH(SprintTable[[#This Row],[Start]])+1,1))*3-2,3)&amp;"-"&amp;RIGHT(YEAR(DATE(YEAR(SprintTable[[#This Row],[Start]]),MONTH(SprintTable[[#This Row],[Start]])+1,1)),2),LeaveTable[#Headers],0),0)</f>
        <v>0</v>
      </c>
      <c r="V15" s="38" t="n">
        <f aca="false">IFERROR(MATCH(MID("JanFebMarAprMayJunJulAugSepOctNovDec",MONTH(DATE(YEAR(SprintTable[[#This Row],[Start]]),MONTH(SprintTable[[#This Row],[Start]])+2,1))*3-2,3)&amp;"-"&amp;RIGHT(YEAR(DATE(YEAR(SprintTable[[#This Row],[Start]]),MONTH(SprintTable[[#This Row],[Start]])+2,1)),2),LeaveTable[#Headers],0),0)</f>
        <v>0</v>
      </c>
    </row>
    <row r="16" customFormat="false" ht="15" hidden="false" customHeight="false" outlineLevel="0" collapsed="false">
      <c r="A16" s="51" t="n">
        <f aca="false">ROW()-ROW(SprintTable[[#Headers],[No]])</f>
        <v>11</v>
      </c>
      <c r="B16" s="30" t="str">
        <f aca="false">IF(SprintTable[[#This Row],[No]]&lt;=SprintCount,SprintPrefix&amp;SprintTable[[#This Row],[No]],"")</f>
        <v>Sprint 11</v>
      </c>
      <c r="C16" s="31" t="n">
        <f aca="false">Sprint1Start+(SprintTable[[#This Row],[No]]-1)*SprintLength</f>
        <v>141</v>
      </c>
      <c r="D16" s="31" t="n">
        <f aca="false">SprintTable[[#This Row],[Start]]+SprintLength-1</f>
        <v>154</v>
      </c>
      <c r="E16" s="51" t="n">
        <f aca="false">NETWORKDAYS.INTL(SprintTable[[#This Row],[Start]],SprintTable[[#This Row],[End]],WorkWeek,Holidays)</f>
        <v>10</v>
      </c>
      <c r="F16" s="53"/>
      <c r="G16" s="51" t="n">
        <f aca="false">IF(SprintTable[[#This Row],[Sprint]]="","",COUNTIF(tsk_Sprint,SprintTable[[#This Row],[Sprint]]))</f>
        <v>0</v>
      </c>
      <c r="H16"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6"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6" s="109" t="str">
        <f aca="false">IF(OR(SprintTable[[#This Row],[Sprint]]="",N(SprintTable[[#This Row],[Capacity]])=0),"",SprintTable[[#This Row],[Planned Work]]/SprintTable[[#This Row],[Capacity]])</f>
        <v/>
      </c>
      <c r="K16" s="51" t="str">
        <f aca="false">IF(SprintTable[[#This Row],[Sprint]]="","",IF(StatusDate&gt;SprintTable[[#This Row],[End]],"Closed",IF(StatusDate&gt;=SprintTable[[#This Row],[Start]],"Active","Future")))</f>
        <v>Future</v>
      </c>
      <c r="L16" s="98"/>
      <c r="M16" s="70" t="n">
        <f aca="false">IF(SprintTable[[#This Row],[Sprint]]="","",SUMIFS(tsk_LeafPoints,tsk_Sprint,SprintTable[[#This Row],[Sprint]]))</f>
        <v>0</v>
      </c>
      <c r="N16" s="70" t="str">
        <f aca="false">IF(OR(SprintTable[[#This Row],[Sprint]]="",SprintTable[[#This Row],[Status]]="Future"),"",SUMIFS(tsk_LeafPoints,tsk_DoneDate,"&gt;="&amp;SprintTable[[#This Row],[Start]],tsk_DoneDate,"&lt;="&amp;SprintTable[[#This Row],[End]]))</f>
        <v/>
      </c>
      <c r="O16" s="133" t="str">
        <f aca="false">IF(OR(SprintTable[[#This Row],[Sprint]]="",SprintTable[[#This Row],[Status]]&lt;&gt;"Closed"),"",AVERAGE(INDEX(SprintTable[Done Points],MAX(1,SprintTable[[#This Row],[No]]-2)):INDEX(SprintTable[Done Points],SprintTable[[#This Row],[No]])))</f>
        <v/>
      </c>
      <c r="P16" s="70" t="str">
        <f aca="false">IF(OR(SprintTable[[#This Row],[Sprint]]="",SprintTable[[#This Row],[Status]]="Future"),"",TotalPoints-SUMIFS(tsk_LeafPoints,tsk_DoneDate,"&lt;="&amp;MIN(SprintTable[[#This Row],[End]],StatusDate)))</f>
        <v/>
      </c>
      <c r="Q16" s="70" t="n">
        <f aca="false">IF(SprintTable[[#This Row],[Sprint]]="","",TotalPoints-SUMIFS(tsk_LeafPoints,tsk_FcFinish,"&lt;="&amp;SprintTable[[#This Row],[End]]))</f>
        <v>0</v>
      </c>
      <c r="R16" s="70" t="n">
        <f aca="false">IF(SprintTable[[#This Row],[Sprint]]="","",TotalPoints*MAX(0,1-SprintTable[[#This Row],[No]]/SprintCount))</f>
        <v>0</v>
      </c>
      <c r="S16" s="38" t="e">
        <f aca="false">IF(SprintTable[[#This Row],[Remaining Points]]="",NA(),SprintTable[[#This Row],[Remaining Points]])</f>
        <v>#N/A</v>
      </c>
      <c r="T16" s="38" t="n">
        <f aca="false">IFERROR(MATCH(MID("JanFebMarAprMayJunJulAugSepOctNovDec",MONTH(DATE(YEAR(SprintTable[[#This Row],[Start]]),MONTH(SprintTable[[#This Row],[Start]])+0,1))*3-2,3)&amp;"-"&amp;RIGHT(YEAR(DATE(YEAR(SprintTable[[#This Row],[Start]]),MONTH(SprintTable[[#This Row],[Start]])+0,1)),2),LeaveTable[#Headers],0),0)</f>
        <v>0</v>
      </c>
      <c r="U16" s="38" t="n">
        <f aca="false">IFERROR(MATCH(MID("JanFebMarAprMayJunJulAugSepOctNovDec",MONTH(DATE(YEAR(SprintTable[[#This Row],[Start]]),MONTH(SprintTable[[#This Row],[Start]])+1,1))*3-2,3)&amp;"-"&amp;RIGHT(YEAR(DATE(YEAR(SprintTable[[#This Row],[Start]]),MONTH(SprintTable[[#This Row],[Start]])+1,1)),2),LeaveTable[#Headers],0),0)</f>
        <v>0</v>
      </c>
      <c r="V16" s="38" t="n">
        <f aca="false">IFERROR(MATCH(MID("JanFebMarAprMayJunJulAugSepOctNovDec",MONTH(DATE(YEAR(SprintTable[[#This Row],[Start]]),MONTH(SprintTable[[#This Row],[Start]])+2,1))*3-2,3)&amp;"-"&amp;RIGHT(YEAR(DATE(YEAR(SprintTable[[#This Row],[Start]]),MONTH(SprintTable[[#This Row],[Start]])+2,1)),2),LeaveTable[#Headers],0),0)</f>
        <v>0</v>
      </c>
    </row>
    <row r="17" customFormat="false" ht="15" hidden="false" customHeight="false" outlineLevel="0" collapsed="false">
      <c r="A17" s="51" t="n">
        <f aca="false">ROW()-ROW(SprintTable[[#Headers],[No]])</f>
        <v>12</v>
      </c>
      <c r="B17" s="30" t="str">
        <f aca="false">IF(SprintTable[[#This Row],[No]]&lt;=SprintCount,SprintPrefix&amp;SprintTable[[#This Row],[No]],"")</f>
        <v>Sprint 12</v>
      </c>
      <c r="C17" s="31" t="n">
        <f aca="false">Sprint1Start+(SprintTable[[#This Row],[No]]-1)*SprintLength</f>
        <v>155</v>
      </c>
      <c r="D17" s="31" t="n">
        <f aca="false">SprintTable[[#This Row],[Start]]+SprintLength-1</f>
        <v>168</v>
      </c>
      <c r="E17" s="51" t="n">
        <f aca="false">NETWORKDAYS.INTL(SprintTable[[#This Row],[Start]],SprintTable[[#This Row],[End]],WorkWeek,Holidays)</f>
        <v>10</v>
      </c>
      <c r="F17" s="53"/>
      <c r="G17" s="51" t="n">
        <f aca="false">IF(SprintTable[[#This Row],[Sprint]]="","",COUNTIF(tsk_Sprint,SprintTable[[#This Row],[Sprint]]))</f>
        <v>0</v>
      </c>
      <c r="H17"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7"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7" s="109" t="str">
        <f aca="false">IF(OR(SprintTable[[#This Row],[Sprint]]="",N(SprintTable[[#This Row],[Capacity]])=0),"",SprintTable[[#This Row],[Planned Work]]/SprintTable[[#This Row],[Capacity]])</f>
        <v/>
      </c>
      <c r="K17" s="51" t="str">
        <f aca="false">IF(SprintTable[[#This Row],[Sprint]]="","",IF(StatusDate&gt;SprintTable[[#This Row],[End]],"Closed",IF(StatusDate&gt;=SprintTable[[#This Row],[Start]],"Active","Future")))</f>
        <v>Future</v>
      </c>
      <c r="L17" s="98"/>
      <c r="M17" s="70" t="n">
        <f aca="false">IF(SprintTable[[#This Row],[Sprint]]="","",SUMIFS(tsk_LeafPoints,tsk_Sprint,SprintTable[[#This Row],[Sprint]]))</f>
        <v>0</v>
      </c>
      <c r="N17" s="70" t="str">
        <f aca="false">IF(OR(SprintTable[[#This Row],[Sprint]]="",SprintTable[[#This Row],[Status]]="Future"),"",SUMIFS(tsk_LeafPoints,tsk_DoneDate,"&gt;="&amp;SprintTable[[#This Row],[Start]],tsk_DoneDate,"&lt;="&amp;SprintTable[[#This Row],[End]]))</f>
        <v/>
      </c>
      <c r="O17" s="133" t="str">
        <f aca="false">IF(OR(SprintTable[[#This Row],[Sprint]]="",SprintTable[[#This Row],[Status]]&lt;&gt;"Closed"),"",AVERAGE(INDEX(SprintTable[Done Points],MAX(1,SprintTable[[#This Row],[No]]-2)):INDEX(SprintTable[Done Points],SprintTable[[#This Row],[No]])))</f>
        <v/>
      </c>
      <c r="P17" s="70" t="str">
        <f aca="false">IF(OR(SprintTable[[#This Row],[Sprint]]="",SprintTable[[#This Row],[Status]]="Future"),"",TotalPoints-SUMIFS(tsk_LeafPoints,tsk_DoneDate,"&lt;="&amp;MIN(SprintTable[[#This Row],[End]],StatusDate)))</f>
        <v/>
      </c>
      <c r="Q17" s="70" t="n">
        <f aca="false">IF(SprintTable[[#This Row],[Sprint]]="","",TotalPoints-SUMIFS(tsk_LeafPoints,tsk_FcFinish,"&lt;="&amp;SprintTable[[#This Row],[End]]))</f>
        <v>0</v>
      </c>
      <c r="R17" s="70" t="n">
        <f aca="false">IF(SprintTable[[#This Row],[Sprint]]="","",TotalPoints*MAX(0,1-SprintTable[[#This Row],[No]]/SprintCount))</f>
        <v>0</v>
      </c>
      <c r="S17" s="38" t="e">
        <f aca="false">IF(SprintTable[[#This Row],[Remaining Points]]="",NA(),SprintTable[[#This Row],[Remaining Points]])</f>
        <v>#N/A</v>
      </c>
      <c r="T17" s="38" t="n">
        <f aca="false">IFERROR(MATCH(MID("JanFebMarAprMayJunJulAugSepOctNovDec",MONTH(DATE(YEAR(SprintTable[[#This Row],[Start]]),MONTH(SprintTable[[#This Row],[Start]])+0,1))*3-2,3)&amp;"-"&amp;RIGHT(YEAR(DATE(YEAR(SprintTable[[#This Row],[Start]]),MONTH(SprintTable[[#This Row],[Start]])+0,1)),2),LeaveTable[#Headers],0),0)</f>
        <v>0</v>
      </c>
      <c r="U17" s="38" t="n">
        <f aca="false">IFERROR(MATCH(MID("JanFebMarAprMayJunJulAugSepOctNovDec",MONTH(DATE(YEAR(SprintTable[[#This Row],[Start]]),MONTH(SprintTable[[#This Row],[Start]])+1,1))*3-2,3)&amp;"-"&amp;RIGHT(YEAR(DATE(YEAR(SprintTable[[#This Row],[Start]]),MONTH(SprintTable[[#This Row],[Start]])+1,1)),2),LeaveTable[#Headers],0),0)</f>
        <v>0</v>
      </c>
      <c r="V17" s="38" t="n">
        <f aca="false">IFERROR(MATCH(MID("JanFebMarAprMayJunJulAugSepOctNovDec",MONTH(DATE(YEAR(SprintTable[[#This Row],[Start]]),MONTH(SprintTable[[#This Row],[Start]])+2,1))*3-2,3)&amp;"-"&amp;RIGHT(YEAR(DATE(YEAR(SprintTable[[#This Row],[Start]]),MONTH(SprintTable[[#This Row],[Start]])+2,1)),2),LeaveTable[#Headers],0),0)</f>
        <v>0</v>
      </c>
    </row>
    <row r="18" customFormat="false" ht="15" hidden="false" customHeight="false" outlineLevel="0" collapsed="false">
      <c r="A18" s="51" t="n">
        <f aca="false">ROW()-ROW(SprintTable[[#Headers],[No]])</f>
        <v>13</v>
      </c>
      <c r="B18" s="30" t="str">
        <f aca="false">IF(SprintTable[[#This Row],[No]]&lt;=SprintCount,SprintPrefix&amp;SprintTable[[#This Row],[No]],"")</f>
        <v/>
      </c>
      <c r="C18" s="31" t="n">
        <f aca="false">Sprint1Start+(SprintTable[[#This Row],[No]]-1)*SprintLength</f>
        <v>169</v>
      </c>
      <c r="D18" s="31" t="n">
        <f aca="false">SprintTable[[#This Row],[Start]]+SprintLength-1</f>
        <v>182</v>
      </c>
      <c r="E18" s="51" t="n">
        <f aca="false">NETWORKDAYS.INTL(SprintTable[[#This Row],[Start]],SprintTable[[#This Row],[End]],WorkWeek,Holidays)</f>
        <v>10</v>
      </c>
      <c r="F18" s="53"/>
      <c r="G18" s="51" t="str">
        <f aca="false">IF(SprintTable[[#This Row],[Sprint]]="","",COUNTIF(tsk_Sprint,SprintTable[[#This Row],[Sprint]]))</f>
        <v/>
      </c>
      <c r="H18"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8"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109" t="str">
        <f aca="false">IF(OR(SprintTable[[#This Row],[Sprint]]="",N(SprintTable[[#This Row],[Capacity]])=0),"",SprintTable[[#This Row],[Planned Work]]/SprintTable[[#This Row],[Capacity]])</f>
        <v/>
      </c>
      <c r="K18" s="51" t="str">
        <f aca="false">IF(SprintTable[[#This Row],[Sprint]]="","",IF(StatusDate&gt;SprintTable[[#This Row],[End]],"Closed",IF(StatusDate&gt;=SprintTable[[#This Row],[Start]],"Active","Future")))</f>
        <v/>
      </c>
      <c r="L18" s="98"/>
      <c r="M18" s="70" t="str">
        <f aca="false">IF(SprintTable[[#This Row],[Sprint]]="","",SUMIFS(tsk_LeafPoints,tsk_Sprint,SprintTable[[#This Row],[Sprint]]))</f>
        <v/>
      </c>
      <c r="N18" s="70" t="str">
        <f aca="false">IF(OR(SprintTable[[#This Row],[Sprint]]="",SprintTable[[#This Row],[Status]]="Future"),"",SUMIFS(tsk_LeafPoints,tsk_DoneDate,"&gt;="&amp;SprintTable[[#This Row],[Start]],tsk_DoneDate,"&lt;="&amp;SprintTable[[#This Row],[End]]))</f>
        <v/>
      </c>
      <c r="O18" s="133" t="str">
        <f aca="false">IF(OR(SprintTable[[#This Row],[Sprint]]="",SprintTable[[#This Row],[Status]]&lt;&gt;"Closed"),"",AVERAGE(INDEX(SprintTable[Done Points],MAX(1,SprintTable[[#This Row],[No]]-2)):INDEX(SprintTable[Done Points],SprintTable[[#This Row],[No]])))</f>
        <v/>
      </c>
      <c r="P18" s="70" t="str">
        <f aca="false">IF(OR(SprintTable[[#This Row],[Sprint]]="",SprintTable[[#This Row],[Status]]="Future"),"",TotalPoints-SUMIFS(tsk_LeafPoints,tsk_DoneDate,"&lt;="&amp;MIN(SprintTable[[#This Row],[End]],StatusDate)))</f>
        <v/>
      </c>
      <c r="Q18" s="70" t="str">
        <f aca="false">IF(SprintTable[[#This Row],[Sprint]]="","",TotalPoints-SUMIFS(tsk_LeafPoints,tsk_FcFinish,"&lt;="&amp;SprintTable[[#This Row],[End]]))</f>
        <v/>
      </c>
      <c r="R18" s="70" t="str">
        <f aca="false">IF(SprintTable[[#This Row],[Sprint]]="","",TotalPoints*MAX(0,1-SprintTable[[#This Row],[No]]/SprintCount))</f>
        <v/>
      </c>
      <c r="S18" s="38" t="e">
        <f aca="false">IF(SprintTable[[#This Row],[Remaining Points]]="",NA(),SprintTable[[#This Row],[Remaining Points]])</f>
        <v>#N/A</v>
      </c>
      <c r="T18" s="38" t="n">
        <f aca="false">IFERROR(MATCH(MID("JanFebMarAprMayJunJulAugSepOctNovDec",MONTH(DATE(YEAR(SprintTable[[#This Row],[Start]]),MONTH(SprintTable[[#This Row],[Start]])+0,1))*3-2,3)&amp;"-"&amp;RIGHT(YEAR(DATE(YEAR(SprintTable[[#This Row],[Start]]),MONTH(SprintTable[[#This Row],[Start]])+0,1)),2),LeaveTable[#Headers],0),0)</f>
        <v>0</v>
      </c>
      <c r="U18" s="38" t="n">
        <f aca="false">IFERROR(MATCH(MID("JanFebMarAprMayJunJulAugSepOctNovDec",MONTH(DATE(YEAR(SprintTable[[#This Row],[Start]]),MONTH(SprintTable[[#This Row],[Start]])+1,1))*3-2,3)&amp;"-"&amp;RIGHT(YEAR(DATE(YEAR(SprintTable[[#This Row],[Start]]),MONTH(SprintTable[[#This Row],[Start]])+1,1)),2),LeaveTable[#Headers],0),0)</f>
        <v>0</v>
      </c>
      <c r="V18" s="38" t="n">
        <f aca="false">IFERROR(MATCH(MID("JanFebMarAprMayJunJulAugSepOctNovDec",MONTH(DATE(YEAR(SprintTable[[#This Row],[Start]]),MONTH(SprintTable[[#This Row],[Start]])+2,1))*3-2,3)&amp;"-"&amp;RIGHT(YEAR(DATE(YEAR(SprintTable[[#This Row],[Start]]),MONTH(SprintTable[[#This Row],[Start]])+2,1)),2),LeaveTable[#Headers],0),0)</f>
        <v>0</v>
      </c>
    </row>
    <row r="19" customFormat="false" ht="15" hidden="false" customHeight="false" outlineLevel="0" collapsed="false">
      <c r="A19" s="51" t="n">
        <f aca="false">ROW()-ROW(SprintTable[[#Headers],[No]])</f>
        <v>14</v>
      </c>
      <c r="B19" s="30" t="str">
        <f aca="false">IF(SprintTable[[#This Row],[No]]&lt;=SprintCount,SprintPrefix&amp;SprintTable[[#This Row],[No]],"")</f>
        <v/>
      </c>
      <c r="C19" s="31" t="n">
        <f aca="false">Sprint1Start+(SprintTable[[#This Row],[No]]-1)*SprintLength</f>
        <v>183</v>
      </c>
      <c r="D19" s="31" t="n">
        <f aca="false">SprintTable[[#This Row],[Start]]+SprintLength-1</f>
        <v>196</v>
      </c>
      <c r="E19" s="51" t="n">
        <f aca="false">NETWORKDAYS.INTL(SprintTable[[#This Row],[Start]],SprintTable[[#This Row],[End]],WorkWeek,Holidays)</f>
        <v>10</v>
      </c>
      <c r="F19" s="53"/>
      <c r="G19" s="51" t="str">
        <f aca="false">IF(SprintTable[[#This Row],[Sprint]]="","",COUNTIF(tsk_Sprint,SprintTable[[#This Row],[Sprint]]))</f>
        <v/>
      </c>
      <c r="H19"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9"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109" t="str">
        <f aca="false">IF(OR(SprintTable[[#This Row],[Sprint]]="",N(SprintTable[[#This Row],[Capacity]])=0),"",SprintTable[[#This Row],[Planned Work]]/SprintTable[[#This Row],[Capacity]])</f>
        <v/>
      </c>
      <c r="K19" s="51" t="str">
        <f aca="false">IF(SprintTable[[#This Row],[Sprint]]="","",IF(StatusDate&gt;SprintTable[[#This Row],[End]],"Closed",IF(StatusDate&gt;=SprintTable[[#This Row],[Start]],"Active","Future")))</f>
        <v/>
      </c>
      <c r="L19" s="98"/>
      <c r="M19" s="70" t="str">
        <f aca="false">IF(SprintTable[[#This Row],[Sprint]]="","",SUMIFS(tsk_LeafPoints,tsk_Sprint,SprintTable[[#This Row],[Sprint]]))</f>
        <v/>
      </c>
      <c r="N19" s="70" t="str">
        <f aca="false">IF(OR(SprintTable[[#This Row],[Sprint]]="",SprintTable[[#This Row],[Status]]="Future"),"",SUMIFS(tsk_LeafPoints,tsk_DoneDate,"&gt;="&amp;SprintTable[[#This Row],[Start]],tsk_DoneDate,"&lt;="&amp;SprintTable[[#This Row],[End]]))</f>
        <v/>
      </c>
      <c r="O19" s="133" t="str">
        <f aca="false">IF(OR(SprintTable[[#This Row],[Sprint]]="",SprintTable[[#This Row],[Status]]&lt;&gt;"Closed"),"",AVERAGE(INDEX(SprintTable[Done Points],MAX(1,SprintTable[[#This Row],[No]]-2)):INDEX(SprintTable[Done Points],SprintTable[[#This Row],[No]])))</f>
        <v/>
      </c>
      <c r="P19" s="70" t="str">
        <f aca="false">IF(OR(SprintTable[[#This Row],[Sprint]]="",SprintTable[[#This Row],[Status]]="Future"),"",TotalPoints-SUMIFS(tsk_LeafPoints,tsk_DoneDate,"&lt;="&amp;MIN(SprintTable[[#This Row],[End]],StatusDate)))</f>
        <v/>
      </c>
      <c r="Q19" s="70" t="str">
        <f aca="false">IF(SprintTable[[#This Row],[Sprint]]="","",TotalPoints-SUMIFS(tsk_LeafPoints,tsk_FcFinish,"&lt;="&amp;SprintTable[[#This Row],[End]]))</f>
        <v/>
      </c>
      <c r="R19" s="70" t="str">
        <f aca="false">IF(SprintTable[[#This Row],[Sprint]]="","",TotalPoints*MAX(0,1-SprintTable[[#This Row],[No]]/SprintCount))</f>
        <v/>
      </c>
      <c r="S19" s="38" t="e">
        <f aca="false">IF(SprintTable[[#This Row],[Remaining Points]]="",NA(),SprintTable[[#This Row],[Remaining Points]])</f>
        <v>#N/A</v>
      </c>
      <c r="T19" s="38" t="n">
        <f aca="false">IFERROR(MATCH(MID("JanFebMarAprMayJunJulAugSepOctNovDec",MONTH(DATE(YEAR(SprintTable[[#This Row],[Start]]),MONTH(SprintTable[[#This Row],[Start]])+0,1))*3-2,3)&amp;"-"&amp;RIGHT(YEAR(DATE(YEAR(SprintTable[[#This Row],[Start]]),MONTH(SprintTable[[#This Row],[Start]])+0,1)),2),LeaveTable[#Headers],0),0)</f>
        <v>0</v>
      </c>
      <c r="U19" s="38" t="n">
        <f aca="false">IFERROR(MATCH(MID("JanFebMarAprMayJunJulAugSepOctNovDec",MONTH(DATE(YEAR(SprintTable[[#This Row],[Start]]),MONTH(SprintTable[[#This Row],[Start]])+1,1))*3-2,3)&amp;"-"&amp;RIGHT(YEAR(DATE(YEAR(SprintTable[[#This Row],[Start]]),MONTH(SprintTable[[#This Row],[Start]])+1,1)),2),LeaveTable[#Headers],0),0)</f>
        <v>0</v>
      </c>
      <c r="V19" s="38" t="n">
        <f aca="false">IFERROR(MATCH(MID("JanFebMarAprMayJunJulAugSepOctNovDec",MONTH(DATE(YEAR(SprintTable[[#This Row],[Start]]),MONTH(SprintTable[[#This Row],[Start]])+2,1))*3-2,3)&amp;"-"&amp;RIGHT(YEAR(DATE(YEAR(SprintTable[[#This Row],[Start]]),MONTH(SprintTable[[#This Row],[Start]])+2,1)),2),LeaveTable[#Headers],0),0)</f>
        <v>0</v>
      </c>
    </row>
    <row r="20" customFormat="false" ht="15" hidden="false" customHeight="false" outlineLevel="0" collapsed="false">
      <c r="A20" s="51" t="n">
        <f aca="false">ROW()-ROW(SprintTable[[#Headers],[No]])</f>
        <v>15</v>
      </c>
      <c r="B20" s="30" t="str">
        <f aca="false">IF(SprintTable[[#This Row],[No]]&lt;=SprintCount,SprintPrefix&amp;SprintTable[[#This Row],[No]],"")</f>
        <v/>
      </c>
      <c r="C20" s="31" t="n">
        <f aca="false">Sprint1Start+(SprintTable[[#This Row],[No]]-1)*SprintLength</f>
        <v>197</v>
      </c>
      <c r="D20" s="31" t="n">
        <f aca="false">SprintTable[[#This Row],[Start]]+SprintLength-1</f>
        <v>210</v>
      </c>
      <c r="E20" s="51" t="n">
        <f aca="false">NETWORKDAYS.INTL(SprintTable[[#This Row],[Start]],SprintTable[[#This Row],[End]],WorkWeek,Holidays)</f>
        <v>10</v>
      </c>
      <c r="F20" s="53"/>
      <c r="G20" s="51" t="str">
        <f aca="false">IF(SprintTable[[#This Row],[Sprint]]="","",COUNTIF(tsk_Sprint,SprintTable[[#This Row],[Sprint]]))</f>
        <v/>
      </c>
      <c r="H20"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0"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109" t="str">
        <f aca="false">IF(OR(SprintTable[[#This Row],[Sprint]]="",N(SprintTable[[#This Row],[Capacity]])=0),"",SprintTable[[#This Row],[Planned Work]]/SprintTable[[#This Row],[Capacity]])</f>
        <v/>
      </c>
      <c r="K20" s="51" t="str">
        <f aca="false">IF(SprintTable[[#This Row],[Sprint]]="","",IF(StatusDate&gt;SprintTable[[#This Row],[End]],"Closed",IF(StatusDate&gt;=SprintTable[[#This Row],[Start]],"Active","Future")))</f>
        <v/>
      </c>
      <c r="L20" s="98"/>
      <c r="M20" s="70" t="str">
        <f aca="false">IF(SprintTable[[#This Row],[Sprint]]="","",SUMIFS(tsk_LeafPoints,tsk_Sprint,SprintTable[[#This Row],[Sprint]]))</f>
        <v/>
      </c>
      <c r="N20" s="70" t="str">
        <f aca="false">IF(OR(SprintTable[[#This Row],[Sprint]]="",SprintTable[[#This Row],[Status]]="Future"),"",SUMIFS(tsk_LeafPoints,tsk_DoneDate,"&gt;="&amp;SprintTable[[#This Row],[Start]],tsk_DoneDate,"&lt;="&amp;SprintTable[[#This Row],[End]]))</f>
        <v/>
      </c>
      <c r="O20" s="133" t="str">
        <f aca="false">IF(OR(SprintTable[[#This Row],[Sprint]]="",SprintTable[[#This Row],[Status]]&lt;&gt;"Closed"),"",AVERAGE(INDEX(SprintTable[Done Points],MAX(1,SprintTable[[#This Row],[No]]-2)):INDEX(SprintTable[Done Points],SprintTable[[#This Row],[No]])))</f>
        <v/>
      </c>
      <c r="P20" s="70" t="str">
        <f aca="false">IF(OR(SprintTable[[#This Row],[Sprint]]="",SprintTable[[#This Row],[Status]]="Future"),"",TotalPoints-SUMIFS(tsk_LeafPoints,tsk_DoneDate,"&lt;="&amp;MIN(SprintTable[[#This Row],[End]],StatusDate)))</f>
        <v/>
      </c>
      <c r="Q20" s="70" t="str">
        <f aca="false">IF(SprintTable[[#This Row],[Sprint]]="","",TotalPoints-SUMIFS(tsk_LeafPoints,tsk_FcFinish,"&lt;="&amp;SprintTable[[#This Row],[End]]))</f>
        <v/>
      </c>
      <c r="R20" s="70" t="str">
        <f aca="false">IF(SprintTable[[#This Row],[Sprint]]="","",TotalPoints*MAX(0,1-SprintTable[[#This Row],[No]]/SprintCount))</f>
        <v/>
      </c>
      <c r="S20" s="38" t="e">
        <f aca="false">IF(SprintTable[[#This Row],[Remaining Points]]="",NA(),SprintTable[[#This Row],[Remaining Points]])</f>
        <v>#N/A</v>
      </c>
      <c r="T20" s="38" t="n">
        <f aca="false">IFERROR(MATCH(MID("JanFebMarAprMayJunJulAugSepOctNovDec",MONTH(DATE(YEAR(SprintTable[[#This Row],[Start]]),MONTH(SprintTable[[#This Row],[Start]])+0,1))*3-2,3)&amp;"-"&amp;RIGHT(YEAR(DATE(YEAR(SprintTable[[#This Row],[Start]]),MONTH(SprintTable[[#This Row],[Start]])+0,1)),2),LeaveTable[#Headers],0),0)</f>
        <v>0</v>
      </c>
      <c r="U20" s="38" t="n">
        <f aca="false">IFERROR(MATCH(MID("JanFebMarAprMayJunJulAugSepOctNovDec",MONTH(DATE(YEAR(SprintTable[[#This Row],[Start]]),MONTH(SprintTable[[#This Row],[Start]])+1,1))*3-2,3)&amp;"-"&amp;RIGHT(YEAR(DATE(YEAR(SprintTable[[#This Row],[Start]]),MONTH(SprintTable[[#This Row],[Start]])+1,1)),2),LeaveTable[#Headers],0),0)</f>
        <v>0</v>
      </c>
      <c r="V20" s="38" t="n">
        <f aca="false">IFERROR(MATCH(MID("JanFebMarAprMayJunJulAugSepOctNovDec",MONTH(DATE(YEAR(SprintTable[[#This Row],[Start]]),MONTH(SprintTable[[#This Row],[Start]])+2,1))*3-2,3)&amp;"-"&amp;RIGHT(YEAR(DATE(YEAR(SprintTable[[#This Row],[Start]]),MONTH(SprintTable[[#This Row],[Start]])+2,1)),2),LeaveTable[#Headers],0),0)</f>
        <v>0</v>
      </c>
    </row>
    <row r="21" customFormat="false" ht="15" hidden="false" customHeight="false" outlineLevel="0" collapsed="false">
      <c r="A21" s="51" t="n">
        <f aca="false">ROW()-ROW(SprintTable[[#Headers],[No]])</f>
        <v>16</v>
      </c>
      <c r="B21" s="30" t="str">
        <f aca="false">IF(SprintTable[[#This Row],[No]]&lt;=SprintCount,SprintPrefix&amp;SprintTable[[#This Row],[No]],"")</f>
        <v/>
      </c>
      <c r="C21" s="31" t="n">
        <f aca="false">Sprint1Start+(SprintTable[[#This Row],[No]]-1)*SprintLength</f>
        <v>211</v>
      </c>
      <c r="D21" s="31" t="n">
        <f aca="false">SprintTable[[#This Row],[Start]]+SprintLength-1</f>
        <v>224</v>
      </c>
      <c r="E21" s="51" t="n">
        <f aca="false">NETWORKDAYS.INTL(SprintTable[[#This Row],[Start]],SprintTable[[#This Row],[End]],WorkWeek,Holidays)</f>
        <v>10</v>
      </c>
      <c r="F21" s="53"/>
      <c r="G21" s="51" t="str">
        <f aca="false">IF(SprintTable[[#This Row],[Sprint]]="","",COUNTIF(tsk_Sprint,SprintTable[[#This Row],[Sprint]]))</f>
        <v/>
      </c>
      <c r="H21"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1"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109" t="str">
        <f aca="false">IF(OR(SprintTable[[#This Row],[Sprint]]="",N(SprintTable[[#This Row],[Capacity]])=0),"",SprintTable[[#This Row],[Planned Work]]/SprintTable[[#This Row],[Capacity]])</f>
        <v/>
      </c>
      <c r="K21" s="51" t="str">
        <f aca="false">IF(SprintTable[[#This Row],[Sprint]]="","",IF(StatusDate&gt;SprintTable[[#This Row],[End]],"Closed",IF(StatusDate&gt;=SprintTable[[#This Row],[Start]],"Active","Future")))</f>
        <v/>
      </c>
      <c r="L21" s="98"/>
      <c r="M21" s="70" t="str">
        <f aca="false">IF(SprintTable[[#This Row],[Sprint]]="","",SUMIFS(tsk_LeafPoints,tsk_Sprint,SprintTable[[#This Row],[Sprint]]))</f>
        <v/>
      </c>
      <c r="N21" s="70" t="str">
        <f aca="false">IF(OR(SprintTable[[#This Row],[Sprint]]="",SprintTable[[#This Row],[Status]]="Future"),"",SUMIFS(tsk_LeafPoints,tsk_DoneDate,"&gt;="&amp;SprintTable[[#This Row],[Start]],tsk_DoneDate,"&lt;="&amp;SprintTable[[#This Row],[End]]))</f>
        <v/>
      </c>
      <c r="O21" s="133" t="str">
        <f aca="false">IF(OR(SprintTable[[#This Row],[Sprint]]="",SprintTable[[#This Row],[Status]]&lt;&gt;"Closed"),"",AVERAGE(INDEX(SprintTable[Done Points],MAX(1,SprintTable[[#This Row],[No]]-2)):INDEX(SprintTable[Done Points],SprintTable[[#This Row],[No]])))</f>
        <v/>
      </c>
      <c r="P21" s="70" t="str">
        <f aca="false">IF(OR(SprintTable[[#This Row],[Sprint]]="",SprintTable[[#This Row],[Status]]="Future"),"",TotalPoints-SUMIFS(tsk_LeafPoints,tsk_DoneDate,"&lt;="&amp;MIN(SprintTable[[#This Row],[End]],StatusDate)))</f>
        <v/>
      </c>
      <c r="Q21" s="70" t="str">
        <f aca="false">IF(SprintTable[[#This Row],[Sprint]]="","",TotalPoints-SUMIFS(tsk_LeafPoints,tsk_FcFinish,"&lt;="&amp;SprintTable[[#This Row],[End]]))</f>
        <v/>
      </c>
      <c r="R21" s="70" t="str">
        <f aca="false">IF(SprintTable[[#This Row],[Sprint]]="","",TotalPoints*MAX(0,1-SprintTable[[#This Row],[No]]/SprintCount))</f>
        <v/>
      </c>
      <c r="S21" s="38" t="e">
        <f aca="false">IF(SprintTable[[#This Row],[Remaining Points]]="",NA(),SprintTable[[#This Row],[Remaining Points]])</f>
        <v>#N/A</v>
      </c>
      <c r="T21" s="38" t="n">
        <f aca="false">IFERROR(MATCH(MID("JanFebMarAprMayJunJulAugSepOctNovDec",MONTH(DATE(YEAR(SprintTable[[#This Row],[Start]]),MONTH(SprintTable[[#This Row],[Start]])+0,1))*3-2,3)&amp;"-"&amp;RIGHT(YEAR(DATE(YEAR(SprintTable[[#This Row],[Start]]),MONTH(SprintTable[[#This Row],[Start]])+0,1)),2),LeaveTable[#Headers],0),0)</f>
        <v>0</v>
      </c>
      <c r="U21" s="38" t="n">
        <f aca="false">IFERROR(MATCH(MID("JanFebMarAprMayJunJulAugSepOctNovDec",MONTH(DATE(YEAR(SprintTable[[#This Row],[Start]]),MONTH(SprintTable[[#This Row],[Start]])+1,1))*3-2,3)&amp;"-"&amp;RIGHT(YEAR(DATE(YEAR(SprintTable[[#This Row],[Start]]),MONTH(SprintTable[[#This Row],[Start]])+1,1)),2),LeaveTable[#Headers],0),0)</f>
        <v>0</v>
      </c>
      <c r="V21" s="38" t="n">
        <f aca="false">IFERROR(MATCH(MID("JanFebMarAprMayJunJulAugSepOctNovDec",MONTH(DATE(YEAR(SprintTable[[#This Row],[Start]]),MONTH(SprintTable[[#This Row],[Start]])+2,1))*3-2,3)&amp;"-"&amp;RIGHT(YEAR(DATE(YEAR(SprintTable[[#This Row],[Start]]),MONTH(SprintTable[[#This Row],[Start]])+2,1)),2),LeaveTable[#Headers],0),0)</f>
        <v>0</v>
      </c>
    </row>
    <row r="22" customFormat="false" ht="15" hidden="false" customHeight="false" outlineLevel="0" collapsed="false">
      <c r="A22" s="51" t="n">
        <f aca="false">ROW()-ROW(SprintTable[[#Headers],[No]])</f>
        <v>17</v>
      </c>
      <c r="B22" s="30" t="str">
        <f aca="false">IF(SprintTable[[#This Row],[No]]&lt;=SprintCount,SprintPrefix&amp;SprintTable[[#This Row],[No]],"")</f>
        <v/>
      </c>
      <c r="C22" s="31" t="n">
        <f aca="false">Sprint1Start+(SprintTable[[#This Row],[No]]-1)*SprintLength</f>
        <v>225</v>
      </c>
      <c r="D22" s="31" t="n">
        <f aca="false">SprintTable[[#This Row],[Start]]+SprintLength-1</f>
        <v>238</v>
      </c>
      <c r="E22" s="51" t="n">
        <f aca="false">NETWORKDAYS.INTL(SprintTable[[#This Row],[Start]],SprintTable[[#This Row],[End]],WorkWeek,Holidays)</f>
        <v>10</v>
      </c>
      <c r="F22" s="53"/>
      <c r="G22" s="51" t="str">
        <f aca="false">IF(SprintTable[[#This Row],[Sprint]]="","",COUNTIF(tsk_Sprint,SprintTable[[#This Row],[Sprint]]))</f>
        <v/>
      </c>
      <c r="H22"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2"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109" t="str">
        <f aca="false">IF(OR(SprintTable[[#This Row],[Sprint]]="",N(SprintTable[[#This Row],[Capacity]])=0),"",SprintTable[[#This Row],[Planned Work]]/SprintTable[[#This Row],[Capacity]])</f>
        <v/>
      </c>
      <c r="K22" s="51" t="str">
        <f aca="false">IF(SprintTable[[#This Row],[Sprint]]="","",IF(StatusDate&gt;SprintTable[[#This Row],[End]],"Closed",IF(StatusDate&gt;=SprintTable[[#This Row],[Start]],"Active","Future")))</f>
        <v/>
      </c>
      <c r="L22" s="98"/>
      <c r="M22" s="70" t="str">
        <f aca="false">IF(SprintTable[[#This Row],[Sprint]]="","",SUMIFS(tsk_LeafPoints,tsk_Sprint,SprintTable[[#This Row],[Sprint]]))</f>
        <v/>
      </c>
      <c r="N22" s="70" t="str">
        <f aca="false">IF(OR(SprintTable[[#This Row],[Sprint]]="",SprintTable[[#This Row],[Status]]="Future"),"",SUMIFS(tsk_LeafPoints,tsk_DoneDate,"&gt;="&amp;SprintTable[[#This Row],[Start]],tsk_DoneDate,"&lt;="&amp;SprintTable[[#This Row],[End]]))</f>
        <v/>
      </c>
      <c r="O22" s="133" t="str">
        <f aca="false">IF(OR(SprintTable[[#This Row],[Sprint]]="",SprintTable[[#This Row],[Status]]&lt;&gt;"Closed"),"",AVERAGE(INDEX(SprintTable[Done Points],MAX(1,SprintTable[[#This Row],[No]]-2)):INDEX(SprintTable[Done Points],SprintTable[[#This Row],[No]])))</f>
        <v/>
      </c>
      <c r="P22" s="70" t="str">
        <f aca="false">IF(OR(SprintTable[[#This Row],[Sprint]]="",SprintTable[[#This Row],[Status]]="Future"),"",TotalPoints-SUMIFS(tsk_LeafPoints,tsk_DoneDate,"&lt;="&amp;MIN(SprintTable[[#This Row],[End]],StatusDate)))</f>
        <v/>
      </c>
      <c r="Q22" s="70" t="str">
        <f aca="false">IF(SprintTable[[#This Row],[Sprint]]="","",TotalPoints-SUMIFS(tsk_LeafPoints,tsk_FcFinish,"&lt;="&amp;SprintTable[[#This Row],[End]]))</f>
        <v/>
      </c>
      <c r="R22" s="70" t="str">
        <f aca="false">IF(SprintTable[[#This Row],[Sprint]]="","",TotalPoints*MAX(0,1-SprintTable[[#This Row],[No]]/SprintCount))</f>
        <v/>
      </c>
      <c r="S22" s="38" t="e">
        <f aca="false">IF(SprintTable[[#This Row],[Remaining Points]]="",NA(),SprintTable[[#This Row],[Remaining Points]])</f>
        <v>#N/A</v>
      </c>
      <c r="T22" s="38" t="n">
        <f aca="false">IFERROR(MATCH(MID("JanFebMarAprMayJunJulAugSepOctNovDec",MONTH(DATE(YEAR(SprintTable[[#This Row],[Start]]),MONTH(SprintTable[[#This Row],[Start]])+0,1))*3-2,3)&amp;"-"&amp;RIGHT(YEAR(DATE(YEAR(SprintTable[[#This Row],[Start]]),MONTH(SprintTable[[#This Row],[Start]])+0,1)),2),LeaveTable[#Headers],0),0)</f>
        <v>0</v>
      </c>
      <c r="U22" s="38" t="n">
        <f aca="false">IFERROR(MATCH(MID("JanFebMarAprMayJunJulAugSepOctNovDec",MONTH(DATE(YEAR(SprintTable[[#This Row],[Start]]),MONTH(SprintTable[[#This Row],[Start]])+1,1))*3-2,3)&amp;"-"&amp;RIGHT(YEAR(DATE(YEAR(SprintTable[[#This Row],[Start]]),MONTH(SprintTable[[#This Row],[Start]])+1,1)),2),LeaveTable[#Headers],0),0)</f>
        <v>0</v>
      </c>
      <c r="V22" s="38" t="n">
        <f aca="false">IFERROR(MATCH(MID("JanFebMarAprMayJunJulAugSepOctNovDec",MONTH(DATE(YEAR(SprintTable[[#This Row],[Start]]),MONTH(SprintTable[[#This Row],[Start]])+2,1))*3-2,3)&amp;"-"&amp;RIGHT(YEAR(DATE(YEAR(SprintTable[[#This Row],[Start]]),MONTH(SprintTable[[#This Row],[Start]])+2,1)),2),LeaveTable[#Headers],0),0)</f>
        <v>0</v>
      </c>
    </row>
    <row r="23" customFormat="false" ht="15" hidden="false" customHeight="false" outlineLevel="0" collapsed="false">
      <c r="A23" s="51" t="n">
        <f aca="false">ROW()-ROW(SprintTable[[#Headers],[No]])</f>
        <v>18</v>
      </c>
      <c r="B23" s="30" t="str">
        <f aca="false">IF(SprintTable[[#This Row],[No]]&lt;=SprintCount,SprintPrefix&amp;SprintTable[[#This Row],[No]],"")</f>
        <v/>
      </c>
      <c r="C23" s="31" t="n">
        <f aca="false">Sprint1Start+(SprintTable[[#This Row],[No]]-1)*SprintLength</f>
        <v>239</v>
      </c>
      <c r="D23" s="31" t="n">
        <f aca="false">SprintTable[[#This Row],[Start]]+SprintLength-1</f>
        <v>252</v>
      </c>
      <c r="E23" s="51" t="n">
        <f aca="false">NETWORKDAYS.INTL(SprintTable[[#This Row],[Start]],SprintTable[[#This Row],[End]],WorkWeek,Holidays)</f>
        <v>10</v>
      </c>
      <c r="F23" s="53"/>
      <c r="G23" s="51" t="str">
        <f aca="false">IF(SprintTable[[#This Row],[Sprint]]="","",COUNTIF(tsk_Sprint,SprintTable[[#This Row],[Sprint]]))</f>
        <v/>
      </c>
      <c r="H23"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3"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109" t="str">
        <f aca="false">IF(OR(SprintTable[[#This Row],[Sprint]]="",N(SprintTable[[#This Row],[Capacity]])=0),"",SprintTable[[#This Row],[Planned Work]]/SprintTable[[#This Row],[Capacity]])</f>
        <v/>
      </c>
      <c r="K23" s="51" t="str">
        <f aca="false">IF(SprintTable[[#This Row],[Sprint]]="","",IF(StatusDate&gt;SprintTable[[#This Row],[End]],"Closed",IF(StatusDate&gt;=SprintTable[[#This Row],[Start]],"Active","Future")))</f>
        <v/>
      </c>
      <c r="L23" s="98"/>
      <c r="M23" s="70" t="str">
        <f aca="false">IF(SprintTable[[#This Row],[Sprint]]="","",SUMIFS(tsk_LeafPoints,tsk_Sprint,SprintTable[[#This Row],[Sprint]]))</f>
        <v/>
      </c>
      <c r="N23" s="70" t="str">
        <f aca="false">IF(OR(SprintTable[[#This Row],[Sprint]]="",SprintTable[[#This Row],[Status]]="Future"),"",SUMIFS(tsk_LeafPoints,tsk_DoneDate,"&gt;="&amp;SprintTable[[#This Row],[Start]],tsk_DoneDate,"&lt;="&amp;SprintTable[[#This Row],[End]]))</f>
        <v/>
      </c>
      <c r="O23" s="133" t="str">
        <f aca="false">IF(OR(SprintTable[[#This Row],[Sprint]]="",SprintTable[[#This Row],[Status]]&lt;&gt;"Closed"),"",AVERAGE(INDEX(SprintTable[Done Points],MAX(1,SprintTable[[#This Row],[No]]-2)):INDEX(SprintTable[Done Points],SprintTable[[#This Row],[No]])))</f>
        <v/>
      </c>
      <c r="P23" s="70" t="str">
        <f aca="false">IF(OR(SprintTable[[#This Row],[Sprint]]="",SprintTable[[#This Row],[Status]]="Future"),"",TotalPoints-SUMIFS(tsk_LeafPoints,tsk_DoneDate,"&lt;="&amp;MIN(SprintTable[[#This Row],[End]],StatusDate)))</f>
        <v/>
      </c>
      <c r="Q23" s="70" t="str">
        <f aca="false">IF(SprintTable[[#This Row],[Sprint]]="","",TotalPoints-SUMIFS(tsk_LeafPoints,tsk_FcFinish,"&lt;="&amp;SprintTable[[#This Row],[End]]))</f>
        <v/>
      </c>
      <c r="R23" s="70" t="str">
        <f aca="false">IF(SprintTable[[#This Row],[Sprint]]="","",TotalPoints*MAX(0,1-SprintTable[[#This Row],[No]]/SprintCount))</f>
        <v/>
      </c>
      <c r="S23" s="38" t="e">
        <f aca="false">IF(SprintTable[[#This Row],[Remaining Points]]="",NA(),SprintTable[[#This Row],[Remaining Points]])</f>
        <v>#N/A</v>
      </c>
      <c r="T23" s="38" t="n">
        <f aca="false">IFERROR(MATCH(MID("JanFebMarAprMayJunJulAugSepOctNovDec",MONTH(DATE(YEAR(SprintTable[[#This Row],[Start]]),MONTH(SprintTable[[#This Row],[Start]])+0,1))*3-2,3)&amp;"-"&amp;RIGHT(YEAR(DATE(YEAR(SprintTable[[#This Row],[Start]]),MONTH(SprintTable[[#This Row],[Start]])+0,1)),2),LeaveTable[#Headers],0),0)</f>
        <v>0</v>
      </c>
      <c r="U23" s="38" t="n">
        <f aca="false">IFERROR(MATCH(MID("JanFebMarAprMayJunJulAugSepOctNovDec",MONTH(DATE(YEAR(SprintTable[[#This Row],[Start]]),MONTH(SprintTable[[#This Row],[Start]])+1,1))*3-2,3)&amp;"-"&amp;RIGHT(YEAR(DATE(YEAR(SprintTable[[#This Row],[Start]]),MONTH(SprintTable[[#This Row],[Start]])+1,1)),2),LeaveTable[#Headers],0),0)</f>
        <v>0</v>
      </c>
      <c r="V23" s="38" t="n">
        <f aca="false">IFERROR(MATCH(MID("JanFebMarAprMayJunJulAugSepOctNovDec",MONTH(DATE(YEAR(SprintTable[[#This Row],[Start]]),MONTH(SprintTable[[#This Row],[Start]])+2,1))*3-2,3)&amp;"-"&amp;RIGHT(YEAR(DATE(YEAR(SprintTable[[#This Row],[Start]]),MONTH(SprintTable[[#This Row],[Start]])+2,1)),2),LeaveTable[#Headers],0),0)</f>
        <v>0</v>
      </c>
    </row>
    <row r="24" customFormat="false" ht="15" hidden="false" customHeight="false" outlineLevel="0" collapsed="false">
      <c r="A24" s="51" t="n">
        <f aca="false">ROW()-ROW(SprintTable[[#Headers],[No]])</f>
        <v>19</v>
      </c>
      <c r="B24" s="30" t="str">
        <f aca="false">IF(SprintTable[[#This Row],[No]]&lt;=SprintCount,SprintPrefix&amp;SprintTable[[#This Row],[No]],"")</f>
        <v/>
      </c>
      <c r="C24" s="31" t="n">
        <f aca="false">Sprint1Start+(SprintTable[[#This Row],[No]]-1)*SprintLength</f>
        <v>253</v>
      </c>
      <c r="D24" s="31" t="n">
        <f aca="false">SprintTable[[#This Row],[Start]]+SprintLength-1</f>
        <v>266</v>
      </c>
      <c r="E24" s="51" t="n">
        <f aca="false">NETWORKDAYS.INTL(SprintTable[[#This Row],[Start]],SprintTable[[#This Row],[End]],WorkWeek,Holidays)</f>
        <v>10</v>
      </c>
      <c r="F24" s="53"/>
      <c r="G24" s="51" t="str">
        <f aca="false">IF(SprintTable[[#This Row],[Sprint]]="","",COUNTIF(tsk_Sprint,SprintTable[[#This Row],[Sprint]]))</f>
        <v/>
      </c>
      <c r="H24"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4"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109" t="str">
        <f aca="false">IF(OR(SprintTable[[#This Row],[Sprint]]="",N(SprintTable[[#This Row],[Capacity]])=0),"",SprintTable[[#This Row],[Planned Work]]/SprintTable[[#This Row],[Capacity]])</f>
        <v/>
      </c>
      <c r="K24" s="51" t="str">
        <f aca="false">IF(SprintTable[[#This Row],[Sprint]]="","",IF(StatusDate&gt;SprintTable[[#This Row],[End]],"Closed",IF(StatusDate&gt;=SprintTable[[#This Row],[Start]],"Active","Future")))</f>
        <v/>
      </c>
      <c r="L24" s="98"/>
      <c r="M24" s="70" t="str">
        <f aca="false">IF(SprintTable[[#This Row],[Sprint]]="","",SUMIFS(tsk_LeafPoints,tsk_Sprint,SprintTable[[#This Row],[Sprint]]))</f>
        <v/>
      </c>
      <c r="N24" s="70" t="str">
        <f aca="false">IF(OR(SprintTable[[#This Row],[Sprint]]="",SprintTable[[#This Row],[Status]]="Future"),"",SUMIFS(tsk_LeafPoints,tsk_DoneDate,"&gt;="&amp;SprintTable[[#This Row],[Start]],tsk_DoneDate,"&lt;="&amp;SprintTable[[#This Row],[End]]))</f>
        <v/>
      </c>
      <c r="O24" s="133" t="str">
        <f aca="false">IF(OR(SprintTable[[#This Row],[Sprint]]="",SprintTable[[#This Row],[Status]]&lt;&gt;"Closed"),"",AVERAGE(INDEX(SprintTable[Done Points],MAX(1,SprintTable[[#This Row],[No]]-2)):INDEX(SprintTable[Done Points],SprintTable[[#This Row],[No]])))</f>
        <v/>
      </c>
      <c r="P24" s="70" t="str">
        <f aca="false">IF(OR(SprintTable[[#This Row],[Sprint]]="",SprintTable[[#This Row],[Status]]="Future"),"",TotalPoints-SUMIFS(tsk_LeafPoints,tsk_DoneDate,"&lt;="&amp;MIN(SprintTable[[#This Row],[End]],StatusDate)))</f>
        <v/>
      </c>
      <c r="Q24" s="70" t="str">
        <f aca="false">IF(SprintTable[[#This Row],[Sprint]]="","",TotalPoints-SUMIFS(tsk_LeafPoints,tsk_FcFinish,"&lt;="&amp;SprintTable[[#This Row],[End]]))</f>
        <v/>
      </c>
      <c r="R24" s="70" t="str">
        <f aca="false">IF(SprintTable[[#This Row],[Sprint]]="","",TotalPoints*MAX(0,1-SprintTable[[#This Row],[No]]/SprintCount))</f>
        <v/>
      </c>
      <c r="S24" s="38" t="e">
        <f aca="false">IF(SprintTable[[#This Row],[Remaining Points]]="",NA(),SprintTable[[#This Row],[Remaining Points]])</f>
        <v>#N/A</v>
      </c>
      <c r="T24" s="38" t="n">
        <f aca="false">IFERROR(MATCH(MID("JanFebMarAprMayJunJulAugSepOctNovDec",MONTH(DATE(YEAR(SprintTable[[#This Row],[Start]]),MONTH(SprintTable[[#This Row],[Start]])+0,1))*3-2,3)&amp;"-"&amp;RIGHT(YEAR(DATE(YEAR(SprintTable[[#This Row],[Start]]),MONTH(SprintTable[[#This Row],[Start]])+0,1)),2),LeaveTable[#Headers],0),0)</f>
        <v>0</v>
      </c>
      <c r="U24" s="38" t="n">
        <f aca="false">IFERROR(MATCH(MID("JanFebMarAprMayJunJulAugSepOctNovDec",MONTH(DATE(YEAR(SprintTable[[#This Row],[Start]]),MONTH(SprintTable[[#This Row],[Start]])+1,1))*3-2,3)&amp;"-"&amp;RIGHT(YEAR(DATE(YEAR(SprintTable[[#This Row],[Start]]),MONTH(SprintTable[[#This Row],[Start]])+1,1)),2),LeaveTable[#Headers],0),0)</f>
        <v>0</v>
      </c>
      <c r="V24" s="38" t="n">
        <f aca="false">IFERROR(MATCH(MID("JanFebMarAprMayJunJulAugSepOctNovDec",MONTH(DATE(YEAR(SprintTable[[#This Row],[Start]]),MONTH(SprintTable[[#This Row],[Start]])+2,1))*3-2,3)&amp;"-"&amp;RIGHT(YEAR(DATE(YEAR(SprintTable[[#This Row],[Start]]),MONTH(SprintTable[[#This Row],[Start]])+2,1)),2),LeaveTable[#Headers],0),0)</f>
        <v>0</v>
      </c>
    </row>
    <row r="25" customFormat="false" ht="15" hidden="false" customHeight="false" outlineLevel="0" collapsed="false">
      <c r="A25" s="51" t="n">
        <f aca="false">ROW()-ROW(SprintTable[[#Headers],[No]])</f>
        <v>20</v>
      </c>
      <c r="B25" s="30" t="str">
        <f aca="false">IF(SprintTable[[#This Row],[No]]&lt;=SprintCount,SprintPrefix&amp;SprintTable[[#This Row],[No]],"")</f>
        <v/>
      </c>
      <c r="C25" s="31" t="n">
        <f aca="false">Sprint1Start+(SprintTable[[#This Row],[No]]-1)*SprintLength</f>
        <v>267</v>
      </c>
      <c r="D25" s="31" t="n">
        <f aca="false">SprintTable[[#This Row],[Start]]+SprintLength-1</f>
        <v>280</v>
      </c>
      <c r="E25" s="51" t="n">
        <f aca="false">NETWORKDAYS.INTL(SprintTable[[#This Row],[Start]],SprintTable[[#This Row],[End]],WorkWeek,Holidays)</f>
        <v>10</v>
      </c>
      <c r="F25" s="53"/>
      <c r="G25" s="51" t="str">
        <f aca="false">IF(SprintTable[[#This Row],[Sprint]]="","",COUNTIF(tsk_Sprint,SprintTable[[#This Row],[Sprint]]))</f>
        <v/>
      </c>
      <c r="H25"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5"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109" t="str">
        <f aca="false">IF(OR(SprintTable[[#This Row],[Sprint]]="",N(SprintTable[[#This Row],[Capacity]])=0),"",SprintTable[[#This Row],[Planned Work]]/SprintTable[[#This Row],[Capacity]])</f>
        <v/>
      </c>
      <c r="K25" s="51" t="str">
        <f aca="false">IF(SprintTable[[#This Row],[Sprint]]="","",IF(StatusDate&gt;SprintTable[[#This Row],[End]],"Closed",IF(StatusDate&gt;=SprintTable[[#This Row],[Start]],"Active","Future")))</f>
        <v/>
      </c>
      <c r="L25" s="98"/>
      <c r="M25" s="70" t="str">
        <f aca="false">IF(SprintTable[[#This Row],[Sprint]]="","",SUMIFS(tsk_LeafPoints,tsk_Sprint,SprintTable[[#This Row],[Sprint]]))</f>
        <v/>
      </c>
      <c r="N25" s="70" t="str">
        <f aca="false">IF(OR(SprintTable[[#This Row],[Sprint]]="",SprintTable[[#This Row],[Status]]="Future"),"",SUMIFS(tsk_LeafPoints,tsk_DoneDate,"&gt;="&amp;SprintTable[[#This Row],[Start]],tsk_DoneDate,"&lt;="&amp;SprintTable[[#This Row],[End]]))</f>
        <v/>
      </c>
      <c r="O25" s="133" t="str">
        <f aca="false">IF(OR(SprintTable[[#This Row],[Sprint]]="",SprintTable[[#This Row],[Status]]&lt;&gt;"Closed"),"",AVERAGE(INDEX(SprintTable[Done Points],MAX(1,SprintTable[[#This Row],[No]]-2)):INDEX(SprintTable[Done Points],SprintTable[[#This Row],[No]])))</f>
        <v/>
      </c>
      <c r="P25" s="70" t="str">
        <f aca="false">IF(OR(SprintTable[[#This Row],[Sprint]]="",SprintTable[[#This Row],[Status]]="Future"),"",TotalPoints-SUMIFS(tsk_LeafPoints,tsk_DoneDate,"&lt;="&amp;MIN(SprintTable[[#This Row],[End]],StatusDate)))</f>
        <v/>
      </c>
      <c r="Q25" s="70" t="str">
        <f aca="false">IF(SprintTable[[#This Row],[Sprint]]="","",TotalPoints-SUMIFS(tsk_LeafPoints,tsk_FcFinish,"&lt;="&amp;SprintTable[[#This Row],[End]]))</f>
        <v/>
      </c>
      <c r="R25" s="70" t="str">
        <f aca="false">IF(SprintTable[[#This Row],[Sprint]]="","",TotalPoints*MAX(0,1-SprintTable[[#This Row],[No]]/SprintCount))</f>
        <v/>
      </c>
      <c r="S25" s="38" t="e">
        <f aca="false">IF(SprintTable[[#This Row],[Remaining Points]]="",NA(),SprintTable[[#This Row],[Remaining Points]])</f>
        <v>#N/A</v>
      </c>
      <c r="T25" s="38" t="n">
        <f aca="false">IFERROR(MATCH(MID("JanFebMarAprMayJunJulAugSepOctNovDec",MONTH(DATE(YEAR(SprintTable[[#This Row],[Start]]),MONTH(SprintTable[[#This Row],[Start]])+0,1))*3-2,3)&amp;"-"&amp;RIGHT(YEAR(DATE(YEAR(SprintTable[[#This Row],[Start]]),MONTH(SprintTable[[#This Row],[Start]])+0,1)),2),LeaveTable[#Headers],0),0)</f>
        <v>0</v>
      </c>
      <c r="U25" s="38" t="n">
        <f aca="false">IFERROR(MATCH(MID("JanFebMarAprMayJunJulAugSepOctNovDec",MONTH(DATE(YEAR(SprintTable[[#This Row],[Start]]),MONTH(SprintTable[[#This Row],[Start]])+1,1))*3-2,3)&amp;"-"&amp;RIGHT(YEAR(DATE(YEAR(SprintTable[[#This Row],[Start]]),MONTH(SprintTable[[#This Row],[Start]])+1,1)),2),LeaveTable[#Headers],0),0)</f>
        <v>0</v>
      </c>
      <c r="V25" s="38" t="n">
        <f aca="false">IFERROR(MATCH(MID("JanFebMarAprMayJunJulAugSepOctNovDec",MONTH(DATE(YEAR(SprintTable[[#This Row],[Start]]),MONTH(SprintTable[[#This Row],[Start]])+2,1))*3-2,3)&amp;"-"&amp;RIGHT(YEAR(DATE(YEAR(SprintTable[[#This Row],[Start]]),MONTH(SprintTable[[#This Row],[Start]])+2,1)),2),LeaveTable[#Headers],0),0)</f>
        <v>0</v>
      </c>
    </row>
    <row r="26" customFormat="false" ht="15" hidden="false" customHeight="false" outlineLevel="0" collapsed="false">
      <c r="A26" s="51" t="n">
        <f aca="false">ROW()-ROW(SprintTable[[#Headers],[No]])</f>
        <v>21</v>
      </c>
      <c r="B26" s="30" t="str">
        <f aca="false">IF(SprintTable[[#This Row],[No]]&lt;=SprintCount,SprintPrefix&amp;SprintTable[[#This Row],[No]],"")</f>
        <v/>
      </c>
      <c r="C26" s="31" t="n">
        <f aca="false">Sprint1Start+(SprintTable[[#This Row],[No]]-1)*SprintLength</f>
        <v>281</v>
      </c>
      <c r="D26" s="31" t="n">
        <f aca="false">SprintTable[[#This Row],[Start]]+SprintLength-1</f>
        <v>294</v>
      </c>
      <c r="E26" s="51" t="n">
        <f aca="false">NETWORKDAYS.INTL(SprintTable[[#This Row],[Start]],SprintTable[[#This Row],[End]],WorkWeek,Holidays)</f>
        <v>10</v>
      </c>
      <c r="F26" s="53"/>
      <c r="G26" s="51" t="str">
        <f aca="false">IF(SprintTable[[#This Row],[Sprint]]="","",COUNTIF(tsk_Sprint,SprintTable[[#This Row],[Sprint]]))</f>
        <v/>
      </c>
      <c r="H26"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6"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109" t="str">
        <f aca="false">IF(OR(SprintTable[[#This Row],[Sprint]]="",N(SprintTable[[#This Row],[Capacity]])=0),"",SprintTable[[#This Row],[Planned Work]]/SprintTable[[#This Row],[Capacity]])</f>
        <v/>
      </c>
      <c r="K26" s="51" t="str">
        <f aca="false">IF(SprintTable[[#This Row],[Sprint]]="","",IF(StatusDate&gt;SprintTable[[#This Row],[End]],"Closed",IF(StatusDate&gt;=SprintTable[[#This Row],[Start]],"Active","Future")))</f>
        <v/>
      </c>
      <c r="L26" s="98"/>
      <c r="M26" s="70" t="str">
        <f aca="false">IF(SprintTable[[#This Row],[Sprint]]="","",SUMIFS(tsk_LeafPoints,tsk_Sprint,SprintTable[[#This Row],[Sprint]]))</f>
        <v/>
      </c>
      <c r="N26" s="70" t="str">
        <f aca="false">IF(OR(SprintTable[[#This Row],[Sprint]]="",SprintTable[[#This Row],[Status]]="Future"),"",SUMIFS(tsk_LeafPoints,tsk_DoneDate,"&gt;="&amp;SprintTable[[#This Row],[Start]],tsk_DoneDate,"&lt;="&amp;SprintTable[[#This Row],[End]]))</f>
        <v/>
      </c>
      <c r="O26" s="133" t="str">
        <f aca="false">IF(OR(SprintTable[[#This Row],[Sprint]]="",SprintTable[[#This Row],[Status]]&lt;&gt;"Closed"),"",AVERAGE(INDEX(SprintTable[Done Points],MAX(1,SprintTable[[#This Row],[No]]-2)):INDEX(SprintTable[Done Points],SprintTable[[#This Row],[No]])))</f>
        <v/>
      </c>
      <c r="P26" s="70" t="str">
        <f aca="false">IF(OR(SprintTable[[#This Row],[Sprint]]="",SprintTable[[#This Row],[Status]]="Future"),"",TotalPoints-SUMIFS(tsk_LeafPoints,tsk_DoneDate,"&lt;="&amp;MIN(SprintTable[[#This Row],[End]],StatusDate)))</f>
        <v/>
      </c>
      <c r="Q26" s="70" t="str">
        <f aca="false">IF(SprintTable[[#This Row],[Sprint]]="","",TotalPoints-SUMIFS(tsk_LeafPoints,tsk_FcFinish,"&lt;="&amp;SprintTable[[#This Row],[End]]))</f>
        <v/>
      </c>
      <c r="R26" s="70" t="str">
        <f aca="false">IF(SprintTable[[#This Row],[Sprint]]="","",TotalPoints*MAX(0,1-SprintTable[[#This Row],[No]]/SprintCount))</f>
        <v/>
      </c>
      <c r="S26" s="38" t="e">
        <f aca="false">IF(SprintTable[[#This Row],[Remaining Points]]="",NA(),SprintTable[[#This Row],[Remaining Points]])</f>
        <v>#N/A</v>
      </c>
      <c r="T26" s="38" t="n">
        <f aca="false">IFERROR(MATCH(MID("JanFebMarAprMayJunJulAugSepOctNovDec",MONTH(DATE(YEAR(SprintTable[[#This Row],[Start]]),MONTH(SprintTable[[#This Row],[Start]])+0,1))*3-2,3)&amp;"-"&amp;RIGHT(YEAR(DATE(YEAR(SprintTable[[#This Row],[Start]]),MONTH(SprintTable[[#This Row],[Start]])+0,1)),2),LeaveTable[#Headers],0),0)</f>
        <v>0</v>
      </c>
      <c r="U26" s="38" t="n">
        <f aca="false">IFERROR(MATCH(MID("JanFebMarAprMayJunJulAugSepOctNovDec",MONTH(DATE(YEAR(SprintTable[[#This Row],[Start]]),MONTH(SprintTable[[#This Row],[Start]])+1,1))*3-2,3)&amp;"-"&amp;RIGHT(YEAR(DATE(YEAR(SprintTable[[#This Row],[Start]]),MONTH(SprintTable[[#This Row],[Start]])+1,1)),2),LeaveTable[#Headers],0),0)</f>
        <v>0</v>
      </c>
      <c r="V26" s="38" t="n">
        <f aca="false">IFERROR(MATCH(MID("JanFebMarAprMayJunJulAugSepOctNovDec",MONTH(DATE(YEAR(SprintTable[[#This Row],[Start]]),MONTH(SprintTable[[#This Row],[Start]])+2,1))*3-2,3)&amp;"-"&amp;RIGHT(YEAR(DATE(YEAR(SprintTable[[#This Row],[Start]]),MONTH(SprintTable[[#This Row],[Start]])+2,1)),2),LeaveTable[#Headers],0),0)</f>
        <v>0</v>
      </c>
    </row>
    <row r="27" customFormat="false" ht="15" hidden="false" customHeight="false" outlineLevel="0" collapsed="false">
      <c r="A27" s="51" t="n">
        <f aca="false">ROW()-ROW(SprintTable[[#Headers],[No]])</f>
        <v>22</v>
      </c>
      <c r="B27" s="30" t="str">
        <f aca="false">IF(SprintTable[[#This Row],[No]]&lt;=SprintCount,SprintPrefix&amp;SprintTable[[#This Row],[No]],"")</f>
        <v/>
      </c>
      <c r="C27" s="31" t="n">
        <f aca="false">Sprint1Start+(SprintTable[[#This Row],[No]]-1)*SprintLength</f>
        <v>295</v>
      </c>
      <c r="D27" s="31" t="n">
        <f aca="false">SprintTable[[#This Row],[Start]]+SprintLength-1</f>
        <v>308</v>
      </c>
      <c r="E27" s="51" t="n">
        <f aca="false">NETWORKDAYS.INTL(SprintTable[[#This Row],[Start]],SprintTable[[#This Row],[End]],WorkWeek,Holidays)</f>
        <v>10</v>
      </c>
      <c r="F27" s="53"/>
      <c r="G27" s="51" t="str">
        <f aca="false">IF(SprintTable[[#This Row],[Sprint]]="","",COUNTIF(tsk_Sprint,SprintTable[[#This Row],[Sprint]]))</f>
        <v/>
      </c>
      <c r="H27"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7"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109" t="str">
        <f aca="false">IF(OR(SprintTable[[#This Row],[Sprint]]="",N(SprintTable[[#This Row],[Capacity]])=0),"",SprintTable[[#This Row],[Planned Work]]/SprintTable[[#This Row],[Capacity]])</f>
        <v/>
      </c>
      <c r="K27" s="51" t="str">
        <f aca="false">IF(SprintTable[[#This Row],[Sprint]]="","",IF(StatusDate&gt;SprintTable[[#This Row],[End]],"Closed",IF(StatusDate&gt;=SprintTable[[#This Row],[Start]],"Active","Future")))</f>
        <v/>
      </c>
      <c r="L27" s="98"/>
      <c r="M27" s="70" t="str">
        <f aca="false">IF(SprintTable[[#This Row],[Sprint]]="","",SUMIFS(tsk_LeafPoints,tsk_Sprint,SprintTable[[#This Row],[Sprint]]))</f>
        <v/>
      </c>
      <c r="N27" s="70" t="str">
        <f aca="false">IF(OR(SprintTable[[#This Row],[Sprint]]="",SprintTable[[#This Row],[Status]]="Future"),"",SUMIFS(tsk_LeafPoints,tsk_DoneDate,"&gt;="&amp;SprintTable[[#This Row],[Start]],tsk_DoneDate,"&lt;="&amp;SprintTable[[#This Row],[End]]))</f>
        <v/>
      </c>
      <c r="O27" s="133" t="str">
        <f aca="false">IF(OR(SprintTable[[#This Row],[Sprint]]="",SprintTable[[#This Row],[Status]]&lt;&gt;"Closed"),"",AVERAGE(INDEX(SprintTable[Done Points],MAX(1,SprintTable[[#This Row],[No]]-2)):INDEX(SprintTable[Done Points],SprintTable[[#This Row],[No]])))</f>
        <v/>
      </c>
      <c r="P27" s="70" t="str">
        <f aca="false">IF(OR(SprintTable[[#This Row],[Sprint]]="",SprintTable[[#This Row],[Status]]="Future"),"",TotalPoints-SUMIFS(tsk_LeafPoints,tsk_DoneDate,"&lt;="&amp;MIN(SprintTable[[#This Row],[End]],StatusDate)))</f>
        <v/>
      </c>
      <c r="Q27" s="70" t="str">
        <f aca="false">IF(SprintTable[[#This Row],[Sprint]]="","",TotalPoints-SUMIFS(tsk_LeafPoints,tsk_FcFinish,"&lt;="&amp;SprintTable[[#This Row],[End]]))</f>
        <v/>
      </c>
      <c r="R27" s="70" t="str">
        <f aca="false">IF(SprintTable[[#This Row],[Sprint]]="","",TotalPoints*MAX(0,1-SprintTable[[#This Row],[No]]/SprintCount))</f>
        <v/>
      </c>
      <c r="S27" s="38" t="e">
        <f aca="false">IF(SprintTable[[#This Row],[Remaining Points]]="",NA(),SprintTable[[#This Row],[Remaining Points]])</f>
        <v>#N/A</v>
      </c>
      <c r="T27" s="38" t="n">
        <f aca="false">IFERROR(MATCH(MID("JanFebMarAprMayJunJulAugSepOctNovDec",MONTH(DATE(YEAR(SprintTable[[#This Row],[Start]]),MONTH(SprintTable[[#This Row],[Start]])+0,1))*3-2,3)&amp;"-"&amp;RIGHT(YEAR(DATE(YEAR(SprintTable[[#This Row],[Start]]),MONTH(SprintTable[[#This Row],[Start]])+0,1)),2),LeaveTable[#Headers],0),0)</f>
        <v>0</v>
      </c>
      <c r="U27" s="38" t="n">
        <f aca="false">IFERROR(MATCH(MID("JanFebMarAprMayJunJulAugSepOctNovDec",MONTH(DATE(YEAR(SprintTable[[#This Row],[Start]]),MONTH(SprintTable[[#This Row],[Start]])+1,1))*3-2,3)&amp;"-"&amp;RIGHT(YEAR(DATE(YEAR(SprintTable[[#This Row],[Start]]),MONTH(SprintTable[[#This Row],[Start]])+1,1)),2),LeaveTable[#Headers],0),0)</f>
        <v>0</v>
      </c>
      <c r="V27" s="38" t="n">
        <f aca="false">IFERROR(MATCH(MID("JanFebMarAprMayJunJulAugSepOctNovDec",MONTH(DATE(YEAR(SprintTable[[#This Row],[Start]]),MONTH(SprintTable[[#This Row],[Start]])+2,1))*3-2,3)&amp;"-"&amp;RIGHT(YEAR(DATE(YEAR(SprintTable[[#This Row],[Start]]),MONTH(SprintTable[[#This Row],[Start]])+2,1)),2),LeaveTable[#Headers],0),0)</f>
        <v>0</v>
      </c>
    </row>
    <row r="28" customFormat="false" ht="15" hidden="false" customHeight="false" outlineLevel="0" collapsed="false">
      <c r="A28" s="51" t="n">
        <f aca="false">ROW()-ROW(SprintTable[[#Headers],[No]])</f>
        <v>23</v>
      </c>
      <c r="B28" s="30" t="str">
        <f aca="false">IF(SprintTable[[#This Row],[No]]&lt;=SprintCount,SprintPrefix&amp;SprintTable[[#This Row],[No]],"")</f>
        <v/>
      </c>
      <c r="C28" s="31" t="n">
        <f aca="false">Sprint1Start+(SprintTable[[#This Row],[No]]-1)*SprintLength</f>
        <v>309</v>
      </c>
      <c r="D28" s="31" t="n">
        <f aca="false">SprintTable[[#This Row],[Start]]+SprintLength-1</f>
        <v>322</v>
      </c>
      <c r="E28" s="51" t="n">
        <f aca="false">NETWORKDAYS.INTL(SprintTable[[#This Row],[Start]],SprintTable[[#This Row],[End]],WorkWeek,Holidays)</f>
        <v>10</v>
      </c>
      <c r="F28" s="53"/>
      <c r="G28" s="51" t="str">
        <f aca="false">IF(SprintTable[[#This Row],[Sprint]]="","",COUNTIF(tsk_Sprint,SprintTable[[#This Row],[Sprint]]))</f>
        <v/>
      </c>
      <c r="H28"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8"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109" t="str">
        <f aca="false">IF(OR(SprintTable[[#This Row],[Sprint]]="",N(SprintTable[[#This Row],[Capacity]])=0),"",SprintTable[[#This Row],[Planned Work]]/SprintTable[[#This Row],[Capacity]])</f>
        <v/>
      </c>
      <c r="K28" s="51" t="str">
        <f aca="false">IF(SprintTable[[#This Row],[Sprint]]="","",IF(StatusDate&gt;SprintTable[[#This Row],[End]],"Closed",IF(StatusDate&gt;=SprintTable[[#This Row],[Start]],"Active","Future")))</f>
        <v/>
      </c>
      <c r="L28" s="98"/>
      <c r="M28" s="70" t="str">
        <f aca="false">IF(SprintTable[[#This Row],[Sprint]]="","",SUMIFS(tsk_LeafPoints,tsk_Sprint,SprintTable[[#This Row],[Sprint]]))</f>
        <v/>
      </c>
      <c r="N28" s="70" t="str">
        <f aca="false">IF(OR(SprintTable[[#This Row],[Sprint]]="",SprintTable[[#This Row],[Status]]="Future"),"",SUMIFS(tsk_LeafPoints,tsk_DoneDate,"&gt;="&amp;SprintTable[[#This Row],[Start]],tsk_DoneDate,"&lt;="&amp;SprintTable[[#This Row],[End]]))</f>
        <v/>
      </c>
      <c r="O28" s="133" t="str">
        <f aca="false">IF(OR(SprintTable[[#This Row],[Sprint]]="",SprintTable[[#This Row],[Status]]&lt;&gt;"Closed"),"",AVERAGE(INDEX(SprintTable[Done Points],MAX(1,SprintTable[[#This Row],[No]]-2)):INDEX(SprintTable[Done Points],SprintTable[[#This Row],[No]])))</f>
        <v/>
      </c>
      <c r="P28" s="70" t="str">
        <f aca="false">IF(OR(SprintTable[[#This Row],[Sprint]]="",SprintTable[[#This Row],[Status]]="Future"),"",TotalPoints-SUMIFS(tsk_LeafPoints,tsk_DoneDate,"&lt;="&amp;MIN(SprintTable[[#This Row],[End]],StatusDate)))</f>
        <v/>
      </c>
      <c r="Q28" s="70" t="str">
        <f aca="false">IF(SprintTable[[#This Row],[Sprint]]="","",TotalPoints-SUMIFS(tsk_LeafPoints,tsk_FcFinish,"&lt;="&amp;SprintTable[[#This Row],[End]]))</f>
        <v/>
      </c>
      <c r="R28" s="70" t="str">
        <f aca="false">IF(SprintTable[[#This Row],[Sprint]]="","",TotalPoints*MAX(0,1-SprintTable[[#This Row],[No]]/SprintCount))</f>
        <v/>
      </c>
      <c r="S28" s="38" t="e">
        <f aca="false">IF(SprintTable[[#This Row],[Remaining Points]]="",NA(),SprintTable[[#This Row],[Remaining Points]])</f>
        <v>#N/A</v>
      </c>
      <c r="T28" s="38" t="n">
        <f aca="false">IFERROR(MATCH(MID("JanFebMarAprMayJunJulAugSepOctNovDec",MONTH(DATE(YEAR(SprintTable[[#This Row],[Start]]),MONTH(SprintTable[[#This Row],[Start]])+0,1))*3-2,3)&amp;"-"&amp;RIGHT(YEAR(DATE(YEAR(SprintTable[[#This Row],[Start]]),MONTH(SprintTable[[#This Row],[Start]])+0,1)),2),LeaveTable[#Headers],0),0)</f>
        <v>0</v>
      </c>
      <c r="U28" s="38" t="n">
        <f aca="false">IFERROR(MATCH(MID("JanFebMarAprMayJunJulAugSepOctNovDec",MONTH(DATE(YEAR(SprintTable[[#This Row],[Start]]),MONTH(SprintTable[[#This Row],[Start]])+1,1))*3-2,3)&amp;"-"&amp;RIGHT(YEAR(DATE(YEAR(SprintTable[[#This Row],[Start]]),MONTH(SprintTable[[#This Row],[Start]])+1,1)),2),LeaveTable[#Headers],0),0)</f>
        <v>0</v>
      </c>
      <c r="V28" s="38" t="n">
        <f aca="false">IFERROR(MATCH(MID("JanFebMarAprMayJunJulAugSepOctNovDec",MONTH(DATE(YEAR(SprintTable[[#This Row],[Start]]),MONTH(SprintTable[[#This Row],[Start]])+2,1))*3-2,3)&amp;"-"&amp;RIGHT(YEAR(DATE(YEAR(SprintTable[[#This Row],[Start]]),MONTH(SprintTable[[#This Row],[Start]])+2,1)),2),LeaveTable[#Headers],0),0)</f>
        <v>0</v>
      </c>
    </row>
    <row r="29" customFormat="false" ht="15" hidden="false" customHeight="false" outlineLevel="0" collapsed="false">
      <c r="A29" s="51" t="n">
        <f aca="false">ROW()-ROW(SprintTable[[#Headers],[No]])</f>
        <v>24</v>
      </c>
      <c r="B29" s="30" t="str">
        <f aca="false">IF(SprintTable[[#This Row],[No]]&lt;=SprintCount,SprintPrefix&amp;SprintTable[[#This Row],[No]],"")</f>
        <v/>
      </c>
      <c r="C29" s="31" t="n">
        <f aca="false">Sprint1Start+(SprintTable[[#This Row],[No]]-1)*SprintLength</f>
        <v>323</v>
      </c>
      <c r="D29" s="31" t="n">
        <f aca="false">SprintTable[[#This Row],[Start]]+SprintLength-1</f>
        <v>336</v>
      </c>
      <c r="E29" s="51" t="n">
        <f aca="false">NETWORKDAYS.INTL(SprintTable[[#This Row],[Start]],SprintTable[[#This Row],[End]],WorkWeek,Holidays)</f>
        <v>10</v>
      </c>
      <c r="F29" s="53"/>
      <c r="G29" s="51" t="str">
        <f aca="false">IF(SprintTable[[#This Row],[Sprint]]="","",COUNTIF(tsk_Sprint,SprintTable[[#This Row],[Sprint]]))</f>
        <v/>
      </c>
      <c r="H29"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9"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109" t="str">
        <f aca="false">IF(OR(SprintTable[[#This Row],[Sprint]]="",N(SprintTable[[#This Row],[Capacity]])=0),"",SprintTable[[#This Row],[Planned Work]]/SprintTable[[#This Row],[Capacity]])</f>
        <v/>
      </c>
      <c r="K29" s="51" t="str">
        <f aca="false">IF(SprintTable[[#This Row],[Sprint]]="","",IF(StatusDate&gt;SprintTable[[#This Row],[End]],"Closed",IF(StatusDate&gt;=SprintTable[[#This Row],[Start]],"Active","Future")))</f>
        <v/>
      </c>
      <c r="L29" s="98"/>
      <c r="M29" s="70" t="str">
        <f aca="false">IF(SprintTable[[#This Row],[Sprint]]="","",SUMIFS(tsk_LeafPoints,tsk_Sprint,SprintTable[[#This Row],[Sprint]]))</f>
        <v/>
      </c>
      <c r="N29" s="70" t="str">
        <f aca="false">IF(OR(SprintTable[[#This Row],[Sprint]]="",SprintTable[[#This Row],[Status]]="Future"),"",SUMIFS(tsk_LeafPoints,tsk_DoneDate,"&gt;="&amp;SprintTable[[#This Row],[Start]],tsk_DoneDate,"&lt;="&amp;SprintTable[[#This Row],[End]]))</f>
        <v/>
      </c>
      <c r="O29" s="133" t="str">
        <f aca="false">IF(OR(SprintTable[[#This Row],[Sprint]]="",SprintTable[[#This Row],[Status]]&lt;&gt;"Closed"),"",AVERAGE(INDEX(SprintTable[Done Points],MAX(1,SprintTable[[#This Row],[No]]-2)):INDEX(SprintTable[Done Points],SprintTable[[#This Row],[No]])))</f>
        <v/>
      </c>
      <c r="P29" s="70" t="str">
        <f aca="false">IF(OR(SprintTable[[#This Row],[Sprint]]="",SprintTable[[#This Row],[Status]]="Future"),"",TotalPoints-SUMIFS(tsk_LeafPoints,tsk_DoneDate,"&lt;="&amp;MIN(SprintTable[[#This Row],[End]],StatusDate)))</f>
        <v/>
      </c>
      <c r="Q29" s="70" t="str">
        <f aca="false">IF(SprintTable[[#This Row],[Sprint]]="","",TotalPoints-SUMIFS(tsk_LeafPoints,tsk_FcFinish,"&lt;="&amp;SprintTable[[#This Row],[End]]))</f>
        <v/>
      </c>
      <c r="R29" s="70" t="str">
        <f aca="false">IF(SprintTable[[#This Row],[Sprint]]="","",TotalPoints*MAX(0,1-SprintTable[[#This Row],[No]]/SprintCount))</f>
        <v/>
      </c>
      <c r="S29" s="38" t="e">
        <f aca="false">IF(SprintTable[[#This Row],[Remaining Points]]="",NA(),SprintTable[[#This Row],[Remaining Points]])</f>
        <v>#N/A</v>
      </c>
      <c r="T29" s="38" t="n">
        <f aca="false">IFERROR(MATCH(MID("JanFebMarAprMayJunJulAugSepOctNovDec",MONTH(DATE(YEAR(SprintTable[[#This Row],[Start]]),MONTH(SprintTable[[#This Row],[Start]])+0,1))*3-2,3)&amp;"-"&amp;RIGHT(YEAR(DATE(YEAR(SprintTable[[#This Row],[Start]]),MONTH(SprintTable[[#This Row],[Start]])+0,1)),2),LeaveTable[#Headers],0),0)</f>
        <v>0</v>
      </c>
      <c r="U29" s="38" t="n">
        <f aca="false">IFERROR(MATCH(MID("JanFebMarAprMayJunJulAugSepOctNovDec",MONTH(DATE(YEAR(SprintTable[[#This Row],[Start]]),MONTH(SprintTable[[#This Row],[Start]])+1,1))*3-2,3)&amp;"-"&amp;RIGHT(YEAR(DATE(YEAR(SprintTable[[#This Row],[Start]]),MONTH(SprintTable[[#This Row],[Start]])+1,1)),2),LeaveTable[#Headers],0),0)</f>
        <v>0</v>
      </c>
      <c r="V29" s="38" t="n">
        <f aca="false">IFERROR(MATCH(MID("JanFebMarAprMayJunJulAugSepOctNovDec",MONTH(DATE(YEAR(SprintTable[[#This Row],[Start]]),MONTH(SprintTable[[#This Row],[Start]])+2,1))*3-2,3)&amp;"-"&amp;RIGHT(YEAR(DATE(YEAR(SprintTable[[#This Row],[Start]]),MONTH(SprintTable[[#This Row],[Start]])+2,1)),2),LeaveTable[#Headers],0),0)</f>
        <v>0</v>
      </c>
    </row>
    <row r="30" customFormat="false" ht="15" hidden="false" customHeight="false" outlineLevel="0" collapsed="false">
      <c r="A30" s="51" t="n">
        <f aca="false">ROW()-ROW(SprintTable[[#Headers],[No]])</f>
        <v>25</v>
      </c>
      <c r="B30" s="30" t="str">
        <f aca="false">IF(SprintTable[[#This Row],[No]]&lt;=SprintCount,SprintPrefix&amp;SprintTable[[#This Row],[No]],"")</f>
        <v/>
      </c>
      <c r="C30" s="31" t="n">
        <f aca="false">Sprint1Start+(SprintTable[[#This Row],[No]]-1)*SprintLength</f>
        <v>337</v>
      </c>
      <c r="D30" s="31" t="n">
        <f aca="false">SprintTable[[#This Row],[Start]]+SprintLength-1</f>
        <v>350</v>
      </c>
      <c r="E30" s="51" t="n">
        <f aca="false">NETWORKDAYS.INTL(SprintTable[[#This Row],[Start]],SprintTable[[#This Row],[End]],WorkWeek,Holidays)</f>
        <v>10</v>
      </c>
      <c r="F30" s="53"/>
      <c r="G30" s="51" t="str">
        <f aca="false">IF(SprintTable[[#This Row],[Sprint]]="","",COUNTIF(tsk_Sprint,SprintTable[[#This Row],[Sprint]]))</f>
        <v/>
      </c>
      <c r="H30"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0"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109" t="str">
        <f aca="false">IF(OR(SprintTable[[#This Row],[Sprint]]="",N(SprintTable[[#This Row],[Capacity]])=0),"",SprintTable[[#This Row],[Planned Work]]/SprintTable[[#This Row],[Capacity]])</f>
        <v/>
      </c>
      <c r="K30" s="51" t="str">
        <f aca="false">IF(SprintTable[[#This Row],[Sprint]]="","",IF(StatusDate&gt;SprintTable[[#This Row],[End]],"Closed",IF(StatusDate&gt;=SprintTable[[#This Row],[Start]],"Active","Future")))</f>
        <v/>
      </c>
      <c r="L30" s="98"/>
      <c r="M30" s="70" t="str">
        <f aca="false">IF(SprintTable[[#This Row],[Sprint]]="","",SUMIFS(tsk_LeafPoints,tsk_Sprint,SprintTable[[#This Row],[Sprint]]))</f>
        <v/>
      </c>
      <c r="N30" s="70" t="str">
        <f aca="false">IF(OR(SprintTable[[#This Row],[Sprint]]="",SprintTable[[#This Row],[Status]]="Future"),"",SUMIFS(tsk_LeafPoints,tsk_DoneDate,"&gt;="&amp;SprintTable[[#This Row],[Start]],tsk_DoneDate,"&lt;="&amp;SprintTable[[#This Row],[End]]))</f>
        <v/>
      </c>
      <c r="O30" s="133" t="str">
        <f aca="false">IF(OR(SprintTable[[#This Row],[Sprint]]="",SprintTable[[#This Row],[Status]]&lt;&gt;"Closed"),"",AVERAGE(INDEX(SprintTable[Done Points],MAX(1,SprintTable[[#This Row],[No]]-2)):INDEX(SprintTable[Done Points],SprintTable[[#This Row],[No]])))</f>
        <v/>
      </c>
      <c r="P30" s="70" t="str">
        <f aca="false">IF(OR(SprintTable[[#This Row],[Sprint]]="",SprintTable[[#This Row],[Status]]="Future"),"",TotalPoints-SUMIFS(tsk_LeafPoints,tsk_DoneDate,"&lt;="&amp;MIN(SprintTable[[#This Row],[End]],StatusDate)))</f>
        <v/>
      </c>
      <c r="Q30" s="70" t="str">
        <f aca="false">IF(SprintTable[[#This Row],[Sprint]]="","",TotalPoints-SUMIFS(tsk_LeafPoints,tsk_FcFinish,"&lt;="&amp;SprintTable[[#This Row],[End]]))</f>
        <v/>
      </c>
      <c r="R30" s="70" t="str">
        <f aca="false">IF(SprintTable[[#This Row],[Sprint]]="","",TotalPoints*MAX(0,1-SprintTable[[#This Row],[No]]/SprintCount))</f>
        <v/>
      </c>
      <c r="S30" s="38" t="e">
        <f aca="false">IF(SprintTable[[#This Row],[Remaining Points]]="",NA(),SprintTable[[#This Row],[Remaining Points]])</f>
        <v>#N/A</v>
      </c>
      <c r="T30" s="38" t="n">
        <f aca="false">IFERROR(MATCH(MID("JanFebMarAprMayJunJulAugSepOctNovDec",MONTH(DATE(YEAR(SprintTable[[#This Row],[Start]]),MONTH(SprintTable[[#This Row],[Start]])+0,1))*3-2,3)&amp;"-"&amp;RIGHT(YEAR(DATE(YEAR(SprintTable[[#This Row],[Start]]),MONTH(SprintTable[[#This Row],[Start]])+0,1)),2),LeaveTable[#Headers],0),0)</f>
        <v>0</v>
      </c>
      <c r="U30" s="38" t="n">
        <f aca="false">IFERROR(MATCH(MID("JanFebMarAprMayJunJulAugSepOctNovDec",MONTH(DATE(YEAR(SprintTable[[#This Row],[Start]]),MONTH(SprintTable[[#This Row],[Start]])+1,1))*3-2,3)&amp;"-"&amp;RIGHT(YEAR(DATE(YEAR(SprintTable[[#This Row],[Start]]),MONTH(SprintTable[[#This Row],[Start]])+1,1)),2),LeaveTable[#Headers],0),0)</f>
        <v>0</v>
      </c>
      <c r="V30" s="38" t="n">
        <f aca="false">IFERROR(MATCH(MID("JanFebMarAprMayJunJulAugSepOctNovDec",MONTH(DATE(YEAR(SprintTable[[#This Row],[Start]]),MONTH(SprintTable[[#This Row],[Start]])+2,1))*3-2,3)&amp;"-"&amp;RIGHT(YEAR(DATE(YEAR(SprintTable[[#This Row],[Start]]),MONTH(SprintTable[[#This Row],[Start]])+2,1)),2),LeaveTable[#Headers],0),0)</f>
        <v>0</v>
      </c>
    </row>
    <row r="31" customFormat="false" ht="15" hidden="false" customHeight="false" outlineLevel="0" collapsed="false">
      <c r="A31" s="51" t="n">
        <f aca="false">ROW()-ROW(SprintTable[[#Headers],[No]])</f>
        <v>26</v>
      </c>
      <c r="B31" s="30" t="str">
        <f aca="false">IF(SprintTable[[#This Row],[No]]&lt;=SprintCount,SprintPrefix&amp;SprintTable[[#This Row],[No]],"")</f>
        <v/>
      </c>
      <c r="C31" s="31" t="n">
        <f aca="false">Sprint1Start+(SprintTable[[#This Row],[No]]-1)*SprintLength</f>
        <v>351</v>
      </c>
      <c r="D31" s="31" t="n">
        <f aca="false">SprintTable[[#This Row],[Start]]+SprintLength-1</f>
        <v>364</v>
      </c>
      <c r="E31" s="51" t="n">
        <f aca="false">NETWORKDAYS.INTL(SprintTable[[#This Row],[Start]],SprintTable[[#This Row],[End]],WorkWeek,Holidays)</f>
        <v>10</v>
      </c>
      <c r="F31" s="53"/>
      <c r="G31" s="51" t="str">
        <f aca="false">IF(SprintTable[[#This Row],[Sprint]]="","",COUNTIF(tsk_Sprint,SprintTable[[#This Row],[Sprint]]))</f>
        <v/>
      </c>
      <c r="H31"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1"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109" t="str">
        <f aca="false">IF(OR(SprintTable[[#This Row],[Sprint]]="",N(SprintTable[[#This Row],[Capacity]])=0),"",SprintTable[[#This Row],[Planned Work]]/SprintTable[[#This Row],[Capacity]])</f>
        <v/>
      </c>
      <c r="K31" s="51" t="str">
        <f aca="false">IF(SprintTable[[#This Row],[Sprint]]="","",IF(StatusDate&gt;SprintTable[[#This Row],[End]],"Closed",IF(StatusDate&gt;=SprintTable[[#This Row],[Start]],"Active","Future")))</f>
        <v/>
      </c>
      <c r="L31" s="98"/>
      <c r="M31" s="70" t="str">
        <f aca="false">IF(SprintTable[[#This Row],[Sprint]]="","",SUMIFS(tsk_LeafPoints,tsk_Sprint,SprintTable[[#This Row],[Sprint]]))</f>
        <v/>
      </c>
      <c r="N31" s="70" t="str">
        <f aca="false">IF(OR(SprintTable[[#This Row],[Sprint]]="",SprintTable[[#This Row],[Status]]="Future"),"",SUMIFS(tsk_LeafPoints,tsk_DoneDate,"&gt;="&amp;SprintTable[[#This Row],[Start]],tsk_DoneDate,"&lt;="&amp;SprintTable[[#This Row],[End]]))</f>
        <v/>
      </c>
      <c r="O31" s="133" t="str">
        <f aca="false">IF(OR(SprintTable[[#This Row],[Sprint]]="",SprintTable[[#This Row],[Status]]&lt;&gt;"Closed"),"",AVERAGE(INDEX(SprintTable[Done Points],MAX(1,SprintTable[[#This Row],[No]]-2)):INDEX(SprintTable[Done Points],SprintTable[[#This Row],[No]])))</f>
        <v/>
      </c>
      <c r="P31" s="70" t="str">
        <f aca="false">IF(OR(SprintTable[[#This Row],[Sprint]]="",SprintTable[[#This Row],[Status]]="Future"),"",TotalPoints-SUMIFS(tsk_LeafPoints,tsk_DoneDate,"&lt;="&amp;MIN(SprintTable[[#This Row],[End]],StatusDate)))</f>
        <v/>
      </c>
      <c r="Q31" s="70" t="str">
        <f aca="false">IF(SprintTable[[#This Row],[Sprint]]="","",TotalPoints-SUMIFS(tsk_LeafPoints,tsk_FcFinish,"&lt;="&amp;SprintTable[[#This Row],[End]]))</f>
        <v/>
      </c>
      <c r="R31" s="70" t="str">
        <f aca="false">IF(SprintTable[[#This Row],[Sprint]]="","",TotalPoints*MAX(0,1-SprintTable[[#This Row],[No]]/SprintCount))</f>
        <v/>
      </c>
      <c r="S31" s="38" t="e">
        <f aca="false">IF(SprintTable[[#This Row],[Remaining Points]]="",NA(),SprintTable[[#This Row],[Remaining Points]])</f>
        <v>#N/A</v>
      </c>
      <c r="T31" s="38" t="n">
        <f aca="false">IFERROR(MATCH(MID("JanFebMarAprMayJunJulAugSepOctNovDec",MONTH(DATE(YEAR(SprintTable[[#This Row],[Start]]),MONTH(SprintTable[[#This Row],[Start]])+0,1))*3-2,3)&amp;"-"&amp;RIGHT(YEAR(DATE(YEAR(SprintTable[[#This Row],[Start]]),MONTH(SprintTable[[#This Row],[Start]])+0,1)),2),LeaveTable[#Headers],0),0)</f>
        <v>0</v>
      </c>
      <c r="U31" s="38" t="n">
        <f aca="false">IFERROR(MATCH(MID("JanFebMarAprMayJunJulAugSepOctNovDec",MONTH(DATE(YEAR(SprintTable[[#This Row],[Start]]),MONTH(SprintTable[[#This Row],[Start]])+1,1))*3-2,3)&amp;"-"&amp;RIGHT(YEAR(DATE(YEAR(SprintTable[[#This Row],[Start]]),MONTH(SprintTable[[#This Row],[Start]])+1,1)),2),LeaveTable[#Headers],0),0)</f>
        <v>0</v>
      </c>
      <c r="V31" s="38" t="n">
        <f aca="false">IFERROR(MATCH(MID("JanFebMarAprMayJunJulAugSepOctNovDec",MONTH(DATE(YEAR(SprintTable[[#This Row],[Start]]),MONTH(SprintTable[[#This Row],[Start]])+2,1))*3-2,3)&amp;"-"&amp;RIGHT(YEAR(DATE(YEAR(SprintTable[[#This Row],[Start]]),MONTH(SprintTable[[#This Row],[Start]])+2,1)),2),LeaveTable[#Headers],0),0)</f>
        <v>0</v>
      </c>
    </row>
    <row r="33" customFormat="false" ht="15" hidden="false" customHeight="false" outlineLevel="0" collapsed="false">
      <c r="A33" s="71" t="s">
        <v>648</v>
      </c>
    </row>
    <row r="34" customFormat="false" ht="15" hidden="false" customHeight="false" outlineLevel="0" collapsed="false">
      <c r="B34" s="15" t="s">
        <v>255</v>
      </c>
      <c r="C34" s="15" t="s">
        <v>261</v>
      </c>
      <c r="D34" s="15" t="str">
        <f aca="false">IFERROR(INDEX(spr_Name,(COLUMN()-COLUMN(load_Origin)-1))&amp;"","")</f>
        <v>Sprint 1</v>
      </c>
      <c r="E34" s="15" t="str">
        <f aca="false">IFERROR(INDEX(spr_Name,(COLUMN()-COLUMN(load_Origin)-1))&amp;"","")</f>
        <v>Sprint 2</v>
      </c>
      <c r="F34" s="15" t="str">
        <f aca="false">IFERROR(INDEX(spr_Name,(COLUMN()-COLUMN(load_Origin)-1))&amp;"","")</f>
        <v>Sprint 3</v>
      </c>
      <c r="G34" s="15" t="str">
        <f aca="false">IFERROR(INDEX(spr_Name,(COLUMN()-COLUMN(load_Origin)-1))&amp;"","")</f>
        <v>Sprint 4</v>
      </c>
      <c r="H34" s="15" t="str">
        <f aca="false">IFERROR(INDEX(spr_Name,(COLUMN()-COLUMN(load_Origin)-1))&amp;"","")</f>
        <v>Sprint 5</v>
      </c>
      <c r="I34" s="15" t="str">
        <f aca="false">IFERROR(INDEX(spr_Name,(COLUMN()-COLUMN(load_Origin)-1))&amp;"","")</f>
        <v>Sprint 6</v>
      </c>
      <c r="J34" s="15" t="str">
        <f aca="false">IFERROR(INDEX(spr_Name,(COLUMN()-COLUMN(load_Origin)-1))&amp;"","")</f>
        <v>Sprint 7</v>
      </c>
      <c r="K34" s="15" t="str">
        <f aca="false">IFERROR(INDEX(spr_Name,(COLUMN()-COLUMN(load_Origin)-1))&amp;"","")</f>
        <v>Sprint 8</v>
      </c>
      <c r="L34" s="15" t="str">
        <f aca="false">IFERROR(INDEX(spr_Name,(COLUMN()-COLUMN(load_Origin)-1))&amp;"","")</f>
        <v>Sprint 9</v>
      </c>
      <c r="M34" s="15" t="str">
        <f aca="false">IFERROR(INDEX(spr_Name,(COLUMN()-COLUMN(load_Origin)-1))&amp;"","")</f>
        <v>Sprint 10</v>
      </c>
      <c r="N34" s="15" t="str">
        <f aca="false">IFERROR(INDEX(spr_Name,(COLUMN()-COLUMN(load_Origin)-1))&amp;"","")</f>
        <v>Sprint 11</v>
      </c>
      <c r="O34" s="15" t="str">
        <f aca="false">IFERROR(INDEX(spr_Name,(COLUMN()-COLUMN(load_Origin)-1))&amp;"","")</f>
        <v>Sprint 12</v>
      </c>
      <c r="P34" s="15" t="str">
        <f aca="false">IFERROR(INDEX(spr_Name,(COLUMN()-COLUMN(load_Origin)-1))&amp;"","")</f>
        <v/>
      </c>
      <c r="Q34" s="15" t="str">
        <f aca="false">IFERROR(INDEX(spr_Name,(COLUMN()-COLUMN(load_Origin)-1))&amp;"","")</f>
        <v/>
      </c>
      <c r="R34" s="15" t="str">
        <f aca="false">IFERROR(INDEX(spr_Name,(COLUMN()-COLUMN(load_Origin)-1))&amp;"","")</f>
        <v/>
      </c>
      <c r="S34" s="15" t="str">
        <f aca="false">IFERROR(INDEX(spr_Name,(COLUMN()-COLUMN(load_Origin)-1))&amp;"","")</f>
        <v/>
      </c>
      <c r="T34" s="15" t="str">
        <f aca="false">IFERROR(INDEX(spr_Name,(COLUMN()-COLUMN(load_Origin)-1))&amp;"","")</f>
        <v/>
      </c>
      <c r="U34" s="15" t="str">
        <f aca="false">IFERROR(INDEX(spr_Name,(COLUMN()-COLUMN(load_Origin)-1))&amp;"","")</f>
        <v/>
      </c>
      <c r="V34" s="15" t="str">
        <f aca="false">IFERROR(INDEX(spr_Name,(COLUMN()-COLUMN(load_Origin)-1))&amp;"","")</f>
        <v/>
      </c>
      <c r="W34" s="15" t="str">
        <f aca="false">IFERROR(INDEX(spr_Name,(COLUMN()-COLUMN(load_Origin)-1))&amp;"","")</f>
        <v/>
      </c>
      <c r="X34" s="15" t="str">
        <f aca="false">IFERROR(INDEX(spr_Name,(COLUMN()-COLUMN(load_Origin)-1))&amp;"","")</f>
        <v/>
      </c>
      <c r="Y34" s="15" t="str">
        <f aca="false">IFERROR(INDEX(spr_Name,(COLUMN()-COLUMN(load_Origin)-1))&amp;"","")</f>
        <v/>
      </c>
      <c r="Z34" s="15" t="str">
        <f aca="false">IFERROR(INDEX(spr_Name,(COLUMN()-COLUMN(load_Origin)-1))&amp;"","")</f>
        <v/>
      </c>
      <c r="AA34" s="15" t="str">
        <f aca="false">IFERROR(INDEX(spr_Name,(COLUMN()-COLUMN(load_Origin)-1))&amp;"","")</f>
        <v/>
      </c>
      <c r="AB34" s="15" t="str">
        <f aca="false">IFERROR(INDEX(spr_Name,(COLUMN()-COLUMN(load_Origin)-1))&amp;"","")</f>
        <v/>
      </c>
      <c r="AC34" s="15" t="str">
        <f aca="false">IFERROR(INDEX(spr_Name,(COLUMN()-COLUMN(load_Origin)-1))&amp;"","")</f>
        <v/>
      </c>
    </row>
    <row r="35" customFormat="false" ht="15" hidden="false" customHeight="false" outlineLevel="0" collapsed="false">
      <c r="B35" s="73" t="s">
        <v>649</v>
      </c>
      <c r="D35" s="134" t="n">
        <f aca="false">IFERROR(IF(INDEX(spr_Name,(COLUMN()-COLUMN(load_Origin)-1))="","",INDEX(spr_Start,(COLUMN()-COLUMN(load_Origin)-1))),"")</f>
        <v>1</v>
      </c>
      <c r="E35" s="134" t="n">
        <f aca="false">IFERROR(IF(INDEX(spr_Name,(COLUMN()-COLUMN(load_Origin)-1))="","",INDEX(spr_Start,(COLUMN()-COLUMN(load_Origin)-1))),"")</f>
        <v>15</v>
      </c>
      <c r="F35" s="134" t="n">
        <f aca="false">IFERROR(IF(INDEX(spr_Name,(COLUMN()-COLUMN(load_Origin)-1))="","",INDEX(spr_Start,(COLUMN()-COLUMN(load_Origin)-1))),"")</f>
        <v>29</v>
      </c>
      <c r="G35" s="134" t="n">
        <f aca="false">IFERROR(IF(INDEX(spr_Name,(COLUMN()-COLUMN(load_Origin)-1))="","",INDEX(spr_Start,(COLUMN()-COLUMN(load_Origin)-1))),"")</f>
        <v>43</v>
      </c>
      <c r="H35" s="134" t="n">
        <f aca="false">IFERROR(IF(INDEX(spr_Name,(COLUMN()-COLUMN(load_Origin)-1))="","",INDEX(spr_Start,(COLUMN()-COLUMN(load_Origin)-1))),"")</f>
        <v>57</v>
      </c>
      <c r="I35" s="134" t="n">
        <f aca="false">IFERROR(IF(INDEX(spr_Name,(COLUMN()-COLUMN(load_Origin)-1))="","",INDEX(spr_Start,(COLUMN()-COLUMN(load_Origin)-1))),"")</f>
        <v>71</v>
      </c>
      <c r="J35" s="134" t="n">
        <f aca="false">IFERROR(IF(INDEX(spr_Name,(COLUMN()-COLUMN(load_Origin)-1))="","",INDEX(spr_Start,(COLUMN()-COLUMN(load_Origin)-1))),"")</f>
        <v>85</v>
      </c>
      <c r="K35" s="134" t="n">
        <f aca="false">IFERROR(IF(INDEX(spr_Name,(COLUMN()-COLUMN(load_Origin)-1))="","",INDEX(spr_Start,(COLUMN()-COLUMN(load_Origin)-1))),"")</f>
        <v>99</v>
      </c>
      <c r="L35" s="134" t="n">
        <f aca="false">IFERROR(IF(INDEX(spr_Name,(COLUMN()-COLUMN(load_Origin)-1))="","",INDEX(spr_Start,(COLUMN()-COLUMN(load_Origin)-1))),"")</f>
        <v>113</v>
      </c>
      <c r="M35" s="134" t="n">
        <f aca="false">IFERROR(IF(INDEX(spr_Name,(COLUMN()-COLUMN(load_Origin)-1))="","",INDEX(spr_Start,(COLUMN()-COLUMN(load_Origin)-1))),"")</f>
        <v>127</v>
      </c>
      <c r="N35" s="134" t="n">
        <f aca="false">IFERROR(IF(INDEX(spr_Name,(COLUMN()-COLUMN(load_Origin)-1))="","",INDEX(spr_Start,(COLUMN()-COLUMN(load_Origin)-1))),"")</f>
        <v>141</v>
      </c>
      <c r="O35" s="134" t="n">
        <f aca="false">IFERROR(IF(INDEX(spr_Name,(COLUMN()-COLUMN(load_Origin)-1))="","",INDEX(spr_Start,(COLUMN()-COLUMN(load_Origin)-1))),"")</f>
        <v>155</v>
      </c>
      <c r="P35" s="134" t="str">
        <f aca="false">IFERROR(IF(INDEX(spr_Name,(COLUMN()-COLUMN(load_Origin)-1))="","",INDEX(spr_Start,(COLUMN()-COLUMN(load_Origin)-1))),"")</f>
        <v/>
      </c>
      <c r="Q35" s="134" t="str">
        <f aca="false">IFERROR(IF(INDEX(spr_Name,(COLUMN()-COLUMN(load_Origin)-1))="","",INDEX(spr_Start,(COLUMN()-COLUMN(load_Origin)-1))),"")</f>
        <v/>
      </c>
      <c r="R35" s="134" t="str">
        <f aca="false">IFERROR(IF(INDEX(spr_Name,(COLUMN()-COLUMN(load_Origin)-1))="","",INDEX(spr_Start,(COLUMN()-COLUMN(load_Origin)-1))),"")</f>
        <v/>
      </c>
      <c r="S35" s="134" t="str">
        <f aca="false">IFERROR(IF(INDEX(spr_Name,(COLUMN()-COLUMN(load_Origin)-1))="","",INDEX(spr_Start,(COLUMN()-COLUMN(load_Origin)-1))),"")</f>
        <v/>
      </c>
      <c r="T35" s="134" t="str">
        <f aca="false">IFERROR(IF(INDEX(spr_Name,(COLUMN()-COLUMN(load_Origin)-1))="","",INDEX(spr_Start,(COLUMN()-COLUMN(load_Origin)-1))),"")</f>
        <v/>
      </c>
      <c r="U35" s="134" t="str">
        <f aca="false">IFERROR(IF(INDEX(spr_Name,(COLUMN()-COLUMN(load_Origin)-1))="","",INDEX(spr_Start,(COLUMN()-COLUMN(load_Origin)-1))),"")</f>
        <v/>
      </c>
      <c r="V35" s="134" t="str">
        <f aca="false">IFERROR(IF(INDEX(spr_Name,(COLUMN()-COLUMN(load_Origin)-1))="","",INDEX(spr_Start,(COLUMN()-COLUMN(load_Origin)-1))),"")</f>
        <v/>
      </c>
      <c r="W35" s="134" t="str">
        <f aca="false">IFERROR(IF(INDEX(spr_Name,(COLUMN()-COLUMN(load_Origin)-1))="","",INDEX(spr_Start,(COLUMN()-COLUMN(load_Origin)-1))),"")</f>
        <v/>
      </c>
      <c r="X35" s="134" t="str">
        <f aca="false">IFERROR(IF(INDEX(spr_Name,(COLUMN()-COLUMN(load_Origin)-1))="","",INDEX(spr_Start,(COLUMN()-COLUMN(load_Origin)-1))),"")</f>
        <v/>
      </c>
      <c r="Y35" s="134" t="str">
        <f aca="false">IFERROR(IF(INDEX(spr_Name,(COLUMN()-COLUMN(load_Origin)-1))="","",INDEX(spr_Start,(COLUMN()-COLUMN(load_Origin)-1))),"")</f>
        <v/>
      </c>
      <c r="Z35" s="134" t="str">
        <f aca="false">IFERROR(IF(INDEX(spr_Name,(COLUMN()-COLUMN(load_Origin)-1))="","",INDEX(spr_Start,(COLUMN()-COLUMN(load_Origin)-1))),"")</f>
        <v/>
      </c>
      <c r="AA35" s="134" t="str">
        <f aca="false">IFERROR(IF(INDEX(spr_Name,(COLUMN()-COLUMN(load_Origin)-1))="","",INDEX(spr_Start,(COLUMN()-COLUMN(load_Origin)-1))),"")</f>
        <v/>
      </c>
      <c r="AB35" s="134" t="str">
        <f aca="false">IFERROR(IF(INDEX(spr_Name,(COLUMN()-COLUMN(load_Origin)-1))="","",INDEX(spr_Start,(COLUMN()-COLUMN(load_Origin)-1))),"")</f>
        <v/>
      </c>
      <c r="AC35" s="134" t="str">
        <f aca="false">IFERROR(IF(INDEX(spr_Name,(COLUMN()-COLUMN(load_Origin)-1))="","",INDEX(spr_Start,(COLUMN()-COLUMN(load_Origin)-1))),"")</f>
        <v/>
      </c>
    </row>
    <row r="36" customFormat="false" ht="15" hidden="false" customHeight="false" outlineLevel="0" collapsed="false">
      <c r="B36" s="5" t="str">
        <f aca="false">IFERROR(INDEX(res_Name,(ROW()-ROW(load_Origin)-1))&amp;"","")</f>
        <v/>
      </c>
      <c r="C36" s="75" t="str">
        <f aca="false">IFERROR(IF(INDEX(res_Name,(ROW()-ROW(load_Origin)-1))="","",INDEX(res_MaxUnits,(ROW()-ROW(load_Origin)-1))),"")</f>
        <v/>
      </c>
      <c r="D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7" customFormat="false" ht="15" hidden="false" customHeight="false" outlineLevel="0" collapsed="false">
      <c r="B37" s="5" t="str">
        <f aca="false">IFERROR(INDEX(res_Name,(ROW()-ROW(load_Origin)-1))&amp;"","")</f>
        <v/>
      </c>
      <c r="C37" s="75" t="str">
        <f aca="false">IFERROR(IF(INDEX(res_Name,(ROW()-ROW(load_Origin)-1))="","",INDEX(res_MaxUnits,(ROW()-ROW(load_Origin)-1))),"")</f>
        <v/>
      </c>
      <c r="D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8" customFormat="false" ht="15" hidden="false" customHeight="false" outlineLevel="0" collapsed="false">
      <c r="B38" s="5" t="str">
        <f aca="false">IFERROR(INDEX(res_Name,(ROW()-ROW(load_Origin)-1))&amp;"","")</f>
        <v/>
      </c>
      <c r="C38" s="75" t="str">
        <f aca="false">IFERROR(IF(INDEX(res_Name,(ROW()-ROW(load_Origin)-1))="","",INDEX(res_MaxUnits,(ROW()-ROW(load_Origin)-1))),"")</f>
        <v/>
      </c>
      <c r="D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9" customFormat="false" ht="15" hidden="false" customHeight="false" outlineLevel="0" collapsed="false">
      <c r="B39" s="5" t="str">
        <f aca="false">IFERROR(INDEX(res_Name,(ROW()-ROW(load_Origin)-1))&amp;"","")</f>
        <v/>
      </c>
      <c r="C39" s="75" t="str">
        <f aca="false">IFERROR(IF(INDEX(res_Name,(ROW()-ROW(load_Origin)-1))="","",INDEX(res_MaxUnits,(ROW()-ROW(load_Origin)-1))),"")</f>
        <v/>
      </c>
      <c r="D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0" customFormat="false" ht="15" hidden="false" customHeight="false" outlineLevel="0" collapsed="false">
      <c r="B40" s="5" t="str">
        <f aca="false">IFERROR(INDEX(res_Name,(ROW()-ROW(load_Origin)-1))&amp;"","")</f>
        <v/>
      </c>
      <c r="C40" s="75" t="str">
        <f aca="false">IFERROR(IF(INDEX(res_Name,(ROW()-ROW(load_Origin)-1))="","",INDEX(res_MaxUnits,(ROW()-ROW(load_Origin)-1))),"")</f>
        <v/>
      </c>
      <c r="D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1" customFormat="false" ht="15" hidden="false" customHeight="false" outlineLevel="0" collapsed="false">
      <c r="B41" s="5" t="str">
        <f aca="false">IFERROR(INDEX(res_Name,(ROW()-ROW(load_Origin)-1))&amp;"","")</f>
        <v/>
      </c>
      <c r="C41" s="75" t="str">
        <f aca="false">IFERROR(IF(INDEX(res_Name,(ROW()-ROW(load_Origin)-1))="","",INDEX(res_MaxUnits,(ROW()-ROW(load_Origin)-1))),"")</f>
        <v/>
      </c>
      <c r="D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2" customFormat="false" ht="15" hidden="false" customHeight="false" outlineLevel="0" collapsed="false">
      <c r="B42" s="5" t="str">
        <f aca="false">IFERROR(INDEX(res_Name,(ROW()-ROW(load_Origin)-1))&amp;"","")</f>
        <v/>
      </c>
      <c r="C42" s="75" t="str">
        <f aca="false">IFERROR(IF(INDEX(res_Name,(ROW()-ROW(load_Origin)-1))="","",INDEX(res_MaxUnits,(ROW()-ROW(load_Origin)-1))),"")</f>
        <v/>
      </c>
      <c r="D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3" customFormat="false" ht="15" hidden="false" customHeight="false" outlineLevel="0" collapsed="false">
      <c r="B43" s="5" t="str">
        <f aca="false">IFERROR(INDEX(res_Name,(ROW()-ROW(load_Origin)-1))&amp;"","")</f>
        <v/>
      </c>
      <c r="C43" s="75" t="str">
        <f aca="false">IFERROR(IF(INDEX(res_Name,(ROW()-ROW(load_Origin)-1))="","",INDEX(res_MaxUnits,(ROW()-ROW(load_Origin)-1))),"")</f>
        <v/>
      </c>
      <c r="D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4" customFormat="false" ht="15" hidden="false" customHeight="false" outlineLevel="0" collapsed="false">
      <c r="B44" s="5" t="str">
        <f aca="false">IFERROR(INDEX(res_Name,(ROW()-ROW(load_Origin)-1))&amp;"","")</f>
        <v/>
      </c>
      <c r="C44" s="75" t="str">
        <f aca="false">IFERROR(IF(INDEX(res_Name,(ROW()-ROW(load_Origin)-1))="","",INDEX(res_MaxUnits,(ROW()-ROW(load_Origin)-1))),"")</f>
        <v/>
      </c>
      <c r="D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5" customFormat="false" ht="15" hidden="false" customHeight="false" outlineLevel="0" collapsed="false">
      <c r="B45" s="5" t="str">
        <f aca="false">IFERROR(INDEX(res_Name,(ROW()-ROW(load_Origin)-1))&amp;"","")</f>
        <v/>
      </c>
      <c r="C45" s="75" t="str">
        <f aca="false">IFERROR(IF(INDEX(res_Name,(ROW()-ROW(load_Origin)-1))="","",INDEX(res_MaxUnits,(ROW()-ROW(load_Origin)-1))),"")</f>
        <v/>
      </c>
      <c r="D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6" customFormat="false" ht="15" hidden="false" customHeight="false" outlineLevel="0" collapsed="false">
      <c r="B46" s="5" t="str">
        <f aca="false">IFERROR(INDEX(res_Name,(ROW()-ROW(load_Origin)-1))&amp;"","")</f>
        <v/>
      </c>
      <c r="C46" s="75" t="str">
        <f aca="false">IFERROR(IF(INDEX(res_Name,(ROW()-ROW(load_Origin)-1))="","",INDEX(res_MaxUnits,(ROW()-ROW(load_Origin)-1))),"")</f>
        <v/>
      </c>
      <c r="D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7" customFormat="false" ht="15" hidden="false" customHeight="false" outlineLevel="0" collapsed="false">
      <c r="B47" s="5" t="str">
        <f aca="false">IFERROR(INDEX(res_Name,(ROW()-ROW(load_Origin)-1))&amp;"","")</f>
        <v/>
      </c>
      <c r="C47" s="75" t="str">
        <f aca="false">IFERROR(IF(INDEX(res_Name,(ROW()-ROW(load_Origin)-1))="","",INDEX(res_MaxUnits,(ROW()-ROW(load_Origin)-1))),"")</f>
        <v/>
      </c>
      <c r="D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8" customFormat="false" ht="15" hidden="false" customHeight="false" outlineLevel="0" collapsed="false">
      <c r="B48" s="5" t="str">
        <f aca="false">IFERROR(INDEX(res_Name,(ROW()-ROW(load_Origin)-1))&amp;"","")</f>
        <v/>
      </c>
      <c r="C48" s="75" t="str">
        <f aca="false">IFERROR(IF(INDEX(res_Name,(ROW()-ROW(load_Origin)-1))="","",INDEX(res_MaxUnits,(ROW()-ROW(load_Origin)-1))),"")</f>
        <v/>
      </c>
      <c r="D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9" customFormat="false" ht="15" hidden="false" customHeight="false" outlineLevel="0" collapsed="false">
      <c r="B49" s="5" t="str">
        <f aca="false">IFERROR(INDEX(res_Name,(ROW()-ROW(load_Origin)-1))&amp;"","")</f>
        <v/>
      </c>
      <c r="C49" s="75" t="str">
        <f aca="false">IFERROR(IF(INDEX(res_Name,(ROW()-ROW(load_Origin)-1))="","",INDEX(res_MaxUnits,(ROW()-ROW(load_Origin)-1))),"")</f>
        <v/>
      </c>
      <c r="D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0" customFormat="false" ht="15" hidden="false" customHeight="false" outlineLevel="0" collapsed="false">
      <c r="B50" s="5" t="str">
        <f aca="false">IFERROR(INDEX(res_Name,(ROW()-ROW(load_Origin)-1))&amp;"","")</f>
        <v/>
      </c>
      <c r="C50" s="75" t="str">
        <f aca="false">IFERROR(IF(INDEX(res_Name,(ROW()-ROW(load_Origin)-1))="","",INDEX(res_MaxUnits,(ROW()-ROW(load_Origin)-1))),"")</f>
        <v/>
      </c>
      <c r="D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1" customFormat="false" ht="15" hidden="false" customHeight="false" outlineLevel="0" collapsed="false">
      <c r="B51" s="5" t="str">
        <f aca="false">IFERROR(INDEX(res_Name,(ROW()-ROW(load_Origin)-1))&amp;"","")</f>
        <v/>
      </c>
      <c r="C51" s="75" t="str">
        <f aca="false">IFERROR(IF(INDEX(res_Name,(ROW()-ROW(load_Origin)-1))="","",INDEX(res_MaxUnits,(ROW()-ROW(load_Origin)-1))),"")</f>
        <v/>
      </c>
      <c r="D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1"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2" customFormat="false" ht="15" hidden="false" customHeight="false" outlineLevel="0" collapsed="false">
      <c r="B52" s="5" t="str">
        <f aca="false">IFERROR(INDEX(res_Name,(ROW()-ROW(load_Origin)-1))&amp;"","")</f>
        <v/>
      </c>
      <c r="C52" s="75" t="str">
        <f aca="false">IFERROR(IF(INDEX(res_Name,(ROW()-ROW(load_Origin)-1))="","",INDEX(res_MaxUnits,(ROW()-ROW(load_Origin)-1))),"")</f>
        <v/>
      </c>
      <c r="D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2"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3" customFormat="false" ht="15" hidden="false" customHeight="false" outlineLevel="0" collapsed="false">
      <c r="B53" s="5" t="str">
        <f aca="false">IFERROR(INDEX(res_Name,(ROW()-ROW(load_Origin)-1))&amp;"","")</f>
        <v/>
      </c>
      <c r="C53" s="75" t="str">
        <f aca="false">IFERROR(IF(INDEX(res_Name,(ROW()-ROW(load_Origin)-1))="","",INDEX(res_MaxUnits,(ROW()-ROW(load_Origin)-1))),"")</f>
        <v/>
      </c>
      <c r="D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3"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4" customFormat="false" ht="15" hidden="false" customHeight="false" outlineLevel="0" collapsed="false">
      <c r="B54" s="5" t="str">
        <f aca="false">IFERROR(INDEX(res_Name,(ROW()-ROW(load_Origin)-1))&amp;"","")</f>
        <v/>
      </c>
      <c r="C54" s="75" t="str">
        <f aca="false">IFERROR(IF(INDEX(res_Name,(ROW()-ROW(load_Origin)-1))="","",INDEX(res_MaxUnits,(ROW()-ROW(load_Origin)-1))),"")</f>
        <v/>
      </c>
      <c r="D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4"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5" customFormat="false" ht="15" hidden="false" customHeight="false" outlineLevel="0" collapsed="false">
      <c r="B55" s="5" t="str">
        <f aca="false">IFERROR(INDEX(res_Name,(ROW()-ROW(load_Origin)-1))&amp;"","")</f>
        <v/>
      </c>
      <c r="C55" s="75" t="str">
        <f aca="false">IFERROR(IF(INDEX(res_Name,(ROW()-ROW(load_Origin)-1))="","",INDEX(res_MaxUnits,(ROW()-ROW(load_Origin)-1))),"")</f>
        <v/>
      </c>
      <c r="D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5"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6" customFormat="false" ht="15" hidden="false" customHeight="false" outlineLevel="0" collapsed="false">
      <c r="B56" s="5" t="str">
        <f aca="false">IFERROR(INDEX(res_Name,(ROW()-ROW(load_Origin)-1))&amp;"","")</f>
        <v/>
      </c>
      <c r="C56" s="75" t="str">
        <f aca="false">IFERROR(IF(INDEX(res_Name,(ROW()-ROW(load_Origin)-1))="","",INDEX(res_MaxUnits,(ROW()-ROW(load_Origin)-1))),"")</f>
        <v/>
      </c>
      <c r="D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6"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7" customFormat="false" ht="15" hidden="false" customHeight="false" outlineLevel="0" collapsed="false">
      <c r="B57" s="5" t="str">
        <f aca="false">IFERROR(INDEX(res_Name,(ROW()-ROW(load_Origin)-1))&amp;"","")</f>
        <v/>
      </c>
      <c r="C57" s="75" t="str">
        <f aca="false">IFERROR(IF(INDEX(res_Name,(ROW()-ROW(load_Origin)-1))="","",INDEX(res_MaxUnits,(ROW()-ROW(load_Origin)-1))),"")</f>
        <v/>
      </c>
      <c r="D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7"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8" customFormat="false" ht="15" hidden="false" customHeight="false" outlineLevel="0" collapsed="false">
      <c r="B58" s="5" t="str">
        <f aca="false">IFERROR(INDEX(res_Name,(ROW()-ROW(load_Origin)-1))&amp;"","")</f>
        <v/>
      </c>
      <c r="C58" s="75" t="str">
        <f aca="false">IFERROR(IF(INDEX(res_Name,(ROW()-ROW(load_Origin)-1))="","",INDEX(res_MaxUnits,(ROW()-ROW(load_Origin)-1))),"")</f>
        <v/>
      </c>
      <c r="D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8"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9" customFormat="false" ht="15" hidden="false" customHeight="false" outlineLevel="0" collapsed="false">
      <c r="B59" s="5" t="str">
        <f aca="false">IFERROR(INDEX(res_Name,(ROW()-ROW(load_Origin)-1))&amp;"","")</f>
        <v/>
      </c>
      <c r="C59" s="75" t="str">
        <f aca="false">IFERROR(IF(INDEX(res_Name,(ROW()-ROW(load_Origin)-1))="","",INDEX(res_MaxUnits,(ROW()-ROW(load_Origin)-1))),"")</f>
        <v/>
      </c>
      <c r="D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9"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0" customFormat="false" ht="15" hidden="false" customHeight="false" outlineLevel="0" collapsed="false">
      <c r="B60" s="5" t="str">
        <f aca="false">IFERROR(INDEX(res_Name,(ROW()-ROW(load_Origin)-1))&amp;"","")</f>
        <v/>
      </c>
      <c r="C60" s="75" t="str">
        <f aca="false">IFERROR(IF(INDEX(res_Name,(ROW()-ROW(load_Origin)-1))="","",INDEX(res_MaxUnits,(ROW()-ROW(load_Origin)-1))),"")</f>
        <v/>
      </c>
      <c r="D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60" s="76"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3" customFormat="false" ht="15" hidden="false" customHeight="false" outlineLevel="0" collapsed="false">
      <c r="A63" s="71" t="s">
        <v>650</v>
      </c>
    </row>
    <row r="64" customFormat="false" ht="15" hidden="false" customHeight="false" outlineLevel="0" collapsed="false">
      <c r="B64" s="15" t="s">
        <v>255</v>
      </c>
      <c r="C64" s="15" t="s">
        <v>261</v>
      </c>
      <c r="D64" s="15" t="str">
        <f aca="false">IFERROR(INDEX(spr_Name,(COLUMN()-COLUMN(util_Origin)-1))&amp;"","")</f>
        <v>Sprint 1</v>
      </c>
      <c r="E64" s="15" t="str">
        <f aca="false">IFERROR(INDEX(spr_Name,(COLUMN()-COLUMN(util_Origin)-1))&amp;"","")</f>
        <v>Sprint 2</v>
      </c>
      <c r="F64" s="15" t="str">
        <f aca="false">IFERROR(INDEX(spr_Name,(COLUMN()-COLUMN(util_Origin)-1))&amp;"","")</f>
        <v>Sprint 3</v>
      </c>
      <c r="G64" s="15" t="str">
        <f aca="false">IFERROR(INDEX(spr_Name,(COLUMN()-COLUMN(util_Origin)-1))&amp;"","")</f>
        <v>Sprint 4</v>
      </c>
      <c r="H64" s="15" t="str">
        <f aca="false">IFERROR(INDEX(spr_Name,(COLUMN()-COLUMN(util_Origin)-1))&amp;"","")</f>
        <v>Sprint 5</v>
      </c>
      <c r="I64" s="15" t="str">
        <f aca="false">IFERROR(INDEX(spr_Name,(COLUMN()-COLUMN(util_Origin)-1))&amp;"","")</f>
        <v>Sprint 6</v>
      </c>
      <c r="J64" s="15" t="str">
        <f aca="false">IFERROR(INDEX(spr_Name,(COLUMN()-COLUMN(util_Origin)-1))&amp;"","")</f>
        <v>Sprint 7</v>
      </c>
      <c r="K64" s="15" t="str">
        <f aca="false">IFERROR(INDEX(spr_Name,(COLUMN()-COLUMN(util_Origin)-1))&amp;"","")</f>
        <v>Sprint 8</v>
      </c>
      <c r="L64" s="15" t="str">
        <f aca="false">IFERROR(INDEX(spr_Name,(COLUMN()-COLUMN(util_Origin)-1))&amp;"","")</f>
        <v>Sprint 9</v>
      </c>
      <c r="M64" s="15" t="str">
        <f aca="false">IFERROR(INDEX(spr_Name,(COLUMN()-COLUMN(util_Origin)-1))&amp;"","")</f>
        <v>Sprint 10</v>
      </c>
      <c r="N64" s="15" t="str">
        <f aca="false">IFERROR(INDEX(spr_Name,(COLUMN()-COLUMN(util_Origin)-1))&amp;"","")</f>
        <v>Sprint 11</v>
      </c>
      <c r="O64" s="15" t="str">
        <f aca="false">IFERROR(INDEX(spr_Name,(COLUMN()-COLUMN(util_Origin)-1))&amp;"","")</f>
        <v>Sprint 12</v>
      </c>
      <c r="P64" s="15" t="str">
        <f aca="false">IFERROR(INDEX(spr_Name,(COLUMN()-COLUMN(util_Origin)-1))&amp;"","")</f>
        <v/>
      </c>
      <c r="Q64" s="15" t="str">
        <f aca="false">IFERROR(INDEX(spr_Name,(COLUMN()-COLUMN(util_Origin)-1))&amp;"","")</f>
        <v/>
      </c>
      <c r="R64" s="15" t="str">
        <f aca="false">IFERROR(INDEX(spr_Name,(COLUMN()-COLUMN(util_Origin)-1))&amp;"","")</f>
        <v/>
      </c>
      <c r="S64" s="15" t="str">
        <f aca="false">IFERROR(INDEX(spr_Name,(COLUMN()-COLUMN(util_Origin)-1))&amp;"","")</f>
        <v/>
      </c>
      <c r="T64" s="15" t="str">
        <f aca="false">IFERROR(INDEX(spr_Name,(COLUMN()-COLUMN(util_Origin)-1))&amp;"","")</f>
        <v/>
      </c>
      <c r="U64" s="15" t="str">
        <f aca="false">IFERROR(INDEX(spr_Name,(COLUMN()-COLUMN(util_Origin)-1))&amp;"","")</f>
        <v/>
      </c>
      <c r="V64" s="15" t="str">
        <f aca="false">IFERROR(INDEX(spr_Name,(COLUMN()-COLUMN(util_Origin)-1))&amp;"","")</f>
        <v/>
      </c>
      <c r="W64" s="15" t="str">
        <f aca="false">IFERROR(INDEX(spr_Name,(COLUMN()-COLUMN(util_Origin)-1))&amp;"","")</f>
        <v/>
      </c>
      <c r="X64" s="15" t="str">
        <f aca="false">IFERROR(INDEX(spr_Name,(COLUMN()-COLUMN(util_Origin)-1))&amp;"","")</f>
        <v/>
      </c>
      <c r="Y64" s="15" t="str">
        <f aca="false">IFERROR(INDEX(spr_Name,(COLUMN()-COLUMN(util_Origin)-1))&amp;"","")</f>
        <v/>
      </c>
      <c r="Z64" s="15" t="str">
        <f aca="false">IFERROR(INDEX(spr_Name,(COLUMN()-COLUMN(util_Origin)-1))&amp;"","")</f>
        <v/>
      </c>
      <c r="AA64" s="15" t="str">
        <f aca="false">IFERROR(INDEX(spr_Name,(COLUMN()-COLUMN(util_Origin)-1))&amp;"","")</f>
        <v/>
      </c>
      <c r="AB64" s="15" t="str">
        <f aca="false">IFERROR(INDEX(spr_Name,(COLUMN()-COLUMN(util_Origin)-1))&amp;"","")</f>
        <v/>
      </c>
      <c r="AC64" s="15" t="str">
        <f aca="false">IFERROR(INDEX(spr_Name,(COLUMN()-COLUMN(util_Origin)-1))&amp;"","")</f>
        <v/>
      </c>
    </row>
    <row r="65" customFormat="false" ht="15" hidden="false" customHeight="false" outlineLevel="0" collapsed="false">
      <c r="B65" s="73" t="s">
        <v>649</v>
      </c>
      <c r="D65" s="134" t="n">
        <f aca="false">IFERROR(IF(INDEX(spr_Name,(COLUMN()-COLUMN(util_Origin)-1))="","",INDEX(spr_Start,(COLUMN()-COLUMN(util_Origin)-1))),"")</f>
        <v>1</v>
      </c>
      <c r="E65" s="134" t="n">
        <f aca="false">IFERROR(IF(INDEX(spr_Name,(COLUMN()-COLUMN(util_Origin)-1))="","",INDEX(spr_Start,(COLUMN()-COLUMN(util_Origin)-1))),"")</f>
        <v>15</v>
      </c>
      <c r="F65" s="134" t="n">
        <f aca="false">IFERROR(IF(INDEX(spr_Name,(COLUMN()-COLUMN(util_Origin)-1))="","",INDEX(spr_Start,(COLUMN()-COLUMN(util_Origin)-1))),"")</f>
        <v>29</v>
      </c>
      <c r="G65" s="134" t="n">
        <f aca="false">IFERROR(IF(INDEX(spr_Name,(COLUMN()-COLUMN(util_Origin)-1))="","",INDEX(spr_Start,(COLUMN()-COLUMN(util_Origin)-1))),"")</f>
        <v>43</v>
      </c>
      <c r="H65" s="134" t="n">
        <f aca="false">IFERROR(IF(INDEX(spr_Name,(COLUMN()-COLUMN(util_Origin)-1))="","",INDEX(spr_Start,(COLUMN()-COLUMN(util_Origin)-1))),"")</f>
        <v>57</v>
      </c>
      <c r="I65" s="134" t="n">
        <f aca="false">IFERROR(IF(INDEX(spr_Name,(COLUMN()-COLUMN(util_Origin)-1))="","",INDEX(spr_Start,(COLUMN()-COLUMN(util_Origin)-1))),"")</f>
        <v>71</v>
      </c>
      <c r="J65" s="134" t="n">
        <f aca="false">IFERROR(IF(INDEX(spr_Name,(COLUMN()-COLUMN(util_Origin)-1))="","",INDEX(spr_Start,(COLUMN()-COLUMN(util_Origin)-1))),"")</f>
        <v>85</v>
      </c>
      <c r="K65" s="134" t="n">
        <f aca="false">IFERROR(IF(INDEX(spr_Name,(COLUMN()-COLUMN(util_Origin)-1))="","",INDEX(spr_Start,(COLUMN()-COLUMN(util_Origin)-1))),"")</f>
        <v>99</v>
      </c>
      <c r="L65" s="134" t="n">
        <f aca="false">IFERROR(IF(INDEX(spr_Name,(COLUMN()-COLUMN(util_Origin)-1))="","",INDEX(spr_Start,(COLUMN()-COLUMN(util_Origin)-1))),"")</f>
        <v>113</v>
      </c>
      <c r="M65" s="134" t="n">
        <f aca="false">IFERROR(IF(INDEX(spr_Name,(COLUMN()-COLUMN(util_Origin)-1))="","",INDEX(spr_Start,(COLUMN()-COLUMN(util_Origin)-1))),"")</f>
        <v>127</v>
      </c>
      <c r="N65" s="134" t="n">
        <f aca="false">IFERROR(IF(INDEX(spr_Name,(COLUMN()-COLUMN(util_Origin)-1))="","",INDEX(spr_Start,(COLUMN()-COLUMN(util_Origin)-1))),"")</f>
        <v>141</v>
      </c>
      <c r="O65" s="134" t="n">
        <f aca="false">IFERROR(IF(INDEX(spr_Name,(COLUMN()-COLUMN(util_Origin)-1))="","",INDEX(spr_Start,(COLUMN()-COLUMN(util_Origin)-1))),"")</f>
        <v>155</v>
      </c>
      <c r="P65" s="134" t="str">
        <f aca="false">IFERROR(IF(INDEX(spr_Name,(COLUMN()-COLUMN(util_Origin)-1))="","",INDEX(spr_Start,(COLUMN()-COLUMN(util_Origin)-1))),"")</f>
        <v/>
      </c>
      <c r="Q65" s="134" t="str">
        <f aca="false">IFERROR(IF(INDEX(spr_Name,(COLUMN()-COLUMN(util_Origin)-1))="","",INDEX(spr_Start,(COLUMN()-COLUMN(util_Origin)-1))),"")</f>
        <v/>
      </c>
      <c r="R65" s="134" t="str">
        <f aca="false">IFERROR(IF(INDEX(spr_Name,(COLUMN()-COLUMN(util_Origin)-1))="","",INDEX(spr_Start,(COLUMN()-COLUMN(util_Origin)-1))),"")</f>
        <v/>
      </c>
      <c r="S65" s="134" t="str">
        <f aca="false">IFERROR(IF(INDEX(spr_Name,(COLUMN()-COLUMN(util_Origin)-1))="","",INDEX(spr_Start,(COLUMN()-COLUMN(util_Origin)-1))),"")</f>
        <v/>
      </c>
      <c r="T65" s="134" t="str">
        <f aca="false">IFERROR(IF(INDEX(spr_Name,(COLUMN()-COLUMN(util_Origin)-1))="","",INDEX(spr_Start,(COLUMN()-COLUMN(util_Origin)-1))),"")</f>
        <v/>
      </c>
      <c r="U65" s="134" t="str">
        <f aca="false">IFERROR(IF(INDEX(spr_Name,(COLUMN()-COLUMN(util_Origin)-1))="","",INDEX(spr_Start,(COLUMN()-COLUMN(util_Origin)-1))),"")</f>
        <v/>
      </c>
      <c r="V65" s="134" t="str">
        <f aca="false">IFERROR(IF(INDEX(spr_Name,(COLUMN()-COLUMN(util_Origin)-1))="","",INDEX(spr_Start,(COLUMN()-COLUMN(util_Origin)-1))),"")</f>
        <v/>
      </c>
      <c r="W65" s="134" t="str">
        <f aca="false">IFERROR(IF(INDEX(spr_Name,(COLUMN()-COLUMN(util_Origin)-1))="","",INDEX(spr_Start,(COLUMN()-COLUMN(util_Origin)-1))),"")</f>
        <v/>
      </c>
      <c r="X65" s="134" t="str">
        <f aca="false">IFERROR(IF(INDEX(spr_Name,(COLUMN()-COLUMN(util_Origin)-1))="","",INDEX(spr_Start,(COLUMN()-COLUMN(util_Origin)-1))),"")</f>
        <v/>
      </c>
      <c r="Y65" s="134" t="str">
        <f aca="false">IFERROR(IF(INDEX(spr_Name,(COLUMN()-COLUMN(util_Origin)-1))="","",INDEX(spr_Start,(COLUMN()-COLUMN(util_Origin)-1))),"")</f>
        <v/>
      </c>
      <c r="Z65" s="134" t="str">
        <f aca="false">IFERROR(IF(INDEX(spr_Name,(COLUMN()-COLUMN(util_Origin)-1))="","",INDEX(spr_Start,(COLUMN()-COLUMN(util_Origin)-1))),"")</f>
        <v/>
      </c>
      <c r="AA65" s="134" t="str">
        <f aca="false">IFERROR(IF(INDEX(spr_Name,(COLUMN()-COLUMN(util_Origin)-1))="","",INDEX(spr_Start,(COLUMN()-COLUMN(util_Origin)-1))),"")</f>
        <v/>
      </c>
      <c r="AB65" s="134" t="str">
        <f aca="false">IFERROR(IF(INDEX(spr_Name,(COLUMN()-COLUMN(util_Origin)-1))="","",INDEX(spr_Start,(COLUMN()-COLUMN(util_Origin)-1))),"")</f>
        <v/>
      </c>
      <c r="AC65" s="134" t="str">
        <f aca="false">IFERROR(IF(INDEX(spr_Name,(COLUMN()-COLUMN(util_Origin)-1))="","",INDEX(spr_Start,(COLUMN()-COLUMN(util_Origin)-1))),"")</f>
        <v/>
      </c>
    </row>
    <row r="66" customFormat="false" ht="15" hidden="false" customHeight="false" outlineLevel="0" collapsed="false">
      <c r="B66" s="5" t="str">
        <f aca="false">IFERROR(INDEX(res_Name,(ROW()-ROW(util_Origin)-1))&amp;"","")</f>
        <v/>
      </c>
      <c r="C66" s="75" t="str">
        <f aca="false">IFERROR(IF(INDEX(res_Name,(ROW()-ROW(util_Origin)-1))="","",INDEX(res_MaxUnits,(ROW()-ROW(util_Origin)-1))),"")</f>
        <v/>
      </c>
      <c r="D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5" t="str">
        <f aca="false">IFERROR(INDEX(res_Name,(ROW()-ROW(util_Origin)-1))&amp;"","")</f>
        <v/>
      </c>
      <c r="C67" s="75" t="str">
        <f aca="false">IFERROR(IF(INDEX(res_Name,(ROW()-ROW(util_Origin)-1))="","",INDEX(res_MaxUnits,(ROW()-ROW(util_Origin)-1))),"")</f>
        <v/>
      </c>
      <c r="D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5" t="str">
        <f aca="false">IFERROR(INDEX(res_Name,(ROW()-ROW(util_Origin)-1))&amp;"","")</f>
        <v/>
      </c>
      <c r="C68" s="75" t="str">
        <f aca="false">IFERROR(IF(INDEX(res_Name,(ROW()-ROW(util_Origin)-1))="","",INDEX(res_MaxUnits,(ROW()-ROW(util_Origin)-1))),"")</f>
        <v/>
      </c>
      <c r="D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5" t="str">
        <f aca="false">IFERROR(INDEX(res_Name,(ROW()-ROW(util_Origin)-1))&amp;"","")</f>
        <v/>
      </c>
      <c r="C69" s="75" t="str">
        <f aca="false">IFERROR(IF(INDEX(res_Name,(ROW()-ROW(util_Origin)-1))="","",INDEX(res_MaxUnits,(ROW()-ROW(util_Origin)-1))),"")</f>
        <v/>
      </c>
      <c r="D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5" t="str">
        <f aca="false">IFERROR(INDEX(res_Name,(ROW()-ROW(util_Origin)-1))&amp;"","")</f>
        <v/>
      </c>
      <c r="C70" s="75" t="str">
        <f aca="false">IFERROR(IF(INDEX(res_Name,(ROW()-ROW(util_Origin)-1))="","",INDEX(res_MaxUnits,(ROW()-ROW(util_Origin)-1))),"")</f>
        <v/>
      </c>
      <c r="D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5" t="str">
        <f aca="false">IFERROR(INDEX(res_Name,(ROW()-ROW(util_Origin)-1))&amp;"","")</f>
        <v/>
      </c>
      <c r="C71" s="75" t="str">
        <f aca="false">IFERROR(IF(INDEX(res_Name,(ROW()-ROW(util_Origin)-1))="","",INDEX(res_MaxUnits,(ROW()-ROW(util_Origin)-1))),"")</f>
        <v/>
      </c>
      <c r="D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5" t="str">
        <f aca="false">IFERROR(INDEX(res_Name,(ROW()-ROW(util_Origin)-1))&amp;"","")</f>
        <v/>
      </c>
      <c r="C72" s="75" t="str">
        <f aca="false">IFERROR(IF(INDEX(res_Name,(ROW()-ROW(util_Origin)-1))="","",INDEX(res_MaxUnits,(ROW()-ROW(util_Origin)-1))),"")</f>
        <v/>
      </c>
      <c r="D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5" t="str">
        <f aca="false">IFERROR(INDEX(res_Name,(ROW()-ROW(util_Origin)-1))&amp;"","")</f>
        <v/>
      </c>
      <c r="C73" s="75" t="str">
        <f aca="false">IFERROR(IF(INDEX(res_Name,(ROW()-ROW(util_Origin)-1))="","",INDEX(res_MaxUnits,(ROW()-ROW(util_Origin)-1))),"")</f>
        <v/>
      </c>
      <c r="D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5" t="str">
        <f aca="false">IFERROR(INDEX(res_Name,(ROW()-ROW(util_Origin)-1))&amp;"","")</f>
        <v/>
      </c>
      <c r="C74" s="75" t="str">
        <f aca="false">IFERROR(IF(INDEX(res_Name,(ROW()-ROW(util_Origin)-1))="","",INDEX(res_MaxUnits,(ROW()-ROW(util_Origin)-1))),"")</f>
        <v/>
      </c>
      <c r="D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5" t="str">
        <f aca="false">IFERROR(INDEX(res_Name,(ROW()-ROW(util_Origin)-1))&amp;"","")</f>
        <v/>
      </c>
      <c r="C75" s="75" t="str">
        <f aca="false">IFERROR(IF(INDEX(res_Name,(ROW()-ROW(util_Origin)-1))="","",INDEX(res_MaxUnits,(ROW()-ROW(util_Origin)-1))),"")</f>
        <v/>
      </c>
      <c r="D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5" t="str">
        <f aca="false">IFERROR(INDEX(res_Name,(ROW()-ROW(util_Origin)-1))&amp;"","")</f>
        <v/>
      </c>
      <c r="C76" s="75" t="str">
        <f aca="false">IFERROR(IF(INDEX(res_Name,(ROW()-ROW(util_Origin)-1))="","",INDEX(res_MaxUnits,(ROW()-ROW(util_Origin)-1))),"")</f>
        <v/>
      </c>
      <c r="D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5" t="str">
        <f aca="false">IFERROR(INDEX(res_Name,(ROW()-ROW(util_Origin)-1))&amp;"","")</f>
        <v/>
      </c>
      <c r="C77" s="75" t="str">
        <f aca="false">IFERROR(IF(INDEX(res_Name,(ROW()-ROW(util_Origin)-1))="","",INDEX(res_MaxUnits,(ROW()-ROW(util_Origin)-1))),"")</f>
        <v/>
      </c>
      <c r="D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5" t="str">
        <f aca="false">IFERROR(INDEX(res_Name,(ROW()-ROW(util_Origin)-1))&amp;"","")</f>
        <v/>
      </c>
      <c r="C78" s="75" t="str">
        <f aca="false">IFERROR(IF(INDEX(res_Name,(ROW()-ROW(util_Origin)-1))="","",INDEX(res_MaxUnits,(ROW()-ROW(util_Origin)-1))),"")</f>
        <v/>
      </c>
      <c r="D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5" t="str">
        <f aca="false">IFERROR(INDEX(res_Name,(ROW()-ROW(util_Origin)-1))&amp;"","")</f>
        <v/>
      </c>
      <c r="C79" s="75" t="str">
        <f aca="false">IFERROR(IF(INDEX(res_Name,(ROW()-ROW(util_Origin)-1))="","",INDEX(res_MaxUnits,(ROW()-ROW(util_Origin)-1))),"")</f>
        <v/>
      </c>
      <c r="D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5" t="str">
        <f aca="false">IFERROR(INDEX(res_Name,(ROW()-ROW(util_Origin)-1))&amp;"","")</f>
        <v/>
      </c>
      <c r="C80" s="75" t="str">
        <f aca="false">IFERROR(IF(INDEX(res_Name,(ROW()-ROW(util_Origin)-1))="","",INDEX(res_MaxUnits,(ROW()-ROW(util_Origin)-1))),"")</f>
        <v/>
      </c>
      <c r="D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5" t="str">
        <f aca="false">IFERROR(INDEX(res_Name,(ROW()-ROW(util_Origin)-1))&amp;"","")</f>
        <v/>
      </c>
      <c r="C81" s="75" t="str">
        <f aca="false">IFERROR(IF(INDEX(res_Name,(ROW()-ROW(util_Origin)-1))="","",INDEX(res_MaxUnits,(ROW()-ROW(util_Origin)-1))),"")</f>
        <v/>
      </c>
      <c r="D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5" t="str">
        <f aca="false">IFERROR(INDEX(res_Name,(ROW()-ROW(util_Origin)-1))&amp;"","")</f>
        <v/>
      </c>
      <c r="C82" s="75" t="str">
        <f aca="false">IFERROR(IF(INDEX(res_Name,(ROW()-ROW(util_Origin)-1))="","",INDEX(res_MaxUnits,(ROW()-ROW(util_Origin)-1))),"")</f>
        <v/>
      </c>
      <c r="D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5" t="str">
        <f aca="false">IFERROR(INDEX(res_Name,(ROW()-ROW(util_Origin)-1))&amp;"","")</f>
        <v/>
      </c>
      <c r="C83" s="75" t="str">
        <f aca="false">IFERROR(IF(INDEX(res_Name,(ROW()-ROW(util_Origin)-1))="","",INDEX(res_MaxUnits,(ROW()-ROW(util_Origin)-1))),"")</f>
        <v/>
      </c>
      <c r="D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5" t="str">
        <f aca="false">IFERROR(INDEX(res_Name,(ROW()-ROW(util_Origin)-1))&amp;"","")</f>
        <v/>
      </c>
      <c r="C84" s="75" t="str">
        <f aca="false">IFERROR(IF(INDEX(res_Name,(ROW()-ROW(util_Origin)-1))="","",INDEX(res_MaxUnits,(ROW()-ROW(util_Origin)-1))),"")</f>
        <v/>
      </c>
      <c r="D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5" t="str">
        <f aca="false">IFERROR(INDEX(res_Name,(ROW()-ROW(util_Origin)-1))&amp;"","")</f>
        <v/>
      </c>
      <c r="C85" s="75" t="str">
        <f aca="false">IFERROR(IF(INDEX(res_Name,(ROW()-ROW(util_Origin)-1))="","",INDEX(res_MaxUnits,(ROW()-ROW(util_Origin)-1))),"")</f>
        <v/>
      </c>
      <c r="D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5" t="str">
        <f aca="false">IFERROR(INDEX(res_Name,(ROW()-ROW(util_Origin)-1))&amp;"","")</f>
        <v/>
      </c>
      <c r="C86" s="75" t="str">
        <f aca="false">IFERROR(IF(INDEX(res_Name,(ROW()-ROW(util_Origin)-1))="","",INDEX(res_MaxUnits,(ROW()-ROW(util_Origin)-1))),"")</f>
        <v/>
      </c>
      <c r="D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5" t="str">
        <f aca="false">IFERROR(INDEX(res_Name,(ROW()-ROW(util_Origin)-1))&amp;"","")</f>
        <v/>
      </c>
      <c r="C87" s="75" t="str">
        <f aca="false">IFERROR(IF(INDEX(res_Name,(ROW()-ROW(util_Origin)-1))="","",INDEX(res_MaxUnits,(ROW()-ROW(util_Origin)-1))),"")</f>
        <v/>
      </c>
      <c r="D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5" t="str">
        <f aca="false">IFERROR(INDEX(res_Name,(ROW()-ROW(util_Origin)-1))&amp;"","")</f>
        <v/>
      </c>
      <c r="C88" s="75" t="str">
        <f aca="false">IFERROR(IF(INDEX(res_Name,(ROW()-ROW(util_Origin)-1))="","",INDEX(res_MaxUnits,(ROW()-ROW(util_Origin)-1))),"")</f>
        <v/>
      </c>
      <c r="D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5" t="str">
        <f aca="false">IFERROR(INDEX(res_Name,(ROW()-ROW(util_Origin)-1))&amp;"","")</f>
        <v/>
      </c>
      <c r="C89" s="75" t="str">
        <f aca="false">IFERROR(IF(INDEX(res_Name,(ROW()-ROW(util_Origin)-1))="","",INDEX(res_MaxUnits,(ROW()-ROW(util_Origin)-1))),"")</f>
        <v/>
      </c>
      <c r="D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5" t="str">
        <f aca="false">IFERROR(INDEX(res_Name,(ROW()-ROW(util_Origin)-1))&amp;"","")</f>
        <v/>
      </c>
      <c r="C90" s="75" t="str">
        <f aca="false">IFERROR(IF(INDEX(res_Name,(ROW()-ROW(util_Origin)-1))="","",INDEX(res_MaxUnits,(ROW()-ROW(util_Origin)-1))),"")</f>
        <v/>
      </c>
      <c r="D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78"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82" t="s">
        <v>651</v>
      </c>
    </row>
    <row r="95" customFormat="false" ht="15" hidden="true" customHeight="false" outlineLevel="0" collapsed="false">
      <c r="C95" s="83" t="n">
        <f aca="false">IFERROR(IF(INDEX(res_Name,(ROW()-ROW(spr_LeaveOrigin)))="",0,IFERROR(MATCH(INDEX(res_Name,(ROW()-ROW(spr_LeaveOrigin))),LeaveTable[Resource],0),0)),0)</f>
        <v>0</v>
      </c>
      <c r="D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83" t="n">
        <f aca="false">IFERROR(IF(INDEX(res_Name,(ROW()-ROW(spr_LeaveOrigin)))="",0,IFERROR(MATCH(INDEX(res_Name,(ROW()-ROW(spr_LeaveOrigin))),LeaveTable[Resource],0),0)),0)</f>
        <v>0</v>
      </c>
      <c r="D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83" t="n">
        <f aca="false">IFERROR(IF(INDEX(res_Name,(ROW()-ROW(spr_LeaveOrigin)))="",0,IFERROR(MATCH(INDEX(res_Name,(ROW()-ROW(spr_LeaveOrigin))),LeaveTable[Resource],0),0)),0)</f>
        <v>0</v>
      </c>
      <c r="D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83" t="n">
        <f aca="false">IFERROR(IF(INDEX(res_Name,(ROW()-ROW(spr_LeaveOrigin)))="",0,IFERROR(MATCH(INDEX(res_Name,(ROW()-ROW(spr_LeaveOrigin))),LeaveTable[Resource],0),0)),0)</f>
        <v>0</v>
      </c>
      <c r="D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83" t="n">
        <f aca="false">IFERROR(IF(INDEX(res_Name,(ROW()-ROW(spr_LeaveOrigin)))="",0,IFERROR(MATCH(INDEX(res_Name,(ROW()-ROW(spr_LeaveOrigin))),LeaveTable[Resource],0),0)),0)</f>
        <v>0</v>
      </c>
      <c r="D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83" t="n">
        <f aca="false">IFERROR(IF(INDEX(res_Name,(ROW()-ROW(spr_LeaveOrigin)))="",0,IFERROR(MATCH(INDEX(res_Name,(ROW()-ROW(spr_LeaveOrigin))),LeaveTable[Resource],0),0)),0)</f>
        <v>0</v>
      </c>
      <c r="D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83" t="n">
        <f aca="false">IFERROR(IF(INDEX(res_Name,(ROW()-ROW(spr_LeaveOrigin)))="",0,IFERROR(MATCH(INDEX(res_Name,(ROW()-ROW(spr_LeaveOrigin))),LeaveTable[Resource],0),0)),0)</f>
        <v>0</v>
      </c>
      <c r="D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83" t="n">
        <f aca="false">IFERROR(IF(INDEX(res_Name,(ROW()-ROW(spr_LeaveOrigin)))="",0,IFERROR(MATCH(INDEX(res_Name,(ROW()-ROW(spr_LeaveOrigin))),LeaveTable[Resource],0),0)),0)</f>
        <v>0</v>
      </c>
      <c r="D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83" t="n">
        <f aca="false">IFERROR(IF(INDEX(res_Name,(ROW()-ROW(spr_LeaveOrigin)))="",0,IFERROR(MATCH(INDEX(res_Name,(ROW()-ROW(spr_LeaveOrigin))),LeaveTable[Resource],0),0)),0)</f>
        <v>0</v>
      </c>
      <c r="D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83" t="n">
        <f aca="false">IFERROR(IF(INDEX(res_Name,(ROW()-ROW(spr_LeaveOrigin)))="",0,IFERROR(MATCH(INDEX(res_Name,(ROW()-ROW(spr_LeaveOrigin))),LeaveTable[Resource],0),0)),0)</f>
        <v>0</v>
      </c>
      <c r="D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83" t="n">
        <f aca="false">IFERROR(IF(INDEX(res_Name,(ROW()-ROW(spr_LeaveOrigin)))="",0,IFERROR(MATCH(INDEX(res_Name,(ROW()-ROW(spr_LeaveOrigin))),LeaveTable[Resource],0),0)),0)</f>
        <v>0</v>
      </c>
      <c r="D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83" t="n">
        <f aca="false">IFERROR(IF(INDEX(res_Name,(ROW()-ROW(spr_LeaveOrigin)))="",0,IFERROR(MATCH(INDEX(res_Name,(ROW()-ROW(spr_LeaveOrigin))),LeaveTable[Resource],0),0)),0)</f>
        <v>0</v>
      </c>
      <c r="D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83" t="n">
        <f aca="false">IFERROR(IF(INDEX(res_Name,(ROW()-ROW(spr_LeaveOrigin)))="",0,IFERROR(MATCH(INDEX(res_Name,(ROW()-ROW(spr_LeaveOrigin))),LeaveTable[Resource],0),0)),0)</f>
        <v>0</v>
      </c>
      <c r="D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83" t="n">
        <f aca="false">IFERROR(IF(INDEX(res_Name,(ROW()-ROW(spr_LeaveOrigin)))="",0,IFERROR(MATCH(INDEX(res_Name,(ROW()-ROW(spr_LeaveOrigin))),LeaveTable[Resource],0),0)),0)</f>
        <v>0</v>
      </c>
      <c r="D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83" t="n">
        <f aca="false">IFERROR(IF(INDEX(res_Name,(ROW()-ROW(spr_LeaveOrigin)))="",0,IFERROR(MATCH(INDEX(res_Name,(ROW()-ROW(spr_LeaveOrigin))),LeaveTable[Resource],0),0)),0)</f>
        <v>0</v>
      </c>
      <c r="D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83" t="n">
        <f aca="false">IFERROR(IF(INDEX(res_Name,(ROW()-ROW(spr_LeaveOrigin)))="",0,IFERROR(MATCH(INDEX(res_Name,(ROW()-ROW(spr_LeaveOrigin))),LeaveTable[Resource],0),0)),0)</f>
        <v>0</v>
      </c>
      <c r="D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83" t="n">
        <f aca="false">IFERROR(IF(INDEX(res_Name,(ROW()-ROW(spr_LeaveOrigin)))="",0,IFERROR(MATCH(INDEX(res_Name,(ROW()-ROW(spr_LeaveOrigin))),LeaveTable[Resource],0),0)),0)</f>
        <v>0</v>
      </c>
      <c r="D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83" t="n">
        <f aca="false">IFERROR(IF(INDEX(res_Name,(ROW()-ROW(spr_LeaveOrigin)))="",0,IFERROR(MATCH(INDEX(res_Name,(ROW()-ROW(spr_LeaveOrigin))),LeaveTable[Resource],0),0)),0)</f>
        <v>0</v>
      </c>
      <c r="D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83" t="n">
        <f aca="false">IFERROR(IF(INDEX(res_Name,(ROW()-ROW(spr_LeaveOrigin)))="",0,IFERROR(MATCH(INDEX(res_Name,(ROW()-ROW(spr_LeaveOrigin))),LeaveTable[Resource],0),0)),0)</f>
        <v>0</v>
      </c>
      <c r="D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83" t="n">
        <f aca="false">IFERROR(IF(INDEX(res_Name,(ROW()-ROW(spr_LeaveOrigin)))="",0,IFERROR(MATCH(INDEX(res_Name,(ROW()-ROW(spr_LeaveOrigin))),LeaveTable[Resource],0),0)),0)</f>
        <v>0</v>
      </c>
      <c r="D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83" t="n">
        <f aca="false">IFERROR(IF(INDEX(res_Name,(ROW()-ROW(spr_LeaveOrigin)))="",0,IFERROR(MATCH(INDEX(res_Name,(ROW()-ROW(spr_LeaveOrigin))),LeaveTable[Resource],0),0)),0)</f>
        <v>0</v>
      </c>
      <c r="D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83" t="n">
        <f aca="false">IFERROR(IF(INDEX(res_Name,(ROW()-ROW(spr_LeaveOrigin)))="",0,IFERROR(MATCH(INDEX(res_Name,(ROW()-ROW(spr_LeaveOrigin))),LeaveTable[Resource],0),0)),0)</f>
        <v>0</v>
      </c>
      <c r="D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83" t="n">
        <f aca="false">IFERROR(IF(INDEX(res_Name,(ROW()-ROW(spr_LeaveOrigin)))="",0,IFERROR(MATCH(INDEX(res_Name,(ROW()-ROW(spr_LeaveOrigin))),LeaveTable[Resource],0),0)),0)</f>
        <v>0</v>
      </c>
      <c r="D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83" t="n">
        <f aca="false">IFERROR(IF(INDEX(res_Name,(ROW()-ROW(spr_LeaveOrigin)))="",0,IFERROR(MATCH(INDEX(res_Name,(ROW()-ROW(spr_LeaveOrigin))),LeaveTable[Resource],0),0)),0)</f>
        <v>0</v>
      </c>
      <c r="D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83" t="n">
        <f aca="false">IFERROR(IF(INDEX(res_Name,(ROW()-ROW(spr_LeaveOrigin)))="",0,IFERROR(MATCH(INDEX(res_Name,(ROW()-ROW(spr_LeaveOrigin))),LeaveTable[Resource],0),0)),0)</f>
        <v>0</v>
      </c>
      <c r="D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83"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52">
      <formula>$B6=""</formula>
    </cfRule>
    <cfRule type="expression" priority="3" aboveAverage="0" equalAverage="0" bottom="0" percent="0" rank="0" text="" dxfId="53">
      <formula>$K6="Active"</formula>
    </cfRule>
  </conditionalFormatting>
  <conditionalFormatting sqref="J6:J31">
    <cfRule type="expression" priority="4" aboveAverage="0" equalAverage="0" bottom="0" percent="0" rank="0" text="" dxfId="12">
      <formula>AND(ISNUMBER($J6),$J6&gt;1)</formula>
    </cfRule>
  </conditionalFormatting>
  <conditionalFormatting sqref="M6:M31">
    <cfRule type="expression" priority="5" aboveAverage="0" equalAverage="0" bottom="0" percent="0" rank="0" text="" dxfId="12">
      <formula>AND(N($L6)&gt;0,N($M6)&gt;$L6)</formula>
    </cfRule>
  </conditionalFormatting>
  <conditionalFormatting sqref="D36:AC60">
    <cfRule type="expression" priority="6" aboveAverage="0" equalAverage="0" bottom="0" percent="0" rank="0" text="" dxfId="16">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32" t="s">
        <v>652</v>
      </c>
    </row>
    <row r="2" customFormat="false" ht="15" hidden="false" customHeight="false" outlineLevel="0" collapsed="false">
      <c r="A2" s="2" t="s">
        <v>653</v>
      </c>
    </row>
    <row r="4" customFormat="false" ht="15" hidden="false" customHeight="false" outlineLevel="0" collapsed="false">
      <c r="B4" s="50" t="s">
        <v>318</v>
      </c>
      <c r="C4" s="50" t="s">
        <v>654</v>
      </c>
    </row>
    <row r="5" customFormat="false" ht="15" hidden="false" customHeight="false" outlineLevel="0" collapsed="false">
      <c r="B5" s="7"/>
      <c r="C5" s="53"/>
    </row>
    <row r="6" customFormat="false" ht="15" hidden="false" customHeight="false" outlineLevel="0" collapsed="false">
      <c r="B6" s="7"/>
      <c r="C6" s="53"/>
    </row>
    <row r="7" customFormat="false" ht="15" hidden="false" customHeight="false" outlineLevel="0" collapsed="false">
      <c r="B7" s="7"/>
      <c r="C7" s="53"/>
    </row>
    <row r="8" customFormat="false" ht="15" hidden="false" customHeight="false" outlineLevel="0" collapsed="false">
      <c r="B8" s="7"/>
      <c r="C8" s="53"/>
    </row>
    <row r="9" customFormat="false" ht="15" hidden="false" customHeight="false" outlineLevel="0" collapsed="false">
      <c r="B9" s="7"/>
      <c r="C9" s="53"/>
    </row>
    <row r="10" customFormat="false" ht="15" hidden="false" customHeight="false" outlineLevel="0" collapsed="false">
      <c r="B10" s="7"/>
      <c r="C10" s="53"/>
    </row>
    <row r="11" customFormat="false" ht="15" hidden="false" customHeight="false" outlineLevel="0" collapsed="false">
      <c r="B11" s="7"/>
      <c r="C11" s="53"/>
    </row>
    <row r="12" customFormat="false" ht="15" hidden="false" customHeight="false" outlineLevel="0" collapsed="false">
      <c r="B12" s="7"/>
      <c r="C12" s="53"/>
    </row>
    <row r="13" customFormat="false" ht="15" hidden="false" customHeight="false" outlineLevel="0" collapsed="false">
      <c r="B13" s="7"/>
      <c r="C13" s="53"/>
    </row>
    <row r="14" customFormat="false" ht="15" hidden="false" customHeight="false" outlineLevel="0" collapsed="false">
      <c r="B14" s="7"/>
      <c r="C14" s="53"/>
    </row>
    <row r="15" customFormat="false" ht="15" hidden="false" customHeight="false" outlineLevel="0" collapsed="false">
      <c r="B15" s="7"/>
      <c r="C15" s="53"/>
    </row>
    <row r="16" customFormat="false" ht="15" hidden="false" customHeight="false" outlineLevel="0" collapsed="false">
      <c r="B16" s="7"/>
      <c r="C16" s="53"/>
    </row>
    <row r="17" customFormat="false" ht="15" hidden="false" customHeight="false" outlineLevel="0" collapsed="false">
      <c r="B17" s="7"/>
      <c r="C17" s="53"/>
    </row>
    <row r="18" customFormat="false" ht="15" hidden="false" customHeight="false" outlineLevel="0" collapsed="false">
      <c r="B18" s="7"/>
      <c r="C18" s="53"/>
    </row>
    <row r="19" customFormat="false" ht="15" hidden="false" customHeight="false" outlineLevel="0" collapsed="false">
      <c r="B19" s="7"/>
      <c r="C19" s="53"/>
    </row>
    <row r="20" customFormat="false" ht="15" hidden="false" customHeight="false" outlineLevel="0" collapsed="false">
      <c r="B20" s="7"/>
      <c r="C20" s="53"/>
    </row>
    <row r="21" customFormat="false" ht="15" hidden="false" customHeight="false" outlineLevel="0" collapsed="false">
      <c r="B21" s="7"/>
      <c r="C21" s="53"/>
    </row>
    <row r="22" customFormat="false" ht="15" hidden="false" customHeight="false" outlineLevel="0" collapsed="false">
      <c r="B22" s="7"/>
      <c r="C22" s="53"/>
    </row>
    <row r="23" customFormat="false" ht="15" hidden="false" customHeight="false" outlineLevel="0" collapsed="false">
      <c r="B23" s="7"/>
      <c r="C23" s="53"/>
    </row>
    <row r="24" customFormat="false" ht="15" hidden="false" customHeight="false" outlineLevel="0" collapsed="false">
      <c r="B24" s="7"/>
      <c r="C24" s="53"/>
    </row>
    <row r="25" customFormat="false" ht="15" hidden="false" customHeight="false" outlineLevel="0" collapsed="false">
      <c r="B25" s="7"/>
      <c r="C25" s="53"/>
    </row>
    <row r="26" customFormat="false" ht="15" hidden="false" customHeight="false" outlineLevel="0" collapsed="false">
      <c r="B26" s="7"/>
      <c r="C26" s="53"/>
    </row>
    <row r="27" customFormat="false" ht="15" hidden="false" customHeight="false" outlineLevel="0" collapsed="false">
      <c r="B27" s="7"/>
      <c r="C27" s="53"/>
    </row>
    <row r="28" customFormat="false" ht="15" hidden="false" customHeight="false" outlineLevel="0" collapsed="false">
      <c r="B28" s="7"/>
      <c r="C28" s="53"/>
    </row>
    <row r="29" customFormat="false" ht="15" hidden="false" customHeight="false" outlineLevel="0" collapsed="false">
      <c r="B29" s="7"/>
      <c r="C29" s="53"/>
    </row>
    <row r="30" customFormat="false" ht="15" hidden="false" customHeight="false" outlineLevel="0" collapsed="false">
      <c r="B30" s="7"/>
      <c r="C30" s="53"/>
    </row>
    <row r="31" customFormat="false" ht="15" hidden="false" customHeight="false" outlineLevel="0" collapsed="false">
      <c r="B31" s="7"/>
      <c r="C31" s="53"/>
    </row>
    <row r="32" customFormat="false" ht="15" hidden="false" customHeight="false" outlineLevel="0" collapsed="false">
      <c r="B32" s="7"/>
      <c r="C32" s="53"/>
    </row>
    <row r="33" customFormat="false" ht="15" hidden="false" customHeight="false" outlineLevel="0" collapsed="false">
      <c r="B33" s="7"/>
      <c r="C33" s="53"/>
    </row>
    <row r="34" customFormat="false" ht="15" hidden="false" customHeight="false" outlineLevel="0" collapsed="false">
      <c r="B34" s="7"/>
      <c r="C34" s="53"/>
    </row>
    <row r="35" customFormat="false" ht="15" hidden="false" customHeight="false" outlineLevel="0" collapsed="false">
      <c r="B35" s="7"/>
      <c r="C35" s="53"/>
    </row>
    <row r="36" customFormat="false" ht="15" hidden="false" customHeight="false" outlineLevel="0" collapsed="false">
      <c r="B36" s="7"/>
      <c r="C36" s="53"/>
    </row>
    <row r="37" customFormat="false" ht="15" hidden="false" customHeight="false" outlineLevel="0" collapsed="false">
      <c r="B37" s="7"/>
      <c r="C37" s="53"/>
    </row>
    <row r="38" customFormat="false" ht="15" hidden="false" customHeight="false" outlineLevel="0" collapsed="false">
      <c r="B38" s="7"/>
      <c r="C38" s="53"/>
    </row>
    <row r="39" customFormat="false" ht="15" hidden="false" customHeight="false" outlineLevel="0" collapsed="false">
      <c r="B39" s="7"/>
      <c r="C39" s="53"/>
    </row>
    <row r="40" customFormat="false" ht="15" hidden="false" customHeight="false" outlineLevel="0" collapsed="false">
      <c r="B40" s="7"/>
      <c r="C40" s="53"/>
    </row>
    <row r="41" customFormat="false" ht="15" hidden="false" customHeight="false" outlineLevel="0" collapsed="false">
      <c r="B41" s="7"/>
      <c r="C41" s="53"/>
    </row>
    <row r="42" customFormat="false" ht="15" hidden="false" customHeight="false" outlineLevel="0" collapsed="false">
      <c r="B42" s="7"/>
      <c r="C42" s="53"/>
    </row>
    <row r="43" customFormat="false" ht="15" hidden="false" customHeight="false" outlineLevel="0" collapsed="false">
      <c r="B43" s="7"/>
      <c r="C43" s="53"/>
    </row>
    <row r="44" customFormat="false" ht="15" hidden="false" customHeight="false" outlineLevel="0" collapsed="false">
      <c r="B44" s="7"/>
      <c r="C44" s="53"/>
    </row>
    <row r="45" customFormat="false" ht="15" hidden="false" customHeight="false" outlineLevel="0" collapsed="false">
      <c r="B45" s="7"/>
      <c r="C45" s="53"/>
    </row>
    <row r="46" customFormat="false" ht="15" hidden="false" customHeight="false" outlineLevel="0" collapsed="false">
      <c r="B46" s="7"/>
      <c r="C46" s="53"/>
    </row>
    <row r="47" customFormat="false" ht="15" hidden="false" customHeight="false" outlineLevel="0" collapsed="false">
      <c r="B47" s="7"/>
      <c r="C47" s="53"/>
    </row>
    <row r="48" customFormat="false" ht="15" hidden="false" customHeight="false" outlineLevel="0" collapsed="false">
      <c r="B48" s="7"/>
      <c r="C48" s="53"/>
    </row>
    <row r="49" customFormat="false" ht="15" hidden="false" customHeight="false" outlineLevel="0" collapsed="false">
      <c r="B49" s="7"/>
      <c r="C49" s="53"/>
    </row>
    <row r="50" customFormat="false" ht="15" hidden="false" customHeight="false" outlineLevel="0" collapsed="false">
      <c r="B50" s="7"/>
      <c r="C50" s="53"/>
    </row>
    <row r="51" customFormat="false" ht="15" hidden="false" customHeight="false" outlineLevel="0" collapsed="false">
      <c r="B51" s="7"/>
      <c r="C51" s="53"/>
    </row>
    <row r="52" customFormat="false" ht="15" hidden="false" customHeight="false" outlineLevel="0" collapsed="false">
      <c r="B52" s="7"/>
      <c r="C52" s="53"/>
    </row>
    <row r="53" customFormat="false" ht="15" hidden="false" customHeight="false" outlineLevel="0" collapsed="false">
      <c r="B53" s="7"/>
      <c r="C53" s="53"/>
    </row>
    <row r="54" customFormat="false" ht="15" hidden="false" customHeight="false" outlineLevel="0" collapsed="false">
      <c r="B54" s="7"/>
      <c r="C54" s="53"/>
    </row>
    <row r="55" customFormat="false" ht="15" hidden="false" customHeight="false" outlineLevel="0" collapsed="false">
      <c r="B55" s="7"/>
      <c r="C55" s="53"/>
    </row>
    <row r="56" customFormat="false" ht="15" hidden="false" customHeight="false" outlineLevel="0" collapsed="false">
      <c r="B56" s="7"/>
      <c r="C56" s="53"/>
    </row>
    <row r="57" customFormat="false" ht="15" hidden="false" customHeight="false" outlineLevel="0" collapsed="false">
      <c r="B57" s="7"/>
      <c r="C57" s="53"/>
    </row>
    <row r="58" customFormat="false" ht="15" hidden="false" customHeight="false" outlineLevel="0" collapsed="false">
      <c r="B58" s="7"/>
      <c r="C58" s="53"/>
    </row>
    <row r="59" customFormat="false" ht="15" hidden="false" customHeight="false" outlineLevel="0" collapsed="false">
      <c r="B59" s="7"/>
      <c r="C59" s="53"/>
    </row>
    <row r="60" customFormat="false" ht="15" hidden="false" customHeight="false" outlineLevel="0" collapsed="false">
      <c r="B60" s="7"/>
      <c r="C60" s="53"/>
    </row>
    <row r="61" customFormat="false" ht="15" hidden="false" customHeight="false" outlineLevel="0" collapsed="false">
      <c r="B61" s="7"/>
      <c r="C61" s="53"/>
    </row>
    <row r="62" customFormat="false" ht="15" hidden="false" customHeight="false" outlineLevel="0" collapsed="false">
      <c r="B62" s="7"/>
      <c r="C62" s="53"/>
    </row>
    <row r="63" customFormat="false" ht="15" hidden="false" customHeight="false" outlineLevel="0" collapsed="false">
      <c r="B63" s="7"/>
      <c r="C63" s="53"/>
    </row>
    <row r="64" customFormat="false" ht="15" hidden="false" customHeight="false" outlineLevel="0" collapsed="false">
      <c r="B64" s="7"/>
      <c r="C64" s="53"/>
    </row>
    <row r="65" customFormat="false" ht="15" hidden="false" customHeight="false" outlineLevel="0" collapsed="false">
      <c r="B65" s="7"/>
      <c r="C65" s="53"/>
    </row>
    <row r="66" customFormat="false" ht="15" hidden="false" customHeight="false" outlineLevel="0" collapsed="false">
      <c r="B66" s="7"/>
      <c r="C66" s="53"/>
    </row>
    <row r="67" customFormat="false" ht="15" hidden="false" customHeight="false" outlineLevel="0" collapsed="false">
      <c r="B67" s="7"/>
      <c r="C67" s="53"/>
    </row>
    <row r="68" customFormat="false" ht="15" hidden="false" customHeight="false" outlineLevel="0" collapsed="false">
      <c r="B68" s="7"/>
      <c r="C68" s="53"/>
    </row>
    <row r="69" customFormat="false" ht="15" hidden="false" customHeight="false" outlineLevel="0" collapsed="false">
      <c r="B69" s="7"/>
      <c r="C69" s="53"/>
    </row>
    <row r="70" customFormat="false" ht="15" hidden="false" customHeight="false" outlineLevel="0" collapsed="false">
      <c r="B70" s="7"/>
      <c r="C70" s="53"/>
    </row>
    <row r="71" customFormat="false" ht="15" hidden="false" customHeight="false" outlineLevel="0" collapsed="false">
      <c r="B71" s="7"/>
      <c r="C71" s="53"/>
    </row>
    <row r="72" customFormat="false" ht="15" hidden="false" customHeight="false" outlineLevel="0" collapsed="false">
      <c r="B72" s="7"/>
      <c r="C72" s="53"/>
    </row>
    <row r="73" customFormat="false" ht="15" hidden="false" customHeight="false" outlineLevel="0" collapsed="false">
      <c r="B73" s="7"/>
      <c r="C73" s="53"/>
    </row>
    <row r="74" customFormat="false" ht="15" hidden="false" customHeight="false" outlineLevel="0" collapsed="false">
      <c r="B74" s="7"/>
      <c r="C74" s="53"/>
    </row>
    <row r="75" customFormat="false" ht="15" hidden="false" customHeight="false" outlineLevel="0" collapsed="false">
      <c r="B75" s="7"/>
      <c r="C75" s="53"/>
    </row>
    <row r="76" customFormat="false" ht="15" hidden="false" customHeight="false" outlineLevel="0" collapsed="false">
      <c r="B76" s="7"/>
      <c r="C76" s="53"/>
    </row>
    <row r="77" customFormat="false" ht="15" hidden="false" customHeight="false" outlineLevel="0" collapsed="false">
      <c r="B77" s="7"/>
      <c r="C77" s="53"/>
    </row>
    <row r="78" customFormat="false" ht="15" hidden="false" customHeight="false" outlineLevel="0" collapsed="false">
      <c r="B78" s="7"/>
      <c r="C78" s="53"/>
    </row>
    <row r="79" customFormat="false" ht="15" hidden="false" customHeight="false" outlineLevel="0" collapsed="false">
      <c r="B79" s="7"/>
      <c r="C79" s="53"/>
    </row>
    <row r="80" customFormat="false" ht="15" hidden="false" customHeight="false" outlineLevel="0" collapsed="false">
      <c r="B80" s="7"/>
      <c r="C80" s="53"/>
    </row>
    <row r="81" customFormat="false" ht="15" hidden="false" customHeight="false" outlineLevel="0" collapsed="false">
      <c r="B81" s="7"/>
      <c r="C81" s="53"/>
    </row>
    <row r="82" customFormat="false" ht="15" hidden="false" customHeight="false" outlineLevel="0" collapsed="false">
      <c r="B82" s="7"/>
      <c r="C82" s="53"/>
    </row>
    <row r="83" customFormat="false" ht="15" hidden="false" customHeight="false" outlineLevel="0" collapsed="false">
      <c r="B83" s="7"/>
      <c r="C83" s="53"/>
    </row>
    <row r="84" customFormat="false" ht="15" hidden="false" customHeight="false" outlineLevel="0" collapsed="false">
      <c r="B84" s="7"/>
      <c r="C84" s="53"/>
    </row>
    <row r="85" customFormat="false" ht="15" hidden="false" customHeight="false" outlineLevel="0" collapsed="false">
      <c r="B85" s="7"/>
      <c r="C85" s="53"/>
    </row>
    <row r="86" customFormat="false" ht="15" hidden="false" customHeight="false" outlineLevel="0" collapsed="false">
      <c r="B86" s="7"/>
      <c r="C86" s="53"/>
    </row>
    <row r="87" customFormat="false" ht="15" hidden="false" customHeight="false" outlineLevel="0" collapsed="false">
      <c r="B87" s="7"/>
      <c r="C87" s="53"/>
    </row>
    <row r="88" customFormat="false" ht="15" hidden="false" customHeight="false" outlineLevel="0" collapsed="false">
      <c r="B88" s="7"/>
      <c r="C88" s="53"/>
    </row>
    <row r="89" customFormat="false" ht="15" hidden="false" customHeight="false" outlineLevel="0" collapsed="false">
      <c r="B89" s="7"/>
      <c r="C89" s="53"/>
    </row>
    <row r="90" customFormat="false" ht="15" hidden="false" customHeight="false" outlineLevel="0" collapsed="false">
      <c r="B90" s="7"/>
      <c r="C90" s="53"/>
    </row>
    <row r="91" customFormat="false" ht="15" hidden="false" customHeight="false" outlineLevel="0" collapsed="false">
      <c r="B91" s="7"/>
      <c r="C91" s="53"/>
    </row>
    <row r="92" customFormat="false" ht="15" hidden="false" customHeight="false" outlineLevel="0" collapsed="false">
      <c r="B92" s="7"/>
      <c r="C92" s="53"/>
    </row>
    <row r="93" customFormat="false" ht="15" hidden="false" customHeight="false" outlineLevel="0" collapsed="false">
      <c r="B93" s="7"/>
      <c r="C93" s="53"/>
    </row>
    <row r="94" customFormat="false" ht="15" hidden="false" customHeight="false" outlineLevel="0" collapsed="false">
      <c r="B94" s="7"/>
      <c r="C94" s="53"/>
    </row>
    <row r="95" customFormat="false" ht="15" hidden="false" customHeight="false" outlineLevel="0" collapsed="false">
      <c r="B95" s="7"/>
      <c r="C95" s="53"/>
    </row>
    <row r="96" customFormat="false" ht="15" hidden="false" customHeight="false" outlineLevel="0" collapsed="false">
      <c r="B96" s="7"/>
      <c r="C96" s="53"/>
    </row>
    <row r="97" customFormat="false" ht="15" hidden="false" customHeight="false" outlineLevel="0" collapsed="false">
      <c r="B97" s="7"/>
      <c r="C97" s="53"/>
    </row>
    <row r="98" customFormat="false" ht="15" hidden="false" customHeight="false" outlineLevel="0" collapsed="false">
      <c r="B98" s="7"/>
      <c r="C98" s="53"/>
    </row>
    <row r="99" customFormat="false" ht="15" hidden="false" customHeight="false" outlineLevel="0" collapsed="false">
      <c r="B99" s="7"/>
      <c r="C99" s="53"/>
    </row>
    <row r="100" customFormat="false" ht="15" hidden="false" customHeight="false" outlineLevel="0" collapsed="false">
      <c r="B100" s="7"/>
      <c r="C100" s="53"/>
    </row>
    <row r="101" customFormat="false" ht="15" hidden="false" customHeight="false" outlineLevel="0" collapsed="false">
      <c r="B101" s="7"/>
      <c r="C101" s="53"/>
    </row>
    <row r="102" customFormat="false" ht="15" hidden="false" customHeight="false" outlineLevel="0" collapsed="false">
      <c r="B102" s="7"/>
      <c r="C102" s="53"/>
    </row>
    <row r="103" customFormat="false" ht="15" hidden="false" customHeight="false" outlineLevel="0" collapsed="false">
      <c r="B103" s="7"/>
      <c r="C103" s="53"/>
    </row>
    <row r="104" customFormat="false" ht="15" hidden="false" customHeight="false" outlineLevel="0" collapsed="false">
      <c r="B104" s="7"/>
      <c r="C104" s="5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32" t="s">
        <v>64</v>
      </c>
    </row>
    <row r="2" customFormat="false" ht="15" hidden="false" customHeight="false" outlineLevel="0" collapsed="false">
      <c r="A2" s="2" t="s">
        <v>655</v>
      </c>
    </row>
    <row r="4" customFormat="false" ht="15" hidden="false" customHeight="false" outlineLevel="0" collapsed="false">
      <c r="B4" s="50" t="s">
        <v>255</v>
      </c>
      <c r="C4" s="50" t="s">
        <v>656</v>
      </c>
      <c r="D4" s="50" t="s">
        <v>657</v>
      </c>
      <c r="E4" s="50" t="s">
        <v>658</v>
      </c>
      <c r="F4" s="50" t="s">
        <v>659</v>
      </c>
      <c r="G4" s="50" t="s">
        <v>660</v>
      </c>
      <c r="H4" s="50" t="s">
        <v>661</v>
      </c>
      <c r="I4" s="50" t="s">
        <v>662</v>
      </c>
      <c r="J4" s="50" t="s">
        <v>663</v>
      </c>
      <c r="K4" s="50" t="s">
        <v>664</v>
      </c>
      <c r="L4" s="50" t="s">
        <v>665</v>
      </c>
      <c r="M4" s="50" t="s">
        <v>666</v>
      </c>
      <c r="N4" s="50" t="s">
        <v>667</v>
      </c>
      <c r="O4" s="50" t="s">
        <v>668</v>
      </c>
      <c r="P4" s="50" t="s">
        <v>669</v>
      </c>
      <c r="Q4" s="50" t="s">
        <v>670</v>
      </c>
      <c r="R4" s="50" t="s">
        <v>671</v>
      </c>
      <c r="S4" s="50" t="s">
        <v>672</v>
      </c>
      <c r="T4" s="50" t="s">
        <v>673</v>
      </c>
      <c r="U4" s="50" t="s">
        <v>674</v>
      </c>
      <c r="V4" s="50" t="s">
        <v>675</v>
      </c>
      <c r="W4" s="50" t="s">
        <v>676</v>
      </c>
      <c r="X4" s="50" t="s">
        <v>677</v>
      </c>
      <c r="Y4" s="50" t="s">
        <v>678</v>
      </c>
      <c r="Z4" s="50" t="s">
        <v>679</v>
      </c>
      <c r="AA4" s="50" t="s">
        <v>680</v>
      </c>
      <c r="AB4" s="50" t="s">
        <v>681</v>
      </c>
      <c r="AC4" s="50" t="s">
        <v>682</v>
      </c>
      <c r="AD4" s="50" t="s">
        <v>683</v>
      </c>
      <c r="AE4" s="50" t="s">
        <v>684</v>
      </c>
      <c r="AF4" s="50" t="s">
        <v>685</v>
      </c>
      <c r="AG4" s="50" t="s">
        <v>686</v>
      </c>
      <c r="AH4" s="50" t="s">
        <v>687</v>
      </c>
      <c r="AI4" s="50" t="s">
        <v>688</v>
      </c>
      <c r="AJ4" s="50" t="s">
        <v>689</v>
      </c>
      <c r="AK4" s="50" t="s">
        <v>690</v>
      </c>
      <c r="AL4" s="50" t="s">
        <v>691</v>
      </c>
    </row>
    <row r="5" customFormat="false" ht="15" hidden="false" customHeight="false" outlineLevel="0" collapsed="false">
      <c r="B5" s="53"/>
      <c r="C5" s="53"/>
      <c r="D5" s="53"/>
      <c r="E5" s="53"/>
      <c r="F5" s="53"/>
      <c r="G5" s="53"/>
      <c r="H5" s="53"/>
      <c r="I5" s="53"/>
      <c r="J5" s="53"/>
      <c r="K5" s="53"/>
      <c r="L5" s="53"/>
      <c r="M5" s="53"/>
      <c r="N5" s="53"/>
      <c r="O5" s="53"/>
      <c r="P5" s="53"/>
      <c r="Q5" s="53"/>
      <c r="R5" s="53"/>
      <c r="S5" s="53"/>
      <c r="T5" s="53"/>
      <c r="U5" s="53"/>
      <c r="V5" s="53"/>
      <c r="W5" s="53"/>
      <c r="X5" s="53"/>
      <c r="Y5" s="53"/>
      <c r="Z5" s="53"/>
      <c r="AA5" s="53"/>
      <c r="AB5" s="53"/>
      <c r="AC5" s="53"/>
      <c r="AD5" s="53"/>
      <c r="AE5" s="53"/>
      <c r="AF5" s="53"/>
      <c r="AG5" s="53"/>
      <c r="AH5" s="53"/>
      <c r="AI5" s="53"/>
      <c r="AJ5" s="53"/>
      <c r="AK5" s="53"/>
      <c r="AL5" s="53"/>
    </row>
    <row r="6" customFormat="false" ht="15" hidden="false" customHeight="false" outlineLevel="0" collapsed="false">
      <c r="B6" s="53"/>
      <c r="C6" s="53"/>
      <c r="D6" s="53"/>
      <c r="E6" s="53"/>
      <c r="F6" s="53"/>
      <c r="G6" s="53"/>
      <c r="H6" s="53"/>
      <c r="I6" s="53"/>
      <c r="J6" s="53"/>
      <c r="K6" s="53"/>
      <c r="L6" s="53"/>
      <c r="M6" s="53"/>
      <c r="N6" s="53"/>
      <c r="O6" s="53"/>
      <c r="P6" s="53"/>
      <c r="Q6" s="53"/>
      <c r="R6" s="53"/>
      <c r="S6" s="53"/>
      <c r="T6" s="53"/>
      <c r="U6" s="53"/>
      <c r="V6" s="53"/>
      <c r="W6" s="53"/>
      <c r="X6" s="53"/>
      <c r="Y6" s="53"/>
      <c r="Z6" s="53"/>
      <c r="AA6" s="53"/>
      <c r="AB6" s="53"/>
      <c r="AC6" s="53"/>
      <c r="AD6" s="53"/>
      <c r="AE6" s="53"/>
      <c r="AF6" s="53"/>
      <c r="AG6" s="53"/>
      <c r="AH6" s="53"/>
      <c r="AI6" s="53"/>
      <c r="AJ6" s="53"/>
      <c r="AK6" s="53"/>
      <c r="AL6" s="53"/>
    </row>
    <row r="7" customFormat="false" ht="15" hidden="false" customHeight="false" outlineLevel="0" collapsed="false">
      <c r="B7" s="53"/>
      <c r="C7" s="53"/>
      <c r="D7" s="53"/>
      <c r="E7" s="53"/>
      <c r="F7" s="53"/>
      <c r="G7" s="53"/>
      <c r="H7" s="53"/>
      <c r="I7" s="53"/>
      <c r="J7" s="53"/>
      <c r="K7" s="53"/>
      <c r="L7" s="53"/>
      <c r="M7" s="53"/>
      <c r="N7" s="53"/>
      <c r="O7" s="53"/>
      <c r="P7" s="53"/>
      <c r="Q7" s="53"/>
      <c r="R7" s="53"/>
      <c r="S7" s="53"/>
      <c r="T7" s="53"/>
      <c r="U7" s="53"/>
      <c r="V7" s="53"/>
      <c r="W7" s="53"/>
      <c r="X7" s="53"/>
      <c r="Y7" s="53"/>
      <c r="Z7" s="53"/>
      <c r="AA7" s="53"/>
      <c r="AB7" s="53"/>
      <c r="AC7" s="53"/>
      <c r="AD7" s="53"/>
      <c r="AE7" s="53"/>
      <c r="AF7" s="53"/>
      <c r="AG7" s="53"/>
      <c r="AH7" s="53"/>
      <c r="AI7" s="53"/>
      <c r="AJ7" s="53"/>
      <c r="AK7" s="53"/>
      <c r="AL7" s="53"/>
    </row>
    <row r="8" customFormat="false" ht="15" hidden="false" customHeight="false" outlineLevel="0" collapsed="false">
      <c r="B8" s="53"/>
      <c r="C8" s="53"/>
      <c r="D8" s="53"/>
      <c r="E8" s="53"/>
      <c r="F8" s="53"/>
      <c r="G8" s="53"/>
      <c r="H8" s="53"/>
      <c r="I8" s="53"/>
      <c r="J8" s="53"/>
      <c r="K8" s="53"/>
      <c r="L8" s="53"/>
      <c r="M8" s="53"/>
      <c r="N8" s="53"/>
      <c r="O8" s="53"/>
      <c r="P8" s="53"/>
      <c r="Q8" s="53"/>
      <c r="R8" s="53"/>
      <c r="S8" s="53"/>
      <c r="T8" s="53"/>
      <c r="U8" s="53"/>
      <c r="V8" s="53"/>
      <c r="W8" s="53"/>
      <c r="X8" s="53"/>
      <c r="Y8" s="53"/>
      <c r="Z8" s="53"/>
      <c r="AA8" s="53"/>
      <c r="AB8" s="53"/>
      <c r="AC8" s="53"/>
      <c r="AD8" s="53"/>
      <c r="AE8" s="53"/>
      <c r="AF8" s="53"/>
      <c r="AG8" s="53"/>
      <c r="AH8" s="53"/>
      <c r="AI8" s="53"/>
      <c r="AJ8" s="53"/>
      <c r="AK8" s="53"/>
      <c r="AL8" s="53"/>
    </row>
    <row r="9" customFormat="false" ht="15" hidden="false" customHeight="false" outlineLevel="0" collapsed="false">
      <c r="B9" s="53"/>
      <c r="C9" s="53"/>
      <c r="D9" s="53"/>
      <c r="E9" s="53"/>
      <c r="F9" s="53"/>
      <c r="G9" s="53"/>
      <c r="H9" s="53"/>
      <c r="I9" s="53"/>
      <c r="J9" s="53"/>
      <c r="K9" s="53"/>
      <c r="L9" s="53"/>
      <c r="M9" s="53"/>
      <c r="N9" s="53"/>
      <c r="O9" s="53"/>
      <c r="P9" s="53"/>
      <c r="Q9" s="53"/>
      <c r="R9" s="53"/>
      <c r="S9" s="53"/>
      <c r="T9" s="53"/>
      <c r="U9" s="53"/>
      <c r="V9" s="53"/>
      <c r="W9" s="53"/>
      <c r="X9" s="53"/>
      <c r="Y9" s="53"/>
      <c r="Z9" s="53"/>
      <c r="AA9" s="53"/>
      <c r="AB9" s="53"/>
      <c r="AC9" s="53"/>
      <c r="AD9" s="53"/>
      <c r="AE9" s="53"/>
      <c r="AF9" s="53"/>
      <c r="AG9" s="53"/>
      <c r="AH9" s="53"/>
      <c r="AI9" s="53"/>
      <c r="AJ9" s="53"/>
      <c r="AK9" s="53"/>
      <c r="AL9" s="53"/>
    </row>
    <row r="10" customFormat="false" ht="15" hidden="false" customHeight="false" outlineLevel="0" collapsed="false">
      <c r="B10" s="53"/>
      <c r="C10" s="53"/>
      <c r="D10" s="53"/>
      <c r="E10" s="53"/>
      <c r="F10" s="53"/>
      <c r="G10" s="53"/>
      <c r="H10" s="53"/>
      <c r="I10" s="53"/>
      <c r="J10" s="53"/>
      <c r="K10" s="53"/>
      <c r="L10" s="53"/>
      <c r="M10" s="53"/>
      <c r="N10" s="53"/>
      <c r="O10" s="53"/>
      <c r="P10" s="53"/>
      <c r="Q10" s="53"/>
      <c r="R10" s="53"/>
      <c r="S10" s="53"/>
      <c r="T10" s="53"/>
      <c r="U10" s="53"/>
      <c r="V10" s="53"/>
      <c r="W10" s="53"/>
      <c r="X10" s="53"/>
      <c r="Y10" s="53"/>
      <c r="Z10" s="53"/>
      <c r="AA10" s="53"/>
      <c r="AB10" s="53"/>
      <c r="AC10" s="53"/>
      <c r="AD10" s="53"/>
      <c r="AE10" s="53"/>
      <c r="AF10" s="53"/>
      <c r="AG10" s="53"/>
      <c r="AH10" s="53"/>
      <c r="AI10" s="53"/>
      <c r="AJ10" s="53"/>
      <c r="AK10" s="53"/>
      <c r="AL10" s="53"/>
    </row>
    <row r="11" customFormat="false" ht="15" hidden="false" customHeight="false" outlineLevel="0" collapsed="false">
      <c r="B11" s="53"/>
      <c r="C11" s="53"/>
      <c r="D11" s="53"/>
      <c r="E11" s="53"/>
      <c r="F11" s="53"/>
      <c r="G11" s="53"/>
      <c r="H11" s="53"/>
      <c r="I11" s="53"/>
      <c r="J11" s="53"/>
      <c r="K11" s="53"/>
      <c r="L11" s="53"/>
      <c r="M11" s="53"/>
      <c r="N11" s="53"/>
      <c r="O11" s="53"/>
      <c r="P11" s="53"/>
      <c r="Q11" s="53"/>
      <c r="R11" s="53"/>
      <c r="S11" s="53"/>
      <c r="T11" s="53"/>
      <c r="U11" s="53"/>
      <c r="V11" s="53"/>
      <c r="W11" s="53"/>
      <c r="X11" s="53"/>
      <c r="Y11" s="53"/>
      <c r="Z11" s="53"/>
      <c r="AA11" s="53"/>
      <c r="AB11" s="53"/>
      <c r="AC11" s="53"/>
      <c r="AD11" s="53"/>
      <c r="AE11" s="53"/>
      <c r="AF11" s="53"/>
      <c r="AG11" s="53"/>
      <c r="AH11" s="53"/>
      <c r="AI11" s="53"/>
      <c r="AJ11" s="53"/>
      <c r="AK11" s="53"/>
      <c r="AL11" s="53"/>
    </row>
    <row r="12" customFormat="false" ht="15" hidden="false" customHeight="false" outlineLevel="0" collapsed="false">
      <c r="B12" s="53"/>
      <c r="C12" s="53"/>
      <c r="D12" s="53"/>
      <c r="E12" s="53"/>
      <c r="F12" s="53"/>
      <c r="G12" s="53"/>
      <c r="H12" s="53"/>
      <c r="I12" s="53"/>
      <c r="J12" s="53"/>
      <c r="K12" s="53"/>
      <c r="L12" s="53"/>
      <c r="M12" s="53"/>
      <c r="N12" s="53"/>
      <c r="O12" s="53"/>
      <c r="P12" s="53"/>
      <c r="Q12" s="53"/>
      <c r="R12" s="53"/>
      <c r="S12" s="53"/>
      <c r="T12" s="53"/>
      <c r="U12" s="53"/>
      <c r="V12" s="53"/>
      <c r="W12" s="53"/>
      <c r="X12" s="53"/>
      <c r="Y12" s="53"/>
      <c r="Z12" s="53"/>
      <c r="AA12" s="53"/>
      <c r="AB12" s="53"/>
      <c r="AC12" s="53"/>
      <c r="AD12" s="53"/>
      <c r="AE12" s="53"/>
      <c r="AF12" s="53"/>
      <c r="AG12" s="53"/>
      <c r="AH12" s="53"/>
      <c r="AI12" s="53"/>
      <c r="AJ12" s="53"/>
      <c r="AK12" s="53"/>
      <c r="AL12" s="53"/>
    </row>
    <row r="13" customFormat="false" ht="15" hidden="false" customHeight="false" outlineLevel="0" collapsed="false">
      <c r="B13" s="53"/>
      <c r="C13" s="53"/>
      <c r="D13" s="53"/>
      <c r="E13" s="53"/>
      <c r="F13" s="53"/>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c r="AF13" s="53"/>
      <c r="AG13" s="53"/>
      <c r="AH13" s="53"/>
      <c r="AI13" s="53"/>
      <c r="AJ13" s="53"/>
      <c r="AK13" s="53"/>
      <c r="AL13" s="53"/>
    </row>
    <row r="14" customFormat="false" ht="15" hidden="false" customHeight="false" outlineLevel="0" collapsed="false">
      <c r="B14" s="53"/>
      <c r="C14" s="53"/>
      <c r="D14" s="53"/>
      <c r="E14" s="53"/>
      <c r="F14" s="53"/>
      <c r="G14" s="53"/>
      <c r="H14" s="53"/>
      <c r="I14" s="53"/>
      <c r="J14" s="53"/>
      <c r="K14" s="53"/>
      <c r="L14" s="53"/>
      <c r="M14" s="53"/>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row>
    <row r="15" customFormat="false" ht="15" hidden="false" customHeight="false" outlineLevel="0" collapsed="false">
      <c r="B15" s="53"/>
      <c r="C15" s="53"/>
      <c r="D15" s="53"/>
      <c r="E15" s="53"/>
      <c r="F15" s="53"/>
      <c r="G15" s="53"/>
      <c r="H15" s="53"/>
      <c r="I15" s="53"/>
      <c r="J15" s="53"/>
      <c r="K15" s="53"/>
      <c r="L15" s="53"/>
      <c r="M15" s="53"/>
      <c r="N15" s="53"/>
      <c r="O15" s="53"/>
      <c r="P15" s="53"/>
      <c r="Q15" s="53"/>
      <c r="R15" s="53"/>
      <c r="S15" s="53"/>
      <c r="T15" s="53"/>
      <c r="U15" s="53"/>
      <c r="V15" s="53"/>
      <c r="W15" s="53"/>
      <c r="X15" s="53"/>
      <c r="Y15" s="53"/>
      <c r="Z15" s="53"/>
      <c r="AA15" s="53"/>
      <c r="AB15" s="53"/>
      <c r="AC15" s="53"/>
      <c r="AD15" s="53"/>
      <c r="AE15" s="53"/>
      <c r="AF15" s="53"/>
      <c r="AG15" s="53"/>
      <c r="AH15" s="53"/>
      <c r="AI15" s="53"/>
      <c r="AJ15" s="53"/>
      <c r="AK15" s="53"/>
      <c r="AL15" s="53"/>
    </row>
    <row r="16" customFormat="false" ht="15" hidden="false" customHeight="false" outlineLevel="0" collapsed="false">
      <c r="B16" s="53"/>
      <c r="C16" s="53"/>
      <c r="D16" s="53"/>
      <c r="E16" s="53"/>
      <c r="F16" s="53"/>
      <c r="G16" s="53"/>
      <c r="H16" s="53"/>
      <c r="I16" s="53"/>
      <c r="J16" s="53"/>
      <c r="K16" s="53"/>
      <c r="L16" s="53"/>
      <c r="M16" s="53"/>
      <c r="N16" s="53"/>
      <c r="O16" s="53"/>
      <c r="P16" s="53"/>
      <c r="Q16" s="53"/>
      <c r="R16" s="53"/>
      <c r="S16" s="53"/>
      <c r="T16" s="53"/>
      <c r="U16" s="53"/>
      <c r="V16" s="53"/>
      <c r="W16" s="53"/>
      <c r="X16" s="53"/>
      <c r="Y16" s="53"/>
      <c r="Z16" s="53"/>
      <c r="AA16" s="53"/>
      <c r="AB16" s="53"/>
      <c r="AC16" s="53"/>
      <c r="AD16" s="53"/>
      <c r="AE16" s="53"/>
      <c r="AF16" s="53"/>
      <c r="AG16" s="53"/>
      <c r="AH16" s="53"/>
      <c r="AI16" s="53"/>
      <c r="AJ16" s="53"/>
      <c r="AK16" s="53"/>
      <c r="AL16" s="53"/>
    </row>
    <row r="17" customFormat="false" ht="15" hidden="false" customHeight="false" outlineLevel="0" collapsed="false">
      <c r="B17" s="53"/>
      <c r="C17" s="53"/>
      <c r="D17" s="53"/>
      <c r="E17" s="53"/>
      <c r="F17" s="53"/>
      <c r="G17" s="53"/>
      <c r="H17" s="53"/>
      <c r="I17" s="53"/>
      <c r="J17" s="53"/>
      <c r="K17" s="53"/>
      <c r="L17" s="53"/>
      <c r="M17" s="53"/>
      <c r="N17" s="53"/>
      <c r="O17" s="53"/>
      <c r="P17" s="53"/>
      <c r="Q17" s="53"/>
      <c r="R17" s="53"/>
      <c r="S17" s="53"/>
      <c r="T17" s="53"/>
      <c r="U17" s="53"/>
      <c r="V17" s="53"/>
      <c r="W17" s="53"/>
      <c r="X17" s="53"/>
      <c r="Y17" s="53"/>
      <c r="Z17" s="53"/>
      <c r="AA17" s="53"/>
      <c r="AB17" s="53"/>
      <c r="AC17" s="53"/>
      <c r="AD17" s="53"/>
      <c r="AE17" s="53"/>
      <c r="AF17" s="53"/>
      <c r="AG17" s="53"/>
      <c r="AH17" s="53"/>
      <c r="AI17" s="53"/>
      <c r="AJ17" s="53"/>
      <c r="AK17" s="53"/>
      <c r="AL17" s="53"/>
    </row>
    <row r="18" customFormat="false" ht="15" hidden="false" customHeight="false" outlineLevel="0" collapsed="false">
      <c r="B18" s="53"/>
      <c r="C18" s="53"/>
      <c r="D18" s="53"/>
      <c r="E18" s="53"/>
      <c r="F18" s="53"/>
      <c r="G18" s="53"/>
      <c r="H18" s="53"/>
      <c r="I18" s="53"/>
      <c r="J18" s="53"/>
      <c r="K18" s="53"/>
      <c r="L18" s="53"/>
      <c r="M18" s="53"/>
      <c r="N18" s="53"/>
      <c r="O18" s="53"/>
      <c r="P18" s="53"/>
      <c r="Q18" s="53"/>
      <c r="R18" s="53"/>
      <c r="S18" s="53"/>
      <c r="T18" s="53"/>
      <c r="U18" s="53"/>
      <c r="V18" s="53"/>
      <c r="W18" s="53"/>
      <c r="X18" s="53"/>
      <c r="Y18" s="53"/>
      <c r="Z18" s="53"/>
      <c r="AA18" s="53"/>
      <c r="AB18" s="53"/>
      <c r="AC18" s="53"/>
      <c r="AD18" s="53"/>
      <c r="AE18" s="53"/>
      <c r="AF18" s="53"/>
      <c r="AG18" s="53"/>
      <c r="AH18" s="53"/>
      <c r="AI18" s="53"/>
      <c r="AJ18" s="53"/>
      <c r="AK18" s="53"/>
      <c r="AL18" s="53"/>
    </row>
    <row r="19" customFormat="false" ht="15" hidden="false" customHeight="false" outlineLevel="0" collapsed="false">
      <c r="B19" s="53"/>
      <c r="C19" s="53"/>
      <c r="D19" s="53"/>
      <c r="E19" s="53"/>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row>
    <row r="20" customFormat="false" ht="15" hidden="false" customHeight="false" outlineLevel="0" collapsed="false">
      <c r="B20" s="53"/>
      <c r="C20" s="53"/>
      <c r="D20" s="53"/>
      <c r="E20" s="53"/>
      <c r="F20" s="53"/>
      <c r="G20" s="53"/>
      <c r="H20" s="53"/>
      <c r="I20" s="53"/>
      <c r="J20" s="53"/>
      <c r="K20" s="53"/>
      <c r="L20" s="53"/>
      <c r="M20" s="53"/>
      <c r="N20" s="53"/>
      <c r="O20" s="53"/>
      <c r="P20" s="53"/>
      <c r="Q20" s="53"/>
      <c r="R20" s="53"/>
      <c r="S20" s="53"/>
      <c r="T20" s="53"/>
      <c r="U20" s="53"/>
      <c r="V20" s="53"/>
      <c r="W20" s="53"/>
      <c r="X20" s="53"/>
      <c r="Y20" s="53"/>
      <c r="Z20" s="53"/>
      <c r="AA20" s="53"/>
      <c r="AB20" s="53"/>
      <c r="AC20" s="53"/>
      <c r="AD20" s="53"/>
      <c r="AE20" s="53"/>
      <c r="AF20" s="53"/>
      <c r="AG20" s="53"/>
      <c r="AH20" s="53"/>
      <c r="AI20" s="53"/>
      <c r="AJ20" s="53"/>
      <c r="AK20" s="53"/>
      <c r="AL20" s="53"/>
    </row>
    <row r="21" customFormat="false" ht="15" hidden="false" customHeight="false" outlineLevel="0" collapsed="false">
      <c r="B21" s="53"/>
      <c r="C21" s="53"/>
      <c r="D21" s="53"/>
      <c r="E21" s="53"/>
      <c r="F21" s="53"/>
      <c r="G21" s="53"/>
      <c r="H21" s="53"/>
      <c r="I21" s="53"/>
      <c r="J21" s="53"/>
      <c r="K21" s="53"/>
      <c r="L21" s="53"/>
      <c r="M21" s="53"/>
      <c r="N21" s="53"/>
      <c r="O21" s="53"/>
      <c r="P21" s="53"/>
      <c r="Q21" s="53"/>
      <c r="R21" s="53"/>
      <c r="S21" s="53"/>
      <c r="T21" s="53"/>
      <c r="U21" s="53"/>
      <c r="V21" s="53"/>
      <c r="W21" s="53"/>
      <c r="X21" s="53"/>
      <c r="Y21" s="53"/>
      <c r="Z21" s="53"/>
      <c r="AA21" s="53"/>
      <c r="AB21" s="53"/>
      <c r="AC21" s="53"/>
      <c r="AD21" s="53"/>
      <c r="AE21" s="53"/>
      <c r="AF21" s="53"/>
      <c r="AG21" s="53"/>
      <c r="AH21" s="53"/>
      <c r="AI21" s="53"/>
      <c r="AJ21" s="53"/>
      <c r="AK21" s="53"/>
      <c r="AL21" s="53"/>
    </row>
    <row r="22" customFormat="false" ht="15" hidden="false" customHeight="false" outlineLevel="0" collapsed="false">
      <c r="B22" s="53"/>
      <c r="C22" s="53"/>
      <c r="D22" s="53"/>
      <c r="E22" s="53"/>
      <c r="F22" s="53"/>
      <c r="G22" s="53"/>
      <c r="H22" s="53"/>
      <c r="I22" s="53"/>
      <c r="J22" s="53"/>
      <c r="K22" s="53"/>
      <c r="L22" s="53"/>
      <c r="M22" s="53"/>
      <c r="N22" s="53"/>
      <c r="O22" s="53"/>
      <c r="P22" s="53"/>
      <c r="Q22" s="53"/>
      <c r="R22" s="53"/>
      <c r="S22" s="53"/>
      <c r="T22" s="53"/>
      <c r="U22" s="53"/>
      <c r="V22" s="53"/>
      <c r="W22" s="53"/>
      <c r="X22" s="53"/>
      <c r="Y22" s="53"/>
      <c r="Z22" s="53"/>
      <c r="AA22" s="53"/>
      <c r="AB22" s="53"/>
      <c r="AC22" s="53"/>
      <c r="AD22" s="53"/>
      <c r="AE22" s="53"/>
      <c r="AF22" s="53"/>
      <c r="AG22" s="53"/>
      <c r="AH22" s="53"/>
      <c r="AI22" s="53"/>
      <c r="AJ22" s="53"/>
      <c r="AK22" s="53"/>
      <c r="AL22" s="53"/>
    </row>
    <row r="23" customFormat="false" ht="15" hidden="false" customHeight="false" outlineLevel="0" collapsed="false">
      <c r="B23" s="53"/>
      <c r="C23" s="53"/>
      <c r="D23" s="53"/>
      <c r="E23" s="53"/>
      <c r="F23" s="53"/>
      <c r="G23" s="53"/>
      <c r="H23" s="53"/>
      <c r="I23" s="53"/>
      <c r="J23" s="53"/>
      <c r="K23" s="53"/>
      <c r="L23" s="53"/>
      <c r="M23" s="53"/>
      <c r="N23" s="53"/>
      <c r="O23" s="53"/>
      <c r="P23" s="53"/>
      <c r="Q23" s="53"/>
      <c r="R23" s="53"/>
      <c r="S23" s="53"/>
      <c r="T23" s="53"/>
      <c r="U23" s="53"/>
      <c r="V23" s="53"/>
      <c r="W23" s="53"/>
      <c r="X23" s="53"/>
      <c r="Y23" s="53"/>
      <c r="Z23" s="53"/>
      <c r="AA23" s="53"/>
      <c r="AB23" s="53"/>
      <c r="AC23" s="53"/>
      <c r="AD23" s="53"/>
      <c r="AE23" s="53"/>
      <c r="AF23" s="53"/>
      <c r="AG23" s="53"/>
      <c r="AH23" s="53"/>
      <c r="AI23" s="53"/>
      <c r="AJ23" s="53"/>
      <c r="AK23" s="53"/>
      <c r="AL23" s="53"/>
    </row>
    <row r="24" customFormat="false" ht="15" hidden="false" customHeight="false" outlineLevel="0" collapsed="false">
      <c r="B24" s="53"/>
      <c r="C24" s="53"/>
      <c r="D24" s="53"/>
      <c r="E24" s="53"/>
      <c r="F24" s="53"/>
      <c r="G24" s="53"/>
      <c r="H24" s="53"/>
      <c r="I24" s="53"/>
      <c r="J24" s="53"/>
      <c r="K24" s="53"/>
      <c r="L24" s="53"/>
      <c r="M24" s="53"/>
      <c r="N24" s="53"/>
      <c r="O24" s="53"/>
      <c r="P24" s="53"/>
      <c r="Q24" s="53"/>
      <c r="R24" s="53"/>
      <c r="S24" s="53"/>
      <c r="T24" s="53"/>
      <c r="U24" s="53"/>
      <c r="V24" s="53"/>
      <c r="W24" s="53"/>
      <c r="X24" s="53"/>
      <c r="Y24" s="53"/>
      <c r="Z24" s="53"/>
      <c r="AA24" s="53"/>
      <c r="AB24" s="53"/>
      <c r="AC24" s="53"/>
      <c r="AD24" s="53"/>
      <c r="AE24" s="53"/>
      <c r="AF24" s="53"/>
      <c r="AG24" s="53"/>
      <c r="AH24" s="53"/>
      <c r="AI24" s="53"/>
      <c r="AJ24" s="53"/>
      <c r="AK24" s="53"/>
      <c r="AL24" s="53"/>
    </row>
    <row r="25" customFormat="false" ht="15" hidden="false" customHeight="false" outlineLevel="0" collapsed="false">
      <c r="B25" s="53"/>
      <c r="C25" s="53"/>
      <c r="D25" s="53"/>
      <c r="E25" s="53"/>
      <c r="F25" s="53"/>
      <c r="G25" s="53"/>
      <c r="H25" s="53"/>
      <c r="I25" s="53"/>
      <c r="J25" s="53"/>
      <c r="K25" s="53"/>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row>
    <row r="26" customFormat="false" ht="15" hidden="false" customHeight="false" outlineLevel="0" collapsed="false">
      <c r="B26" s="53"/>
      <c r="C26" s="53"/>
      <c r="D26" s="53"/>
      <c r="E26" s="53"/>
      <c r="F26" s="53"/>
      <c r="G26" s="53"/>
      <c r="H26" s="53"/>
      <c r="I26" s="53"/>
      <c r="J26" s="53"/>
      <c r="K26" s="53"/>
      <c r="L26" s="53"/>
      <c r="M26" s="53"/>
      <c r="N26" s="53"/>
      <c r="O26" s="53"/>
      <c r="P26" s="53"/>
      <c r="Q26" s="53"/>
      <c r="R26" s="53"/>
      <c r="S26" s="53"/>
      <c r="T26" s="53"/>
      <c r="U26" s="53"/>
      <c r="V26" s="53"/>
      <c r="W26" s="53"/>
      <c r="X26" s="53"/>
      <c r="Y26" s="53"/>
      <c r="Z26" s="53"/>
      <c r="AA26" s="53"/>
      <c r="AB26" s="53"/>
      <c r="AC26" s="53"/>
      <c r="AD26" s="53"/>
      <c r="AE26" s="53"/>
      <c r="AF26" s="53"/>
      <c r="AG26" s="53"/>
      <c r="AH26" s="53"/>
      <c r="AI26" s="53"/>
      <c r="AJ26" s="53"/>
      <c r="AK26" s="53"/>
      <c r="AL26" s="53"/>
    </row>
    <row r="27" customFormat="false" ht="15" hidden="false" customHeight="false" outlineLevel="0" collapsed="false">
      <c r="B27" s="53"/>
      <c r="C27" s="53"/>
      <c r="D27" s="53"/>
      <c r="E27" s="53"/>
      <c r="F27" s="53"/>
      <c r="G27" s="53"/>
      <c r="H27" s="53"/>
      <c r="I27" s="53"/>
      <c r="J27" s="53"/>
      <c r="K27" s="53"/>
      <c r="L27" s="53"/>
      <c r="M27" s="53"/>
      <c r="N27" s="53"/>
      <c r="O27" s="53"/>
      <c r="P27" s="53"/>
      <c r="Q27" s="53"/>
      <c r="R27" s="53"/>
      <c r="S27" s="53"/>
      <c r="T27" s="53"/>
      <c r="U27" s="53"/>
      <c r="V27" s="53"/>
      <c r="W27" s="53"/>
      <c r="X27" s="53"/>
      <c r="Y27" s="53"/>
      <c r="Z27" s="53"/>
      <c r="AA27" s="53"/>
      <c r="AB27" s="53"/>
      <c r="AC27" s="53"/>
      <c r="AD27" s="53"/>
      <c r="AE27" s="53"/>
      <c r="AF27" s="53"/>
      <c r="AG27" s="53"/>
      <c r="AH27" s="53"/>
      <c r="AI27" s="53"/>
      <c r="AJ27" s="53"/>
      <c r="AK27" s="53"/>
      <c r="AL27" s="53"/>
    </row>
    <row r="28" customFormat="false" ht="15" hidden="false" customHeight="false" outlineLevel="0" collapsed="false">
      <c r="B28" s="53"/>
      <c r="C28" s="53"/>
      <c r="D28" s="53"/>
      <c r="E28" s="53"/>
      <c r="F28" s="53"/>
      <c r="G28" s="53"/>
      <c r="H28" s="53"/>
      <c r="I28" s="53"/>
      <c r="J28" s="53"/>
      <c r="K28" s="53"/>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row>
    <row r="29" customFormat="false" ht="15" hidden="false" customHeight="false" outlineLevel="0" collapsed="false">
      <c r="B29" s="53"/>
      <c r="C29" s="53"/>
      <c r="D29" s="53"/>
      <c r="E29" s="53"/>
      <c r="F29" s="53"/>
      <c r="G29" s="53"/>
      <c r="H29" s="53"/>
      <c r="I29" s="53"/>
      <c r="J29" s="53"/>
      <c r="K29" s="53"/>
      <c r="L29" s="53"/>
      <c r="M29" s="53"/>
      <c r="N29" s="53"/>
      <c r="O29" s="53"/>
      <c r="P29" s="53"/>
      <c r="Q29" s="53"/>
      <c r="R29" s="53"/>
      <c r="S29" s="53"/>
      <c r="T29" s="53"/>
      <c r="U29" s="53"/>
      <c r="V29" s="53"/>
      <c r="W29" s="53"/>
      <c r="X29" s="53"/>
      <c r="Y29" s="53"/>
      <c r="Z29" s="53"/>
      <c r="AA29" s="53"/>
      <c r="AB29" s="53"/>
      <c r="AC29" s="53"/>
      <c r="AD29" s="53"/>
      <c r="AE29" s="53"/>
      <c r="AF29" s="53"/>
      <c r="AG29" s="53"/>
      <c r="AH29" s="53"/>
      <c r="AI29" s="53"/>
      <c r="AJ29" s="53"/>
      <c r="AK29" s="53"/>
      <c r="AL29" s="53"/>
    </row>
    <row r="30" customFormat="false" ht="15" hidden="false" customHeight="false" outlineLevel="0" collapsed="false">
      <c r="B30" s="53"/>
      <c r="C30" s="53"/>
      <c r="D30" s="53"/>
      <c r="E30" s="53"/>
      <c r="F30" s="53"/>
      <c r="G30" s="53"/>
      <c r="H30" s="53"/>
      <c r="I30" s="53"/>
      <c r="J30" s="53"/>
      <c r="K30" s="53"/>
      <c r="L30" s="53"/>
      <c r="M30" s="53"/>
      <c r="N30" s="53"/>
      <c r="O30" s="53"/>
      <c r="P30" s="53"/>
      <c r="Q30" s="53"/>
      <c r="R30" s="53"/>
      <c r="S30" s="53"/>
      <c r="T30" s="53"/>
      <c r="U30" s="53"/>
      <c r="V30" s="53"/>
      <c r="W30" s="53"/>
      <c r="X30" s="53"/>
      <c r="Y30" s="53"/>
      <c r="Z30" s="53"/>
      <c r="AA30" s="53"/>
      <c r="AB30" s="53"/>
      <c r="AC30" s="53"/>
      <c r="AD30" s="53"/>
      <c r="AE30" s="53"/>
      <c r="AF30" s="53"/>
      <c r="AG30" s="53"/>
      <c r="AH30" s="53"/>
      <c r="AI30" s="53"/>
      <c r="AJ30" s="53"/>
      <c r="AK30" s="53"/>
      <c r="AL30" s="53"/>
    </row>
    <row r="31" customFormat="false" ht="15" hidden="false" customHeight="false" outlineLevel="0" collapsed="false">
      <c r="B31" s="53"/>
      <c r="C31" s="53"/>
      <c r="D31" s="53"/>
      <c r="E31" s="53"/>
      <c r="F31" s="53"/>
      <c r="G31" s="53"/>
      <c r="H31" s="53"/>
      <c r="I31" s="53"/>
      <c r="J31" s="53"/>
      <c r="K31" s="53"/>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row>
    <row r="32" customFormat="false" ht="15" hidden="false" customHeight="false" outlineLevel="0" collapsed="false">
      <c r="B32" s="53"/>
      <c r="C32" s="53"/>
      <c r="D32" s="53"/>
      <c r="E32" s="53"/>
      <c r="F32" s="53"/>
      <c r="G32" s="53"/>
      <c r="H32" s="53"/>
      <c r="I32" s="53"/>
      <c r="J32" s="53"/>
      <c r="K32" s="53"/>
      <c r="L32" s="53"/>
      <c r="M32" s="53"/>
      <c r="N32" s="53"/>
      <c r="O32" s="53"/>
      <c r="P32" s="53"/>
      <c r="Q32" s="53"/>
      <c r="R32" s="53"/>
      <c r="S32" s="53"/>
      <c r="T32" s="53"/>
      <c r="U32" s="53"/>
      <c r="V32" s="53"/>
      <c r="W32" s="53"/>
      <c r="X32" s="53"/>
      <c r="Y32" s="53"/>
      <c r="Z32" s="53"/>
      <c r="AA32" s="53"/>
      <c r="AB32" s="53"/>
      <c r="AC32" s="53"/>
      <c r="AD32" s="53"/>
      <c r="AE32" s="53"/>
      <c r="AF32" s="53"/>
      <c r="AG32" s="53"/>
      <c r="AH32" s="53"/>
      <c r="AI32" s="53"/>
      <c r="AJ32" s="53"/>
      <c r="AK32" s="53"/>
      <c r="AL32" s="53"/>
    </row>
    <row r="33" customFormat="false" ht="15" hidden="false" customHeight="false" outlineLevel="0" collapsed="false">
      <c r="B33" s="53"/>
      <c r="C33" s="53"/>
      <c r="D33" s="53"/>
      <c r="E33" s="53"/>
      <c r="F33" s="53"/>
      <c r="G33" s="53"/>
      <c r="H33" s="53"/>
      <c r="I33" s="53"/>
      <c r="J33" s="53"/>
      <c r="K33" s="53"/>
      <c r="L33" s="53"/>
      <c r="M33" s="53"/>
      <c r="N33" s="53"/>
      <c r="O33" s="53"/>
      <c r="P33" s="53"/>
      <c r="Q33" s="53"/>
      <c r="R33" s="53"/>
      <c r="S33" s="53"/>
      <c r="T33" s="53"/>
      <c r="U33" s="53"/>
      <c r="V33" s="53"/>
      <c r="W33" s="53"/>
      <c r="X33" s="53"/>
      <c r="Y33" s="53"/>
      <c r="Z33" s="53"/>
      <c r="AA33" s="53"/>
      <c r="AB33" s="53"/>
      <c r="AC33" s="53"/>
      <c r="AD33" s="53"/>
      <c r="AE33" s="53"/>
      <c r="AF33" s="53"/>
      <c r="AG33" s="53"/>
      <c r="AH33" s="53"/>
      <c r="AI33" s="53"/>
      <c r="AJ33" s="53"/>
      <c r="AK33" s="53"/>
      <c r="AL33" s="53"/>
    </row>
    <row r="34" customFormat="false" ht="15" hidden="false" customHeight="false" outlineLevel="0" collapsed="false">
      <c r="B34" s="53"/>
      <c r="C34" s="53"/>
      <c r="D34" s="53"/>
      <c r="E34" s="53"/>
      <c r="F34" s="53"/>
      <c r="G34" s="53"/>
      <c r="H34" s="53"/>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row>
    <row r="35" customFormat="false" ht="15" hidden="false" customHeight="false" outlineLevel="0" collapsed="false">
      <c r="B35" s="53"/>
      <c r="C35" s="53"/>
      <c r="D35" s="53"/>
      <c r="E35" s="53"/>
      <c r="F35" s="53"/>
      <c r="G35" s="53"/>
      <c r="H35" s="53"/>
      <c r="I35" s="53"/>
      <c r="J35" s="53"/>
      <c r="K35" s="53"/>
      <c r="L35" s="53"/>
      <c r="M35" s="53"/>
      <c r="N35" s="53"/>
      <c r="O35" s="53"/>
      <c r="P35" s="53"/>
      <c r="Q35" s="53"/>
      <c r="R35" s="53"/>
      <c r="S35" s="53"/>
      <c r="T35" s="53"/>
      <c r="U35" s="53"/>
      <c r="V35" s="53"/>
      <c r="W35" s="53"/>
      <c r="X35" s="53"/>
      <c r="Y35" s="53"/>
      <c r="Z35" s="53"/>
      <c r="AA35" s="53"/>
      <c r="AB35" s="53"/>
      <c r="AC35" s="53"/>
      <c r="AD35" s="53"/>
      <c r="AE35" s="53"/>
      <c r="AF35" s="53"/>
      <c r="AG35" s="53"/>
      <c r="AH35" s="53"/>
      <c r="AI35" s="53"/>
      <c r="AJ35" s="53"/>
      <c r="AK35" s="53"/>
      <c r="AL35" s="53"/>
    </row>
    <row r="36" customFormat="false" ht="15" hidden="false" customHeight="false" outlineLevel="0" collapsed="false">
      <c r="B36" s="53"/>
      <c r="C36" s="53"/>
      <c r="D36" s="53"/>
      <c r="E36" s="53"/>
      <c r="F36" s="53"/>
      <c r="G36" s="53"/>
      <c r="H36" s="53"/>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row>
    <row r="37" customFormat="false" ht="15" hidden="false" customHeight="false" outlineLevel="0" collapsed="false">
      <c r="B37" s="53"/>
      <c r="C37" s="53"/>
      <c r="D37" s="53"/>
      <c r="E37" s="53"/>
      <c r="F37" s="53"/>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row>
    <row r="38" customFormat="false" ht="15" hidden="false" customHeight="false" outlineLevel="0" collapsed="false">
      <c r="B38" s="53"/>
      <c r="C38" s="53"/>
      <c r="D38" s="53"/>
      <c r="E38" s="53"/>
      <c r="F38" s="53"/>
      <c r="G38" s="53"/>
      <c r="H38" s="53"/>
      <c r="I38" s="53"/>
      <c r="J38" s="53"/>
      <c r="K38" s="53"/>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row>
    <row r="39" customFormat="false" ht="15" hidden="false" customHeight="false" outlineLevel="0" collapsed="false">
      <c r="B39" s="53"/>
      <c r="C39" s="53"/>
      <c r="D39" s="53"/>
      <c r="E39" s="53"/>
      <c r="F39" s="53"/>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row>
    <row r="40" customFormat="false" ht="15" hidden="false" customHeight="false" outlineLevel="0" collapsed="false">
      <c r="B40" s="53"/>
      <c r="C40" s="53"/>
      <c r="D40" s="53"/>
      <c r="E40" s="53"/>
      <c r="F40" s="53"/>
      <c r="G40" s="53"/>
      <c r="H40" s="53"/>
      <c r="I40" s="53"/>
      <c r="J40" s="53"/>
      <c r="K40" s="53"/>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row>
    <row r="41" customFormat="false" ht="15" hidden="false" customHeight="false" outlineLevel="0" collapsed="false">
      <c r="B41" s="53"/>
      <c r="C41" s="53"/>
      <c r="D41" s="53"/>
      <c r="E41" s="53"/>
      <c r="F41" s="53"/>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c r="AF41" s="53"/>
      <c r="AG41" s="53"/>
      <c r="AH41" s="53"/>
      <c r="AI41" s="53"/>
      <c r="AJ41" s="53"/>
      <c r="AK41" s="53"/>
      <c r="AL41" s="53"/>
    </row>
    <row r="42" customFormat="false" ht="15" hidden="false" customHeight="false" outlineLevel="0" collapsed="false">
      <c r="B42" s="53"/>
      <c r="C42" s="53"/>
      <c r="D42" s="53"/>
      <c r="E42" s="53"/>
      <c r="F42" s="53"/>
      <c r="G42" s="53"/>
      <c r="H42" s="53"/>
      <c r="I42" s="53"/>
      <c r="J42" s="53"/>
      <c r="K42" s="53"/>
      <c r="L42" s="53"/>
      <c r="M42" s="53"/>
      <c r="N42" s="53"/>
      <c r="O42" s="53"/>
      <c r="P42" s="53"/>
      <c r="Q42" s="53"/>
      <c r="R42" s="53"/>
      <c r="S42" s="53"/>
      <c r="T42" s="53"/>
      <c r="U42" s="53"/>
      <c r="V42" s="53"/>
      <c r="W42" s="53"/>
      <c r="X42" s="53"/>
      <c r="Y42" s="53"/>
      <c r="Z42" s="53"/>
      <c r="AA42" s="53"/>
      <c r="AB42" s="53"/>
      <c r="AC42" s="53"/>
      <c r="AD42" s="53"/>
      <c r="AE42" s="53"/>
      <c r="AF42" s="53"/>
      <c r="AG42" s="53"/>
      <c r="AH42" s="53"/>
      <c r="AI42" s="53"/>
      <c r="AJ42" s="53"/>
      <c r="AK42" s="53"/>
      <c r="AL42" s="53"/>
    </row>
    <row r="43" customFormat="false" ht="15" hidden="false" customHeight="false" outlineLevel="0" collapsed="false">
      <c r="B43" s="53"/>
      <c r="C43" s="53"/>
      <c r="D43" s="53"/>
      <c r="E43" s="53"/>
      <c r="F43" s="53"/>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row>
    <row r="44" customFormat="false" ht="15" hidden="false" customHeight="false" outlineLevel="0" collapsed="false">
      <c r="B44" s="53"/>
      <c r="C44" s="53"/>
      <c r="D44" s="53"/>
      <c r="E44" s="53"/>
      <c r="F44" s="53"/>
      <c r="G44" s="53"/>
      <c r="H44" s="53"/>
      <c r="I44" s="53"/>
      <c r="J44" s="53"/>
      <c r="K44" s="53"/>
      <c r="L44" s="53"/>
      <c r="M44" s="53"/>
      <c r="N44" s="53"/>
      <c r="O44" s="53"/>
      <c r="P44" s="53"/>
      <c r="Q44" s="53"/>
      <c r="R44" s="53"/>
      <c r="S44" s="53"/>
      <c r="T44" s="53"/>
      <c r="U44" s="53"/>
      <c r="V44" s="53"/>
      <c r="W44" s="53"/>
      <c r="X44" s="53"/>
      <c r="Y44" s="53"/>
      <c r="Z44" s="53"/>
      <c r="AA44" s="53"/>
      <c r="AB44" s="53"/>
      <c r="AC44" s="53"/>
      <c r="AD44" s="53"/>
      <c r="AE44" s="53"/>
      <c r="AF44" s="53"/>
      <c r="AG44" s="53"/>
      <c r="AH44" s="53"/>
      <c r="AI44" s="53"/>
      <c r="AJ44" s="53"/>
      <c r="AK44" s="53"/>
      <c r="AL44" s="53"/>
    </row>
    <row r="45" customFormat="false" ht="15" hidden="false" customHeight="false" outlineLevel="0" collapsed="false">
      <c r="B45" s="53"/>
      <c r="C45" s="53"/>
      <c r="D45" s="53"/>
      <c r="E45" s="53"/>
      <c r="F45" s="53"/>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c r="AF45" s="53"/>
      <c r="AG45" s="53"/>
      <c r="AH45" s="53"/>
      <c r="AI45" s="53"/>
      <c r="AJ45" s="53"/>
      <c r="AK45" s="53"/>
      <c r="AL45" s="53"/>
    </row>
    <row r="46" customFormat="false" ht="15" hidden="false" customHeight="false" outlineLevel="0" collapsed="false">
      <c r="B46" s="53"/>
      <c r="C46" s="53"/>
      <c r="D46" s="53"/>
      <c r="E46" s="53"/>
      <c r="F46" s="53"/>
      <c r="G46" s="53"/>
      <c r="H46" s="53"/>
      <c r="I46" s="53"/>
      <c r="J46" s="53"/>
      <c r="K46" s="53"/>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row>
    <row r="47" customFormat="false" ht="15" hidden="false" customHeight="false" outlineLevel="0" collapsed="false">
      <c r="B47" s="53"/>
      <c r="C47" s="53"/>
      <c r="D47" s="53"/>
      <c r="E47" s="53"/>
      <c r="F47" s="53"/>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c r="AF47" s="53"/>
      <c r="AG47" s="53"/>
      <c r="AH47" s="53"/>
      <c r="AI47" s="53"/>
      <c r="AJ47" s="53"/>
      <c r="AK47" s="53"/>
      <c r="AL47" s="53"/>
    </row>
    <row r="48" customFormat="false" ht="15" hidden="false" customHeight="false" outlineLevel="0" collapsed="false">
      <c r="B48" s="53"/>
      <c r="C48" s="53"/>
      <c r="D48" s="53"/>
      <c r="E48" s="53"/>
      <c r="F48" s="53"/>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c r="AF48" s="53"/>
      <c r="AG48" s="53"/>
      <c r="AH48" s="53"/>
      <c r="AI48" s="53"/>
      <c r="AJ48" s="53"/>
      <c r="AK48" s="53"/>
      <c r="AL48" s="53"/>
    </row>
    <row r="49" customFormat="false" ht="15" hidden="false" customHeight="false" outlineLevel="0" collapsed="false">
      <c r="B49" s="53"/>
      <c r="C49" s="53"/>
      <c r="D49" s="53"/>
      <c r="E49" s="53"/>
      <c r="F49" s="53"/>
      <c r="G49" s="53"/>
      <c r="H49" s="53"/>
      <c r="I49" s="53"/>
      <c r="J49" s="53"/>
      <c r="K49" s="53"/>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row>
    <row r="50" customFormat="false" ht="15" hidden="false" customHeight="false" outlineLevel="0" collapsed="false">
      <c r="B50" s="53"/>
      <c r="C50" s="53"/>
      <c r="D50" s="53"/>
      <c r="E50" s="53"/>
      <c r="F50" s="53"/>
      <c r="G50" s="53"/>
      <c r="H50" s="53"/>
      <c r="I50" s="53"/>
      <c r="J50" s="53"/>
      <c r="K50" s="53"/>
      <c r="L50" s="53"/>
      <c r="M50" s="53"/>
      <c r="N50" s="53"/>
      <c r="O50" s="53"/>
      <c r="P50" s="53"/>
      <c r="Q50" s="53"/>
      <c r="R50" s="53"/>
      <c r="S50" s="53"/>
      <c r="T50" s="53"/>
      <c r="U50" s="53"/>
      <c r="V50" s="53"/>
      <c r="W50" s="53"/>
      <c r="X50" s="53"/>
      <c r="Y50" s="53"/>
      <c r="Z50" s="53"/>
      <c r="AA50" s="53"/>
      <c r="AB50" s="53"/>
      <c r="AC50" s="53"/>
      <c r="AD50" s="53"/>
      <c r="AE50" s="53"/>
      <c r="AF50" s="53"/>
      <c r="AG50" s="53"/>
      <c r="AH50" s="53"/>
      <c r="AI50" s="53"/>
      <c r="AJ50" s="53"/>
      <c r="AK50" s="53"/>
      <c r="AL50" s="53"/>
    </row>
    <row r="51" customFormat="false" ht="15" hidden="false" customHeight="false" outlineLevel="0" collapsed="false">
      <c r="B51" s="53"/>
      <c r="C51" s="53"/>
      <c r="D51" s="53"/>
      <c r="E51" s="53"/>
      <c r="F51" s="53"/>
      <c r="G51" s="53"/>
      <c r="H51" s="53"/>
      <c r="I51" s="53"/>
      <c r="J51" s="53"/>
      <c r="K51" s="53"/>
      <c r="L51" s="53"/>
      <c r="M51" s="53"/>
      <c r="N51" s="53"/>
      <c r="O51" s="53"/>
      <c r="P51" s="53"/>
      <c r="Q51" s="53"/>
      <c r="R51" s="53"/>
      <c r="S51" s="53"/>
      <c r="T51" s="53"/>
      <c r="U51" s="53"/>
      <c r="V51" s="53"/>
      <c r="W51" s="53"/>
      <c r="X51" s="53"/>
      <c r="Y51" s="53"/>
      <c r="Z51" s="53"/>
      <c r="AA51" s="53"/>
      <c r="AB51" s="53"/>
      <c r="AC51" s="53"/>
      <c r="AD51" s="53"/>
      <c r="AE51" s="53"/>
      <c r="AF51" s="53"/>
      <c r="AG51" s="53"/>
      <c r="AH51" s="53"/>
      <c r="AI51" s="53"/>
      <c r="AJ51" s="53"/>
      <c r="AK51" s="53"/>
      <c r="AL51" s="53"/>
    </row>
    <row r="52" customFormat="false" ht="15" hidden="false" customHeight="false" outlineLevel="0" collapsed="false">
      <c r="B52" s="53"/>
      <c r="C52" s="53"/>
      <c r="D52" s="53"/>
      <c r="E52" s="53"/>
      <c r="F52" s="53"/>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row>
    <row r="53" customFormat="false" ht="15" hidden="false" customHeight="false" outlineLevel="0" collapsed="false">
      <c r="B53" s="53"/>
      <c r="C53" s="53"/>
      <c r="D53" s="53"/>
      <c r="E53" s="53"/>
      <c r="F53" s="53"/>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c r="AF53" s="53"/>
      <c r="AG53" s="53"/>
      <c r="AH53" s="53"/>
      <c r="AI53" s="53"/>
      <c r="AJ53" s="53"/>
      <c r="AK53" s="53"/>
      <c r="AL53" s="53"/>
    </row>
    <row r="54" customFormat="false" ht="15" hidden="false" customHeight="false" outlineLevel="0" collapsed="false">
      <c r="B54" s="53"/>
      <c r="C54" s="53"/>
      <c r="D54" s="53"/>
      <c r="E54" s="53"/>
      <c r="F54" s="53"/>
      <c r="G54" s="53"/>
      <c r="H54" s="53"/>
      <c r="I54" s="53"/>
      <c r="J54" s="53"/>
      <c r="K54" s="53"/>
      <c r="L54" s="53"/>
      <c r="M54" s="53"/>
      <c r="N54" s="53"/>
      <c r="O54" s="53"/>
      <c r="P54" s="53"/>
      <c r="Q54" s="53"/>
      <c r="R54" s="53"/>
      <c r="S54" s="53"/>
      <c r="T54" s="53"/>
      <c r="U54" s="53"/>
      <c r="V54" s="53"/>
      <c r="W54" s="53"/>
      <c r="X54" s="53"/>
      <c r="Y54" s="53"/>
      <c r="Z54" s="53"/>
      <c r="AA54" s="53"/>
      <c r="AB54" s="53"/>
      <c r="AC54" s="53"/>
      <c r="AD54" s="53"/>
      <c r="AE54" s="53"/>
      <c r="AF54" s="53"/>
      <c r="AG54" s="53"/>
      <c r="AH54" s="53"/>
      <c r="AI54" s="53"/>
      <c r="AJ54" s="53"/>
      <c r="AK54" s="53"/>
      <c r="AL54" s="53"/>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W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 collapsed="false" customWidth="true" hidden="false" outlineLevel="0" max="21" min="21" style="0" width="16"/>
    <col collapsed="false" customWidth="true" hidden="false" outlineLevel="0" max="23" min="23" style="0" width="16"/>
  </cols>
  <sheetData>
    <row r="1" customFormat="false" ht="23.85" hidden="false" customHeight="false" outlineLevel="0" collapsed="false">
      <c r="A1" s="50" t="s">
        <v>692</v>
      </c>
      <c r="C1" s="50" t="s">
        <v>693</v>
      </c>
      <c r="E1" s="50" t="s">
        <v>694</v>
      </c>
      <c r="G1" s="50" t="s">
        <v>488</v>
      </c>
      <c r="I1" s="50" t="s">
        <v>695</v>
      </c>
      <c r="K1" s="50" t="s">
        <v>696</v>
      </c>
      <c r="M1" s="50" t="s">
        <v>697</v>
      </c>
      <c r="O1" s="50" t="s">
        <v>174</v>
      </c>
      <c r="Q1" s="50" t="s">
        <v>698</v>
      </c>
      <c r="S1" s="50" t="s">
        <v>699</v>
      </c>
      <c r="U1" s="50" t="s">
        <v>700</v>
      </c>
      <c r="W1" s="50" t="s">
        <v>701</v>
      </c>
    </row>
    <row r="2" customFormat="false" ht="15" hidden="false" customHeight="false" outlineLevel="0" collapsed="false">
      <c r="A2" s="53" t="s">
        <v>702</v>
      </c>
      <c r="C2" s="53" t="s">
        <v>703</v>
      </c>
      <c r="E2" s="53" t="s">
        <v>9</v>
      </c>
      <c r="G2" s="53" t="s">
        <v>704</v>
      </c>
      <c r="I2" s="53" t="s">
        <v>357</v>
      </c>
      <c r="K2" s="53" t="s">
        <v>263</v>
      </c>
      <c r="M2" s="53" t="n">
        <v>1</v>
      </c>
      <c r="O2" s="53" t="s">
        <v>705</v>
      </c>
      <c r="Q2" s="53" t="s">
        <v>706</v>
      </c>
      <c r="S2" s="53" t="s">
        <v>707</v>
      </c>
      <c r="U2" s="53" t="s">
        <v>708</v>
      </c>
      <c r="W2" s="53" t="s">
        <v>709</v>
      </c>
    </row>
    <row r="3" customFormat="false" ht="15" hidden="false" customHeight="false" outlineLevel="0" collapsed="false">
      <c r="A3" s="53" t="s">
        <v>710</v>
      </c>
      <c r="C3" s="53" t="s">
        <v>711</v>
      </c>
      <c r="E3" s="53" t="s">
        <v>712</v>
      </c>
      <c r="G3" s="53" t="s">
        <v>713</v>
      </c>
      <c r="I3" s="53" t="s">
        <v>375</v>
      </c>
      <c r="K3" s="53" t="s">
        <v>714</v>
      </c>
      <c r="M3" s="53" t="n">
        <v>7</v>
      </c>
      <c r="O3" s="53" t="s">
        <v>715</v>
      </c>
      <c r="Q3" s="53" t="s">
        <v>716</v>
      </c>
      <c r="S3" s="53" t="s">
        <v>124</v>
      </c>
      <c r="U3" s="53" t="s">
        <v>717</v>
      </c>
      <c r="W3" s="53" t="s">
        <v>718</v>
      </c>
    </row>
    <row r="4" customFormat="false" ht="15" hidden="false" customHeight="false" outlineLevel="0" collapsed="false">
      <c r="A4" s="53" t="s">
        <v>719</v>
      </c>
      <c r="E4" s="53" t="s">
        <v>720</v>
      </c>
      <c r="G4" s="53" t="s">
        <v>721</v>
      </c>
      <c r="K4" s="53" t="s">
        <v>266</v>
      </c>
      <c r="M4" s="53" t="n">
        <v>30</v>
      </c>
      <c r="O4" s="53" t="s">
        <v>722</v>
      </c>
      <c r="Q4" s="53" t="s">
        <v>723</v>
      </c>
      <c r="S4" s="53" t="s">
        <v>724</v>
      </c>
      <c r="U4" s="53" t="s">
        <v>725</v>
      </c>
      <c r="W4" s="53" t="s">
        <v>717</v>
      </c>
    </row>
    <row r="5" customFormat="false" ht="15" hidden="false" customHeight="false" outlineLevel="0" collapsed="false">
      <c r="A5" s="53" t="s">
        <v>726</v>
      </c>
      <c r="E5" s="53" t="s">
        <v>727</v>
      </c>
      <c r="G5" s="53" t="s">
        <v>728</v>
      </c>
      <c r="M5" s="53" t="n">
        <v>91</v>
      </c>
      <c r="Q5" s="53" t="s">
        <v>729</v>
      </c>
      <c r="U5" s="53" t="s">
        <v>730</v>
      </c>
      <c r="W5" s="53" t="s">
        <v>725</v>
      </c>
    </row>
    <row r="6" customFormat="false" ht="15" hidden="false" customHeight="false" outlineLevel="0" collapsed="false">
      <c r="G6" s="53" t="s">
        <v>731</v>
      </c>
      <c r="W6" s="53" t="s">
        <v>732</v>
      </c>
    </row>
    <row r="7" customFormat="false" ht="15" hidden="false" customHeight="false" outlineLevel="0" collapsed="false">
      <c r="G7" s="53" t="s">
        <v>733</v>
      </c>
    </row>
    <row r="8" customFormat="false" ht="15" hidden="false" customHeight="false" outlineLevel="0" collapsed="false">
      <c r="G8" s="53" t="s">
        <v>734</v>
      </c>
    </row>
    <row r="9" customFormat="false" ht="15" hidden="false" customHeight="false" outlineLevel="0" collapsed="false">
      <c r="G9" s="53" t="s">
        <v>735</v>
      </c>
    </row>
    <row r="11" customFormat="false" ht="15" hidden="false" customHeight="false" outlineLevel="0" collapsed="false">
      <c r="A11" s="2" t="s">
        <v>736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2026-10-27T05:06:14Z</dcterms:created>
  <dc:creator>openpyxl</dc:creator>
  <dc:description/>
  <dc:language>en-US</dc:language>
  <cp:lastModifiedBy/>
  <dcterms:modified xsi:type="dcterms:W3CDTF">2026-10-27T05:06:15Z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